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<sst xmlns="http://schemas.openxmlformats.org/spreadsheetml/2006/main" count="36" uniqueCount="35">
  <si>
    <t>Search Criteria:</t>
  </si>
  <si>
    <t>Downloaded on:</t>
  </si>
  <si>
    <t xml:space="preserve"> </t>
  </si>
  <si>
    <t>Created for:</t>
  </si>
  <si>
    <t>My Layout: Company General Information</t>
  </si>
  <si>
    <t xml:space="preserve">Location: United States &gt; West Coast &gt; California; Backing Status: VC-backed; Ownership Status: Privately held (backing); </t>
  </si>
  <si>
    <t>6/12/2017</t>
  </si>
  <si>
    <t>Dave Kochbeck, Silicon Valley Bank (Parent)</t>
  </si>
  <si>
    <t>Company ID</t>
  </si>
  <si>
    <t>Company Name</t>
  </si>
  <si>
    <t>HQ Post Code</t>
  </si>
  <si>
    <t>Description</t>
  </si>
  <si>
    <t>Primary Industry Code</t>
  </si>
  <si>
    <t>HQ Location</t>
  </si>
  <si>
    <t>Ownership Status</t>
  </si>
  <si>
    <t>Company Financing Status</t>
  </si>
  <si>
    <t>Active Investors</t>
  </si>
  <si>
    <t>Website</t>
  </si>
  <si>
    <t>HQ Email</t>
  </si>
  <si>
    <t>HQ Phone</t>
  </si>
  <si>
    <t>Primary Contact</t>
  </si>
  <si>
    <t>Primary Contact Title</t>
  </si>
  <si>
    <t>Primary Contact Email</t>
  </si>
  <si>
    <t>Primary Contact Phone</t>
  </si>
  <si>
    <t>Year Founded</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</si>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</sst>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1">
    <numFmt numFmtId="165" formatCode="0000"/>
  </numFmts>
  <fonts count="128">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28">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righ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righ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165" fontId="25" fillId="6" borderId="6" xfId="0" applyFill="true" applyFont="true" applyBorder="true" applyNumberFormat="true">
      <alignment horizontal="right" vertical="top" indent="1" wrapText="false"/>
    </xf>
    <xf numFmtId="0" fontId="26" fillId="6" borderId="6" xfId="0" applyFill="true" applyFont="true" applyBorder="true">
      <alignment horizontal="general" vertical="top" indent="1" wrapText="false"/>
    </xf>
    <xf numFmtId="0" fontId="27" fillId="8" borderId="6" xfId="0" applyFill="true" applyFont="true" applyBorder="true">
      <alignment horizontal="general" vertical="top" indent="1" wrapText="false"/>
    </xf>
    <xf numFmtId="0" fontId="28" fillId="8" borderId="6" xfId="0" applyFill="true" applyFont="true" applyBorder="true">
      <alignment horizontal="left" vertical="top" indent="1" wrapText="false"/>
    </xf>
    <xf numFmtId="0" fontId="29" fillId="8" borderId="6" xfId="0" applyFill="true" applyFont="true" applyBorder="true">
      <alignment horizontal="right" vertical="top" indent="1" wrapText="false"/>
    </xf>
    <xf numFmtId="0" fontId="30" fillId="8" borderId="6" xfId="0" applyFill="true" applyFont="true" applyBorder="true">
      <alignment horizontal="left" vertical="top" indent="1" wrapText="false"/>
    </xf>
    <xf numFmtId="0" fontId="31" fillId="8" borderId="6" xfId="0" applyFill="true" applyFont="true" applyBorder="true">
      <alignment horizontal="left" vertical="top" indent="1" wrapText="false"/>
    </xf>
    <xf numFmtId="0" fontId="32" fillId="8" borderId="6" xfId="0" applyFill="true" applyFont="true" applyBorder="true">
      <alignment horizontal="left" vertical="top" indent="1" wrapText="false"/>
    </xf>
    <xf numFmtId="0" fontId="33" fillId="8" borderId="6" xfId="0" applyFill="true" applyFont="true" applyBorder="true">
      <alignment horizontal="left" vertical="top" indent="1" wrapText="false"/>
    </xf>
    <xf numFmtId="0" fontId="34" fillId="8" borderId="6" xfId="0" applyFill="true" applyFont="true" applyBorder="true">
      <alignment horizontal="left" vertical="top" indent="1" wrapText="false"/>
    </xf>
    <xf numFmtId="0" fontId="35" fillId="8" borderId="6" xfId="0" applyFill="true" applyFont="true" applyBorder="true">
      <alignment horizontal="left" vertical="top" indent="1" wrapText="false"/>
    </xf>
    <xf numFmtId="0" fontId="36" fillId="8" borderId="6" xfId="0" applyFill="true" applyFont="true" applyBorder="true">
      <alignment horizontal="left" vertical="top" indent="1" wrapText="false"/>
    </xf>
    <xf numFmtId="0" fontId="37" fillId="8" borderId="6" xfId="0" applyFill="true" applyFont="true" applyBorder="true">
      <alignment horizontal="left" vertical="top" indent="1" wrapText="false"/>
    </xf>
    <xf numFmtId="0" fontId="38" fillId="8" borderId="6" xfId="0" applyFill="true" applyFont="true" applyBorder="true">
      <alignment horizontal="right" vertical="top" indent="1" wrapText="false"/>
    </xf>
    <xf numFmtId="0" fontId="39" fillId="8" borderId="6" xfId="0" applyFill="true" applyFont="true" applyBorder="true">
      <alignment horizontal="lef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165" fontId="43" fillId="8" borderId="6" xfId="0" applyFill="true" applyFont="true" applyBorder="true" applyNumberFormat="true">
      <alignment horizontal="right" vertical="top" indent="1" wrapText="false"/>
    </xf>
    <xf numFmtId="0" fontId="44" fillId="8" borderId="6" xfId="0" applyFill="true" applyFont="true" applyBorder="true">
      <alignment horizontal="general" vertical="top" indent="1" wrapText="false"/>
    </xf>
    <xf numFmtId="0" fontId="45" fillId="6" borderId="6" xfId="0" applyFill="true" applyFont="true" applyBorder="true">
      <alignment horizontal="general"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righ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lef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left" vertical="top" indent="1" wrapText="false"/>
    </xf>
    <xf numFmtId="0" fontId="52" fillId="6" borderId="6" xfId="0" applyFill="true" applyFont="true" applyBorder="true">
      <alignment horizontal="lef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righ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165" fontId="61" fillId="6" borderId="6" xfId="0" applyFill="true" applyFont="true" applyBorder="true" applyNumberFormat="true">
      <alignment horizontal="right" vertical="top" indent="1" wrapText="false"/>
    </xf>
    <xf numFmtId="0" fontId="62" fillId="6" borderId="6" xfId="0" applyFill="true" applyFont="true" applyBorder="true">
      <alignment horizontal="general" vertical="top" indent="1" wrapText="false"/>
    </xf>
    <xf numFmtId="0" fontId="63" fillId="8" borderId="6" xfId="0" applyFill="true" applyFont="true" applyBorder="true">
      <alignment horizontal="general" vertical="top" indent="1" wrapText="false"/>
    </xf>
    <xf numFmtId="0" fontId="64" fillId="8" borderId="6" xfId="0" applyFill="true" applyFont="true" applyBorder="true">
      <alignment horizontal="left" vertical="top" indent="1" wrapText="false"/>
    </xf>
    <xf numFmtId="0" fontId="65" fillId="8" borderId="6" xfId="0" applyFill="true" applyFont="true" applyBorder="true">
      <alignment horizontal="right" vertical="top" indent="1" wrapText="false"/>
    </xf>
    <xf numFmtId="0" fontId="66" fillId="8" borderId="6" xfId="0" applyFill="true" applyFont="true" applyBorder="true">
      <alignment horizontal="left" vertical="top" indent="1" wrapText="false"/>
    </xf>
    <xf numFmtId="0" fontId="67" fillId="8" borderId="6" xfId="0" applyFill="true" applyFont="true" applyBorder="true">
      <alignment horizontal="left" vertical="top" indent="1" wrapText="false"/>
    </xf>
    <xf numFmtId="0" fontId="68" fillId="8" borderId="6" xfId="0" applyFill="true" applyFont="true" applyBorder="true">
      <alignment horizontal="left" vertical="top" indent="1" wrapText="false"/>
    </xf>
    <xf numFmtId="0" fontId="69" fillId="8" borderId="6" xfId="0" applyFill="true" applyFont="true" applyBorder="true">
      <alignment horizontal="left" vertical="top" indent="1" wrapText="false"/>
    </xf>
    <xf numFmtId="0" fontId="70" fillId="8" borderId="6" xfId="0" applyFill="true" applyFont="true" applyBorder="true">
      <alignment horizontal="left" vertical="top" indent="1" wrapText="false"/>
    </xf>
    <xf numFmtId="0" fontId="71" fillId="8" borderId="6" xfId="0" applyFill="true" applyFont="true" applyBorder="true">
      <alignment horizontal="left" vertical="top" indent="1" wrapText="false"/>
    </xf>
    <xf numFmtId="0" fontId="72" fillId="8" borderId="6" xfId="0" applyFill="true" applyFont="true" applyBorder="true">
      <alignment horizontal="left" vertical="top" indent="1" wrapText="false"/>
    </xf>
    <xf numFmtId="0" fontId="73" fillId="8" borderId="6" xfId="0" applyFill="true" applyFont="true" applyBorder="true">
      <alignment horizontal="left" vertical="top" indent="1" wrapText="false"/>
    </xf>
    <xf numFmtId="0" fontId="74" fillId="8" borderId="6" xfId="0" applyFill="true" applyFont="true" applyBorder="true">
      <alignment horizontal="right" vertical="top" indent="1" wrapText="false"/>
    </xf>
    <xf numFmtId="0" fontId="75" fillId="8"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8"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165" fontId="79" fillId="8" borderId="6" xfId="0" applyFill="true" applyFont="true" applyBorder="true" applyNumberFormat="true">
      <alignment horizontal="right" vertical="top" indent="1" wrapText="false"/>
    </xf>
    <xf numFmtId="0" fontId="80" fillId="8" borderId="6" xfId="0" applyFill="true" applyFont="true" applyBorder="true">
      <alignment horizontal="general"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0" fontId="83" fillId="6"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8"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8"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8"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8" borderId="6" xfId="0" applyFill="true" applyFont="true" applyBorder="true">
      <alignment horizontal="left"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0" fontId="97" fillId="6" borderId="6" xfId="0" applyFill="true" applyFont="true" applyBorder="true">
      <alignment horizontal="left" vertical="top" indent="1" wrapText="false"/>
    </xf>
    <xf numFmtId="0" fontId="98" fillId="8" borderId="6" xfId="0" applyFill="true" applyFont="true" applyBorder="true">
      <alignment horizontal="left" vertical="top" indent="1" wrapText="false"/>
    </xf>
    <xf numFmtId="0" fontId="99" fillId="6" borderId="6" xfId="0" applyFill="true" applyFont="true" applyBorder="true">
      <alignment horizontal="left" vertical="top" indent="1" wrapText="false"/>
    </xf>
    <xf numFmtId="0" fontId="100" fillId="8" borderId="6" xfId="0" applyFill="true" applyFont="true" applyBorder="true">
      <alignment horizontal="left" vertical="top" indent="1" wrapText="false"/>
    </xf>
    <xf numFmtId="0" fontId="101" fillId="6" borderId="6" xfId="0" applyFill="true" applyFont="true" applyBorder="true">
      <alignment horizontal="left" vertical="top" indent="1" wrapText="false"/>
    </xf>
    <xf numFmtId="0" fontId="102" fillId="8" borderId="6" xfId="0" applyFill="true" applyFont="true" applyBorder="true">
      <alignment horizontal="left" vertical="top" indent="1" wrapText="false"/>
    </xf>
    <xf numFmtId="0" fontId="103" fillId="6" borderId="6" xfId="0" applyFill="true" applyFont="true" applyBorder="true">
      <alignment horizontal="left" vertical="top" indent="1" wrapText="false"/>
    </xf>
    <xf numFmtId="0" fontId="104" fillId="8" borderId="6" xfId="0" applyFill="true" applyFont="true" applyBorder="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0" fontId="109" fillId="6" borderId="6" xfId="0" applyFill="true" applyFont="true" applyBorder="true">
      <alignment horizontal="left" vertical="top" indent="1" wrapText="false"/>
    </xf>
    <xf numFmtId="0" fontId="110" fillId="8" borderId="6" xfId="0" applyFill="true" applyFont="true" applyBorder="true">
      <alignment horizontal="left" vertical="top" indent="1" wrapText="false"/>
    </xf>
    <xf numFmtId="0" fontId="111" fillId="6" borderId="6" xfId="0" applyFill="true" applyFont="true" applyBorder="true">
      <alignment horizontal="left" vertical="top" indent="1" wrapText="false"/>
    </xf>
    <xf numFmtId="0" fontId="112" fillId="8" borderId="6" xfId="0" applyFill="true" applyFont="true" applyBorder="true">
      <alignment horizontal="left" vertical="top" indent="1" wrapText="false"/>
    </xf>
    <xf numFmtId="165" fontId="113" fillId="6" borderId="6" xfId="0" applyFill="true" applyFont="true" applyBorder="true" applyNumberFormat="true">
      <alignment horizontal="left" vertical="top" indent="1" wrapText="false"/>
    </xf>
    <xf numFmtId="165" fontId="114" fillId="8" borderId="6" xfId="0" applyFill="true" applyFont="true" applyBorder="true" applyNumberFormat="true">
      <alignment horizontal="left" vertical="top" indent="1" wrapText="false"/>
    </xf>
    <xf numFmtId="0" fontId="115" fillId="0" borderId="0" xfId="0" applyFont="true">
      <alignment horizontal="general" vertical="bottom"/>
    </xf>
    <xf numFmtId="0" fontId="116" fillId="9" borderId="0" xfId="0" applyFont="true" applyFill="true" applyNumberFormat="true"/>
    <xf numFmtId="0" fontId="117" fillId="9" borderId="0" xfId="0" applyFont="true" applyFill="true" applyNumberFormat="true"/>
    <xf numFmtId="0" fontId="118" fillId="9" borderId="0" xfId="1" applyFont="true" applyFill="true" applyAlignment="1" applyProtection="1" applyNumberFormat="true"/>
    <xf numFmtId="0" fontId="119" fillId="9" borderId="0" xfId="0" applyFont="true" applyFill="true" applyNumberFormat="true"/>
    <xf numFmtId="0" fontId="120" fillId="9" borderId="0" xfId="2" applyFont="true" applyFill="true" applyAlignment="1" applyProtection="1" applyNumberFormat="true"/>
    <xf numFmtId="0" fontId="121" fillId="9" borderId="0" xfId="0" applyFont="true" applyFill="true" applyNumberFormat="true"/>
    <xf numFmtId="0" fontId="122" fillId="9" borderId="0" xfId="0" applyFont="true" applyFill="true" applyNumberFormat="true"/>
    <xf numFmtId="0" fontId="123" fillId="9" borderId="0" xfId="2" applyFont="true" applyFill="true" applyAlignment="1" applyProtection="1" applyNumberFormat="true"/>
    <xf numFmtId="0" fontId="124" fillId="9" borderId="0" xfId="2" applyFont="true" applyFill="true" applyAlignment="1" applyProtection="1" applyNumberFormat="true"/>
    <xf numFmtId="0" fontId="125" fillId="9" borderId="0" xfId="1" applyFont="true" applyFill="true" applyAlignment="1" applyProtection="1" applyNumberFormat="true"/>
    <xf numFmtId="0" fontId="126" fillId="9" borderId="0" xfId="2" applyFont="true" applyFill="true" applyAlignment="1" applyProtection="1" applyNumberFormat="true"/>
    <xf numFmtId="0" fontId="127"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33.2421875" collapsed="true"/>
    <col min="3" max="3" customWidth="true" width="10.984375" collapsed="true"/>
    <col min="1" max="1" customWidth="true" width="10.83984375" collapsed="true"/>
    <col min="2" max="2" customWidth="true" width="33.2421875" collapsed="true"/>
    <col min="7" max="7" customWidth="true" width="11.5625" collapsed="true"/>
    <col min="5" max="5" width="28.18359375" customWidth="true"/>
    <col min="6" max="6" width="20.234375" customWidth="true"/>
    <col min="8" max="8" width="18.7890625" customWidth="true"/>
    <col min="9" max="9" width="28.90625" customWidth="true"/>
    <col min="10" max="10" width="18.7890625" customWidth="true"/>
    <col min="11" max="11" width="20.234375" customWidth="true"/>
    <col min="12" max="12" width="13.73046875" customWidth="true"/>
    <col min="13" max="13" width="16.765625" customWidth="true"/>
    <col min="14" max="14" width="17.34375" customWidth="true"/>
    <col min="15" max="15" width="20.234375" customWidth="true"/>
    <col min="16" max="16" width="14.453125" customWidth="true"/>
    <col min="17" max="17" width="8.3828125" customWidth="true"/>
    <col min="18" max="18"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8">
        <v>25</v>
      </c>
    </row>
    <row r="9">
      <c r="A9" s="9" t="inlineStr">
        <is>
          <t>61743-97</t>
        </is>
      </c>
      <c r="B9" s="10" t="inlineStr">
        <is>
          <t>ZypMedia</t>
        </is>
      </c>
      <c r="C9" s="11" t="inlineStr">
        <is>
          <t>94102</t>
        </is>
      </c>
      <c r="D9" s="12" t="inlineStr">
        <is>
          <t>Developer of an online advertisement platform for local online video advertising. The company provides an online platform through which large and local advertisement sales force can connect to online sources of geo-targeted video inventory and provides tools that enable them to execute advertisement campaigns on behalf of their clients.</t>
        </is>
      </c>
      <c r="E9" s="13" t="inlineStr">
        <is>
          <t>Social/Platform Software</t>
        </is>
      </c>
      <c r="F9" s="14" t="inlineStr">
        <is>
          <t>San Francisco, CA</t>
        </is>
      </c>
      <c r="G9" s="15" t="inlineStr">
        <is>
          <t>Privately Held (backing)</t>
        </is>
      </c>
      <c r="H9" s="16" t="inlineStr">
        <is>
          <t>Venture Capital-Backed</t>
        </is>
      </c>
      <c r="I9" s="17" t="inlineStr">
        <is>
          <t>Sinclair Broadcast Group, Sinclair Digital Ventures, US Venture Partners</t>
        </is>
      </c>
      <c r="J9" s="18" t="inlineStr">
        <is>
          <t>www.zypmedia.com</t>
        </is>
      </c>
      <c r="K9" s="19" t="inlineStr">
        <is>
          <t>info@extend.tv</t>
        </is>
      </c>
      <c r="L9" s="20" t="inlineStr">
        <is>
          <t>+1 (415) 894-9181</t>
        </is>
      </c>
      <c r="M9" s="21" t="inlineStr">
        <is>
          <t>Mark Goldman</t>
        </is>
      </c>
      <c r="N9" s="22" t="inlineStr">
        <is>
          <t>Co-Founder, Board Member &amp; Chief Executive Officer</t>
        </is>
      </c>
      <c r="O9" s="23" t="inlineStr">
        <is>
          <t>mgoldman@extend.tv</t>
        </is>
      </c>
      <c r="P9" s="24" t="inlineStr">
        <is>
          <t>+1 (415) 894-9181</t>
        </is>
      </c>
      <c r="Q9" s="25" t="n">
        <v>2013.0</v>
      </c>
      <c r="R9" s="113">
        <f>HYPERLINK("https://my.pitchbook.com?c=61743-97", "View company online")</f>
      </c>
    </row>
    <row r="10">
      <c r="A10" s="27" t="inlineStr">
        <is>
          <t>103815-64</t>
        </is>
      </c>
      <c r="B10" s="28" t="inlineStr">
        <is>
          <t>Zype</t>
        </is>
      </c>
      <c r="C10" s="29" t="inlineStr">
        <is>
          <t>10001</t>
        </is>
      </c>
      <c r="D10" s="30" t="inlineStr">
        <is>
          <t>Developer of a cloud platform for video publishing and distribution. The company's platform allows content owners to deliver their video content through mobile and desktop.</t>
        </is>
      </c>
      <c r="E10" s="31" t="inlineStr">
        <is>
          <t>Social/Platform Software</t>
        </is>
      </c>
      <c r="F10" s="32" t="inlineStr">
        <is>
          <t>New York, NY</t>
        </is>
      </c>
      <c r="G10" s="33" t="inlineStr">
        <is>
          <t>Privately Held (backing)</t>
        </is>
      </c>
      <c r="H10" s="34" t="inlineStr">
        <is>
          <t>Venture Capital-Backed</t>
        </is>
      </c>
      <c r="I10" s="35" t="inlineStr">
        <is>
          <t>Alpine Meridian, Berlin Ventures, Bill Dolan, Brian Fitzgerald, Chip Russo, Entrepreneurs Investment Fund, Evan Greenberg, Geoff Judge, Gordon Paddison, John Maloney, Michael Barrett, Michael Kassan, Point Nine Capital, Revel Partners, SXSW Accelerator, Terrapin Bale, Todd Barrish, Walker Jacobs</t>
        </is>
      </c>
      <c r="J10" s="36" t="inlineStr">
        <is>
          <t>www.zype.com</t>
        </is>
      </c>
      <c r="K10" s="37" t="inlineStr">
        <is>
          <t>contact@zype.com</t>
        </is>
      </c>
      <c r="L10" s="38" t="inlineStr">
        <is>
          <t/>
        </is>
      </c>
      <c r="M10" s="39" t="inlineStr">
        <is>
          <t>Chris Bassolino</t>
        </is>
      </c>
      <c r="N10" s="40" t="inlineStr">
        <is>
          <t>Co-Founder, Chief Operating Officer &amp; Director</t>
        </is>
      </c>
      <c r="O10" s="41" t="inlineStr">
        <is>
          <t/>
        </is>
      </c>
      <c r="P10" s="42" t="inlineStr">
        <is>
          <t/>
        </is>
      </c>
      <c r="Q10" s="43" t="n">
        <v>2013.0</v>
      </c>
      <c r="R10" s="114">
        <f>HYPERLINK("https://my.pitchbook.com?c=103815-64", "View company online")</f>
      </c>
    </row>
    <row r="11">
      <c r="A11" s="9" t="inlineStr">
        <is>
          <t>60184-09</t>
        </is>
      </c>
      <c r="B11" s="10" t="inlineStr">
        <is>
          <t>Zyomed</t>
        </is>
      </c>
      <c r="C11" s="11" t="inlineStr">
        <is>
          <t>91011</t>
        </is>
      </c>
      <c r="D11" s="12" t="inlineStr">
        <is>
          <t>Developer of non-invasive sensors for laboratory-scale medical diagnostics. The company offers photonic sensors for amplifying and tracking indirect spectral bio-markers associated with changes in blood or tissue chemistry.</t>
        </is>
      </c>
      <c r="E11" s="13" t="inlineStr">
        <is>
          <t>Diagnostic Equipment</t>
        </is>
      </c>
      <c r="F11" s="14" t="inlineStr">
        <is>
          <t>La Cañada Flintridge, CA</t>
        </is>
      </c>
      <c r="G11" s="15" t="inlineStr">
        <is>
          <t>Privately Held (backing)</t>
        </is>
      </c>
      <c r="H11" s="16" t="inlineStr">
        <is>
          <t>Venture Capital-Backed</t>
        </is>
      </c>
      <c r="I11" s="17" t="inlineStr">
        <is>
          <t>Khosla Ventures, Samsung Electronics</t>
        </is>
      </c>
      <c r="J11" s="18" t="inlineStr">
        <is>
          <t>www.zyomed.com</t>
        </is>
      </c>
      <c r="K11" s="19" t="inlineStr">
        <is>
          <t/>
        </is>
      </c>
      <c r="L11" s="20" t="inlineStr">
        <is>
          <t/>
        </is>
      </c>
      <c r="M11" s="21" t="inlineStr">
        <is>
          <t>Sandeep Gulati</t>
        </is>
      </c>
      <c r="N11" s="22" t="inlineStr">
        <is>
          <t>Founder</t>
        </is>
      </c>
      <c r="O11" s="23" t="inlineStr">
        <is>
          <t>sandeep.gulati@zyomed.com</t>
        </is>
      </c>
      <c r="P11" s="24" t="inlineStr">
        <is>
          <t/>
        </is>
      </c>
      <c r="Q11" s="25" t="n">
        <v>2007.0</v>
      </c>
      <c r="R11" s="113">
        <f>HYPERLINK("https://my.pitchbook.com?c=60184-09", "View company online")</f>
      </c>
    </row>
    <row r="12">
      <c r="A12" s="27" t="inlineStr">
        <is>
          <t>97130-35</t>
        </is>
      </c>
      <c r="B12" s="28" t="inlineStr">
        <is>
          <t>Zymergen</t>
        </is>
      </c>
      <c r="C12" s="29" t="inlineStr">
        <is>
          <t>94608</t>
        </is>
      </c>
      <c r="D12" s="30" t="inlineStr">
        <is>
          <t>Developer of procedures to optimize microbes for industrial fermentation. The company develops new approaches to create microbial strains efficiently on an industrial scale by applying advanced biology, automation, machine learning and data architecture.</t>
        </is>
      </c>
      <c r="E12" s="31" t="inlineStr">
        <is>
          <t>Other Business Products and Services</t>
        </is>
      </c>
      <c r="F12" s="32" t="inlineStr">
        <is>
          <t>Emeryville, CA</t>
        </is>
      </c>
      <c r="G12" s="33" t="inlineStr">
        <is>
          <t>Privately Held (backing)</t>
        </is>
      </c>
      <c r="H12" s="34" t="inlineStr">
        <is>
          <t>Venture Capital-Backed</t>
        </is>
      </c>
      <c r="I12" s="35" t="inlineStr">
        <is>
          <t>5 Prime Ventures, AME Cloud Ventures, Andy Warner, Bioeconomy Capital, Cok Mudde, Data Collective, David Beyer, Draper Fisher Jurvetson, Dror Berman, Euan Guttridge, GranBio Investimentos, Hard Valuable Fun, ICONIQ Capital, Innovation Endeavors, Jeffrey Huber, Jenny Rooke, Jeremy LaTrasse, Jesse Robbins, John Levisay, Karl Handelsman, Kevin Moore, Levisay Investment, Mark Collier, Mission Bay Capital, Nan Li, Nick Adams, Obvious Ventures, Prelude Ventures, SoftBank Group, Tao Capital Partners, True Ventures, Two Sigma Investments, Yushan Ventures</t>
        </is>
      </c>
      <c r="J12" s="36" t="inlineStr">
        <is>
          <t>www.zymergen.com</t>
        </is>
      </c>
      <c r="K12" s="37" t="inlineStr">
        <is>
          <t>info@zymergen.com</t>
        </is>
      </c>
      <c r="L12" s="38" t="inlineStr">
        <is>
          <t>+1 (415) 801-8073</t>
        </is>
      </c>
      <c r="M12" s="39" t="inlineStr">
        <is>
          <t>Zach Serber</t>
        </is>
      </c>
      <c r="N12" s="40" t="inlineStr">
        <is>
          <t>Co-Founder, Board Member, Chief Science Officer &amp; Vice President, Development</t>
        </is>
      </c>
      <c r="O12" s="41" t="inlineStr">
        <is>
          <t>zach.serber@zymergen.com</t>
        </is>
      </c>
      <c r="P12" s="42" t="inlineStr">
        <is>
          <t>+1 (415) 801-8073</t>
        </is>
      </c>
      <c r="Q12" s="43" t="n">
        <v>2013.0</v>
      </c>
      <c r="R12" s="114">
        <f>HYPERLINK("https://my.pitchbook.com?c=97130-35", "View company online")</f>
      </c>
    </row>
    <row r="13">
      <c r="A13" s="9" t="inlineStr">
        <is>
          <t>52852-15</t>
        </is>
      </c>
      <c r="B13" s="10" t="inlineStr">
        <is>
          <t>Zyme</t>
        </is>
      </c>
      <c r="C13" s="11" t="inlineStr">
        <is>
          <t>94065</t>
        </is>
      </c>
      <c r="D13" s="12" t="inlineStr">
        <is>
          <t>Provider of a channel data management cloud platform designed to acquire and use data originating from the channel. The company's New Smart Channel offers data management services, such as data consolidation, partner identification, sales-in sales-out reconciliation, project and business analytics, as well as provides payment validation and channel bench-marking services enabling companies to to optimize business processes like sales execution, inventory management, partner rebates and incentives, marketing and financial compliance.</t>
        </is>
      </c>
      <c r="E13" s="13" t="inlineStr">
        <is>
          <t>Media and Information Services (B2B)</t>
        </is>
      </c>
      <c r="F13" s="14" t="inlineStr">
        <is>
          <t>Redwood City, CA</t>
        </is>
      </c>
      <c r="G13" s="15" t="inlineStr">
        <is>
          <t>Privately Held (backing)</t>
        </is>
      </c>
      <c r="H13" s="16" t="inlineStr">
        <is>
          <t>Venture Capital-Backed</t>
        </is>
      </c>
      <c r="I13" s="17" t="inlineStr">
        <is>
          <t>Artiman Ventures, Asiabio Zyme Solutions, Susquehanna Growth Equity</t>
        </is>
      </c>
      <c r="J13" s="18" t="inlineStr">
        <is>
          <t>www.zyme.com</t>
        </is>
      </c>
      <c r="K13" s="19" t="inlineStr">
        <is>
          <t/>
        </is>
      </c>
      <c r="L13" s="20" t="inlineStr">
        <is>
          <t>+1 (650) 294-4700</t>
        </is>
      </c>
      <c r="M13" s="21" t="inlineStr">
        <is>
          <t>Chandran Sankaran</t>
        </is>
      </c>
      <c r="N13" s="22" t="inlineStr">
        <is>
          <t>Co-Founder &amp; Chief Executive Officer</t>
        </is>
      </c>
      <c r="O13" s="23" t="inlineStr">
        <is>
          <t>csankaran@zymesolutions.com</t>
        </is>
      </c>
      <c r="P13" s="24" t="inlineStr">
        <is>
          <t>+1 (650) 294-4700</t>
        </is>
      </c>
      <c r="Q13" s="25" t="n">
        <v>2004.0</v>
      </c>
      <c r="R13" s="113">
        <f>HYPERLINK("https://my.pitchbook.com?c=52852-15", "View company online")</f>
      </c>
    </row>
    <row r="14">
      <c r="A14" s="27" t="inlineStr">
        <is>
          <t>108882-55</t>
        </is>
      </c>
      <c r="B14" s="28" t="inlineStr">
        <is>
          <t>Zycada Networks</t>
        </is>
      </c>
      <c r="C14" s="29" t="inlineStr">
        <is>
          <t>95035</t>
        </is>
      </c>
      <c r="D14" s="30" t="inlineStr">
        <is>
          <t>Provider of a B2B networking and routing platform. The company offers an application that solves mobile network issues caused by factors such as network congestion and data packet loss.</t>
        </is>
      </c>
      <c r="E14" s="31" t="inlineStr">
        <is>
          <t>Application Software</t>
        </is>
      </c>
      <c r="F14" s="32" t="inlineStr">
        <is>
          <t>Milpitas, CA</t>
        </is>
      </c>
      <c r="G14" s="33" t="inlineStr">
        <is>
          <t>Privately Held (backing)</t>
        </is>
      </c>
      <c r="H14" s="34" t="inlineStr">
        <is>
          <t>Venture Capital-Backed</t>
        </is>
      </c>
      <c r="I14" s="35" t="inlineStr">
        <is>
          <t>Alchemist Accelerator, Cervin Ventures, Chris Sang, Jocelyn Goldfein, MicroVentures, Sierra Ventures</t>
        </is>
      </c>
      <c r="J14" s="36" t="inlineStr">
        <is>
          <t>www.zycada.com</t>
        </is>
      </c>
      <c r="K14" s="37" t="inlineStr">
        <is>
          <t>info@zycada.com</t>
        </is>
      </c>
      <c r="L14" s="38" t="inlineStr">
        <is>
          <t/>
        </is>
      </c>
      <c r="M14" s="39" t="inlineStr">
        <is>
          <t>Subbu Varadarajan</t>
        </is>
      </c>
      <c r="N14" s="40" t="inlineStr">
        <is>
          <t>Co-Founder, Chief Executive Officer &amp; Board Member</t>
        </is>
      </c>
      <c r="O14" s="41" t="inlineStr">
        <is>
          <t>subbu@zycada.com</t>
        </is>
      </c>
      <c r="P14" s="42" t="inlineStr">
        <is>
          <t>+1 (214) 244-6124</t>
        </is>
      </c>
      <c r="Q14" s="43" t="n">
        <v>2014.0</v>
      </c>
      <c r="R14" s="114">
        <f>HYPERLINK("https://my.pitchbook.com?c=108882-55", "View company online")</f>
      </c>
    </row>
    <row r="15">
      <c r="A15" s="9" t="inlineStr">
        <is>
          <t>62229-34</t>
        </is>
      </c>
      <c r="B15" s="10" t="inlineStr">
        <is>
          <t>Zyante</t>
        </is>
      </c>
      <c r="C15" s="11" t="inlineStr">
        <is>
          <t>95031</t>
        </is>
      </c>
      <c r="D15" s="12" t="inlineStr">
        <is>
          <t>Developer of animated, interactive learning material for college education. The company provides interactive online textbooks, as an alternative to conventional paper books. The books are designed for use by students of college STEM (science, technology, engineering and math) programs.</t>
        </is>
      </c>
      <c r="E15" s="13" t="inlineStr">
        <is>
          <t>Publishing</t>
        </is>
      </c>
      <c r="F15" s="14" t="inlineStr">
        <is>
          <t>Los Gatos, CA</t>
        </is>
      </c>
      <c r="G15" s="15" t="inlineStr">
        <is>
          <t>Privately Held (backing)</t>
        </is>
      </c>
      <c r="H15" s="16" t="inlineStr">
        <is>
          <t>Venture Capital-Backed</t>
        </is>
      </c>
      <c r="I15" s="17" t="inlineStr">
        <is>
          <t>Bialla Venture Partners, National Science Foundation, TA Ventures, TEC Ventures</t>
        </is>
      </c>
      <c r="J15" s="18" t="inlineStr">
        <is>
          <t>www.zybooks.com</t>
        </is>
      </c>
      <c r="K15" s="19" t="inlineStr">
        <is>
          <t>info@zybooks.com</t>
        </is>
      </c>
      <c r="L15" s="20" t="inlineStr">
        <is>
          <t/>
        </is>
      </c>
      <c r="M15" s="21" t="inlineStr">
        <is>
          <t>Smita Bakshi</t>
        </is>
      </c>
      <c r="N15" s="22" t="inlineStr">
        <is>
          <t>Co-Founder and Chief Executive Officer</t>
        </is>
      </c>
      <c r="O15" s="23" t="inlineStr">
        <is>
          <t>smita.bakshi@zybooks.com</t>
        </is>
      </c>
      <c r="P15" s="24" t="inlineStr">
        <is>
          <t/>
        </is>
      </c>
      <c r="Q15" s="25" t="n">
        <v>2012.0</v>
      </c>
      <c r="R15" s="113">
        <f>HYPERLINK("https://my.pitchbook.com?c=62229-34", "View company online")</f>
      </c>
    </row>
    <row r="16">
      <c r="A16" s="27" t="inlineStr">
        <is>
          <t>52214-95</t>
        </is>
      </c>
      <c r="B16" s="28" t="inlineStr">
        <is>
          <t>Zya</t>
        </is>
      </c>
      <c r="C16" s="29" t="inlineStr">
        <is>
          <t>91302</t>
        </is>
      </c>
      <c r="D16" s="30" t="inlineStr">
        <is>
          <t>Developer of music creation software designed to break down the walls of music creation and expression. The company's app Ditty offers a technology platform that powers ultra-fast musical communication across a range of products and integrations with leading global companies enabling users to create music and collaborate with artists on a variety of platforms including web portals, mobile devices and gaming consoles.</t>
        </is>
      </c>
      <c r="E16" s="31" t="inlineStr">
        <is>
          <t>Multimedia and Design Software</t>
        </is>
      </c>
      <c r="F16" s="32" t="inlineStr">
        <is>
          <t>Calabasas, CA</t>
        </is>
      </c>
      <c r="G16" s="33" t="inlineStr">
        <is>
          <t>Privately Held (backing)</t>
        </is>
      </c>
      <c r="H16" s="34" t="inlineStr">
        <is>
          <t>Venture Capital-Backed</t>
        </is>
      </c>
      <c r="I16" s="35" t="inlineStr">
        <is>
          <t>Individual Investor, Intel Capital, Liberty Global Ventures, Shea Ventures</t>
        </is>
      </c>
      <c r="J16" s="36" t="inlineStr">
        <is>
          <t>www.zyamusic.com</t>
        </is>
      </c>
      <c r="K16" s="37" t="inlineStr">
        <is>
          <t>info@zyamusic.com</t>
        </is>
      </c>
      <c r="L16" s="38" t="inlineStr">
        <is>
          <t>+1 (818) 222-6695</t>
        </is>
      </c>
      <c r="M16" s="39" t="inlineStr">
        <is>
          <t>Alberto Lomeli</t>
        </is>
      </c>
      <c r="N16" s="40" t="inlineStr">
        <is>
          <t>Chief Financial Officer</t>
        </is>
      </c>
      <c r="O16" s="41" t="inlineStr">
        <is>
          <t>albert@musicmastermind.com</t>
        </is>
      </c>
      <c r="P16" s="42" t="inlineStr">
        <is>
          <t>+1 (818) 222-6695</t>
        </is>
      </c>
      <c r="Q16" s="43" t="n">
        <v>2008.0</v>
      </c>
      <c r="R16" s="114">
        <f>HYPERLINK("https://my.pitchbook.com?c=52214-95", "View company online")</f>
      </c>
    </row>
    <row r="17">
      <c r="A17" s="9" t="inlineStr">
        <is>
          <t>117491-32</t>
        </is>
      </c>
      <c r="B17" s="10" t="inlineStr">
        <is>
          <t>Zwift</t>
        </is>
      </c>
      <c r="C17" s="11" t="inlineStr">
        <is>
          <t>90802</t>
        </is>
      </c>
      <c r="D17" s="12" t="inlineStr">
        <is>
          <t>Provider of interactive fitness entertainment platform. The company is a cycling community built on gaming software that connects to indoor training. It has built software that from the comfort of user's own home or local gym allows to feel like they are riding alongside road.</t>
        </is>
      </c>
      <c r="E17" s="13" t="inlineStr">
        <is>
          <t>Entertainment Software</t>
        </is>
      </c>
      <c r="F17" s="14" t="inlineStr">
        <is>
          <t>Long Beach, CA</t>
        </is>
      </c>
      <c r="G17" s="15" t="inlineStr">
        <is>
          <t>Privately Held (backing)</t>
        </is>
      </c>
      <c r="H17" s="16" t="inlineStr">
        <is>
          <t>Venture Capital-Backed</t>
        </is>
      </c>
      <c r="I17" s="17" t="inlineStr">
        <is>
          <t>COLOPL, Max Levchin, Novator Partners, Samchuly Bicycle Company, Shasta Ventures, Waypoint</t>
        </is>
      </c>
      <c r="J17" s="18" t="inlineStr">
        <is>
          <t>www.zwift.com</t>
        </is>
      </c>
      <c r="K17" s="19" t="inlineStr">
        <is>
          <t>info@zwift.com</t>
        </is>
      </c>
      <c r="L17" s="20" t="inlineStr">
        <is>
          <t/>
        </is>
      </c>
      <c r="M17" s="21" t="inlineStr">
        <is>
          <t>Eric Min</t>
        </is>
      </c>
      <c r="N17" s="22" t="inlineStr">
        <is>
          <t>Chief Executive Officer &amp; Co-Founder</t>
        </is>
      </c>
      <c r="O17" s="23" t="inlineStr">
        <is>
          <t>eric@zwift.com</t>
        </is>
      </c>
      <c r="P17" s="24" t="inlineStr">
        <is>
          <t/>
        </is>
      </c>
      <c r="Q17" s="25" t="n">
        <v>2014.0</v>
      </c>
      <c r="R17" s="113">
        <f>HYPERLINK("https://my.pitchbook.com?c=117491-32", "View company online")</f>
      </c>
    </row>
    <row r="18">
      <c r="A18" s="27" t="inlineStr">
        <is>
          <t>104312-26</t>
        </is>
      </c>
      <c r="B18" s="28" t="inlineStr">
        <is>
          <t>Z-Wave Alliance</t>
        </is>
      </c>
      <c r="C18" s="86">
        <f>HYPERLINK("https://my.pitchbook.com?rrp=104312-26&amp;type=c", "This Company's information is not available to download. Need this Company? Request availability")</f>
      </c>
      <c r="D18" s="30" t="inlineStr">
        <is>
          <t/>
        </is>
      </c>
      <c r="E18" s="31" t="inlineStr">
        <is>
          <t/>
        </is>
      </c>
      <c r="F18" s="32" t="inlineStr">
        <is>
          <t/>
        </is>
      </c>
      <c r="G18" s="33" t="inlineStr">
        <is>
          <t/>
        </is>
      </c>
      <c r="H18" s="34" t="inlineStr">
        <is>
          <t/>
        </is>
      </c>
      <c r="I18" s="35" t="inlineStr">
        <is>
          <t/>
        </is>
      </c>
      <c r="J18" s="36" t="inlineStr">
        <is>
          <t/>
        </is>
      </c>
      <c r="K18" s="37" t="inlineStr">
        <is>
          <t/>
        </is>
      </c>
      <c r="L18" s="38" t="inlineStr">
        <is>
          <t/>
        </is>
      </c>
      <c r="M18" s="39" t="inlineStr">
        <is>
          <t/>
        </is>
      </c>
      <c r="N18" s="40" t="inlineStr">
        <is>
          <t/>
        </is>
      </c>
      <c r="O18" s="41" t="inlineStr">
        <is>
          <t/>
        </is>
      </c>
      <c r="P18" s="42" t="inlineStr">
        <is>
          <t/>
        </is>
      </c>
      <c r="Q18" s="43" t="inlineStr">
        <is>
          <t/>
        </is>
      </c>
      <c r="R18" s="44" t="inlineStr">
        <is>
          <t/>
        </is>
      </c>
    </row>
    <row r="19">
      <c r="A19" s="9" t="inlineStr">
        <is>
          <t>103593-34</t>
        </is>
      </c>
      <c r="B19" s="10" t="inlineStr">
        <is>
          <t>Zurf</t>
        </is>
      </c>
      <c r="C19" s="11" t="inlineStr">
        <is>
          <t>94107</t>
        </is>
      </c>
      <c r="D19" s="12" t="inlineStr">
        <is>
          <t>Developer of a mobile-based browsing application. The company's browsing application offers a social tool, enabling users to browse web with real-time voice and chat with their friends and also allows them to leave a sticky note on any item on any website that they can then comment on.</t>
        </is>
      </c>
      <c r="E19" s="13" t="inlineStr">
        <is>
          <t>Social/Platform Software</t>
        </is>
      </c>
      <c r="F19" s="14" t="inlineStr">
        <is>
          <t>San Francisco, CA</t>
        </is>
      </c>
      <c r="G19" s="15" t="inlineStr">
        <is>
          <t>Privately Held (backing)</t>
        </is>
      </c>
      <c r="H19" s="16" t="inlineStr">
        <is>
          <t>Venture Capital-Backed</t>
        </is>
      </c>
      <c r="I19" s="17" t="inlineStr">
        <is>
          <t>Bobby Yazdani, Geekdom SF, Signatures Capital</t>
        </is>
      </c>
      <c r="J19" s="18" t="inlineStr">
        <is>
          <t>www.zurfapp.com</t>
        </is>
      </c>
      <c r="K19" s="19" t="inlineStr">
        <is>
          <t/>
        </is>
      </c>
      <c r="L19" s="20" t="inlineStr">
        <is>
          <t/>
        </is>
      </c>
      <c r="M19" s="21" t="inlineStr">
        <is>
          <t>Shahin Shadfar</t>
        </is>
      </c>
      <c r="N19" s="22" t="inlineStr">
        <is>
          <t>Co-Founder &amp; Chief Executive Officer</t>
        </is>
      </c>
      <c r="O19" s="23" t="inlineStr">
        <is>
          <t>shahin@webinato.com</t>
        </is>
      </c>
      <c r="P19" s="24" t="inlineStr">
        <is>
          <t/>
        </is>
      </c>
      <c r="Q19" s="25" t="n">
        <v>2013.0</v>
      </c>
      <c r="R19" s="113">
        <f>HYPERLINK("https://my.pitchbook.com?c=103593-34", "View company online")</f>
      </c>
    </row>
    <row r="20">
      <c r="A20" s="27" t="inlineStr">
        <is>
          <t>51251-95</t>
        </is>
      </c>
      <c r="B20" s="28" t="inlineStr">
        <is>
          <t>Zuora</t>
        </is>
      </c>
      <c r="C20" s="29" t="inlineStr">
        <is>
          <t>94404</t>
        </is>
      </c>
      <c r="D20" s="30" t="inlineStr">
        <is>
          <t>Provider of an on-demand subscription billing and Relationship Business Management (RBM) platform. The company offers an end-to-end subscription management platform helping the businesses in automating recurring billing and collections, configuring, pricing as well as quoting for recurring revenue businesses.</t>
        </is>
      </c>
      <c r="E20" s="31" t="inlineStr">
        <is>
          <t>Other Software</t>
        </is>
      </c>
      <c r="F20" s="32" t="inlineStr">
        <is>
          <t>Foster City, CA</t>
        </is>
      </c>
      <c r="G20" s="33" t="inlineStr">
        <is>
          <t>Privately Held (backing)</t>
        </is>
      </c>
      <c r="H20" s="34" t="inlineStr">
        <is>
          <t>Venture Capital-Backed</t>
        </is>
      </c>
      <c r="I20" s="35" t="inlineStr">
        <is>
          <t>Benchmark Capital, BlackRock Private Equity Partners, DAG Ventures, David Duffield, Greylock Partners, Index Ventures (UK), Individual Investor, Lehman Brothers, Marc Benioff, Next World Capital, Northgate Capital, Passport Capital, Premji Invest, Redpoint eventures, Redpoint Ventures, SharesPost, Shasta Ventures, Team Builder Ventures, Tenaya Capital, The Hartford Financial Services Group, VSL Partners, Vulcan Capital, Webb Investment Network, Wellington Management</t>
        </is>
      </c>
      <c r="J20" s="36" t="inlineStr">
        <is>
          <t>www.zuora.com</t>
        </is>
      </c>
      <c r="K20" s="37" t="inlineStr">
        <is>
          <t>info@zuora.com</t>
        </is>
      </c>
      <c r="L20" s="38" t="inlineStr">
        <is>
          <t>+1 (800) 425-1281</t>
        </is>
      </c>
      <c r="M20" s="39" t="inlineStr">
        <is>
          <t>Tyler Sloat</t>
        </is>
      </c>
      <c r="N20" s="40" t="inlineStr">
        <is>
          <t>Chief Financial Officer</t>
        </is>
      </c>
      <c r="O20" s="41" t="inlineStr">
        <is>
          <t>tyler.sloat@zuora.com</t>
        </is>
      </c>
      <c r="P20" s="42" t="inlineStr">
        <is>
          <t>+1 (800) 425-1281</t>
        </is>
      </c>
      <c r="Q20" s="43" t="n">
        <v>2007.0</v>
      </c>
      <c r="R20" s="114">
        <f>HYPERLINK("https://my.pitchbook.com?c=51251-95", "View company online")</f>
      </c>
    </row>
    <row r="21">
      <c r="A21" s="9" t="inlineStr">
        <is>
          <t>55336-69</t>
        </is>
      </c>
      <c r="B21" s="10" t="inlineStr">
        <is>
          <t>Zumper</t>
        </is>
      </c>
      <c r="C21" s="11" t="inlineStr">
        <is>
          <t>94108</t>
        </is>
      </c>
      <c r="D21" s="12" t="inlineStr">
        <is>
          <t>Provider of a mobile and Web-based listing service for homes and apartments. The company builds relationships with landlords and brokers to market their accommodations directly through its online tenant community.</t>
        </is>
      </c>
      <c r="E21" s="13" t="inlineStr">
        <is>
          <t>Social/Platform Software</t>
        </is>
      </c>
      <c r="F21" s="14" t="inlineStr">
        <is>
          <t>San Francisco, CA</t>
        </is>
      </c>
      <c r="G21" s="15" t="inlineStr">
        <is>
          <t>Privately Held (backing)</t>
        </is>
      </c>
      <c r="H21" s="16" t="inlineStr">
        <is>
          <t>Venture Capital-Backed</t>
        </is>
      </c>
      <c r="I21" s="17" t="inlineStr">
        <is>
          <t>Andreessen Horowitz, Breyer Capital, CrunchFund, Dawn Capital, DeWilde family trust, Foxhaven Asset Management, Goodwater Capital, Greylock Partners, Inman Incubator, Kleiner Perkins Caufield &amp; Byers, Marcus &amp; Millichap, New Enterprise Associates, Scott Cook, Xfund</t>
        </is>
      </c>
      <c r="J21" s="18" t="inlineStr">
        <is>
          <t>www.zumper.com</t>
        </is>
      </c>
      <c r="K21" s="19" t="inlineStr">
        <is>
          <t>hello@zumper.com</t>
        </is>
      </c>
      <c r="L21" s="20" t="inlineStr">
        <is>
          <t/>
        </is>
      </c>
      <c r="M21" s="21" t="inlineStr">
        <is>
          <t>Anthemos Georgiades</t>
        </is>
      </c>
      <c r="N21" s="22" t="inlineStr">
        <is>
          <t>Co-Founder, Chief Executive Officer &amp; Board Member</t>
        </is>
      </c>
      <c r="O21" s="23" t="inlineStr">
        <is>
          <t>anthemos@zumper.com</t>
        </is>
      </c>
      <c r="P21" s="24" t="inlineStr">
        <is>
          <t/>
        </is>
      </c>
      <c r="Q21" s="25" t="n">
        <v>2012.0</v>
      </c>
      <c r="R21" s="113">
        <f>HYPERLINK("https://my.pitchbook.com?c=55336-69", "View company online")</f>
      </c>
    </row>
    <row r="22">
      <c r="A22" s="27" t="inlineStr">
        <is>
          <t>59948-02</t>
        </is>
      </c>
      <c r="B22" s="28" t="inlineStr">
        <is>
          <t>Zumigo</t>
        </is>
      </c>
      <c r="C22" s="29" t="inlineStr">
        <is>
          <t>95110</t>
        </is>
      </c>
      <c r="D22" s="30" t="inlineStr">
        <is>
          <t>Provider of a mobile device location and identity verification software. The company provides location-based software products through context aware applications to secure financial transactions. It offers a cross-carrier platform which allows institutions to access and deliver financial data from their subscribers' mobile devices.</t>
        </is>
      </c>
      <c r="E22" s="31" t="inlineStr">
        <is>
          <t>Application Software</t>
        </is>
      </c>
      <c r="F22" s="32" t="inlineStr">
        <is>
          <t>San Jose, CA</t>
        </is>
      </c>
      <c r="G22" s="33" t="inlineStr">
        <is>
          <t>Privately Held (backing)</t>
        </is>
      </c>
      <c r="H22" s="34" t="inlineStr">
        <is>
          <t>Venture Capital-Backed</t>
        </is>
      </c>
      <c r="I22" s="35" t="inlineStr">
        <is>
          <t>Aligned Partners, Capital One Growth Ventures, Individual Investor, Intel Capital, Wells Fargo Startup Accelerator, Wild Basin Investments</t>
        </is>
      </c>
      <c r="J22" s="36" t="inlineStr">
        <is>
          <t>www.zumigo.com</t>
        </is>
      </c>
      <c r="K22" s="37" t="inlineStr">
        <is>
          <t/>
        </is>
      </c>
      <c r="L22" s="38" t="inlineStr">
        <is>
          <t>+1 (408) 858-1951</t>
        </is>
      </c>
      <c r="M22" s="39" t="inlineStr">
        <is>
          <t>Chirag Bakshi</t>
        </is>
      </c>
      <c r="N22" s="40" t="inlineStr">
        <is>
          <t>Co-Founder, Chief Executive Officer &amp; Board Member</t>
        </is>
      </c>
      <c r="O22" s="41" t="inlineStr">
        <is>
          <t>chirag@zumigo.com</t>
        </is>
      </c>
      <c r="P22" s="42" t="inlineStr">
        <is>
          <t>+1 (408) 858-1951</t>
        </is>
      </c>
      <c r="Q22" s="43" t="n">
        <v>2008.0</v>
      </c>
      <c r="R22" s="114">
        <f>HYPERLINK("https://my.pitchbook.com?c=59948-02", "View company online")</f>
      </c>
    </row>
    <row r="23">
      <c r="A23" s="9" t="inlineStr">
        <is>
          <t>148845-52</t>
        </is>
      </c>
      <c r="B23" s="10" t="inlineStr">
        <is>
          <t>Zume Pizza</t>
        </is>
      </c>
      <c r="C23" s="11" t="inlineStr">
        <is>
          <t>94043</t>
        </is>
      </c>
      <c r="D23" s="12" t="inlineStr">
        <is>
          <t>Provider of pizza services with help of robots. The company is engaged in production and door to door delivery of artisan pizzas for which it uses robots and machine intelligence.</t>
        </is>
      </c>
      <c r="E23" s="13" t="inlineStr">
        <is>
          <t>Food Products</t>
        </is>
      </c>
      <c r="F23" s="14" t="inlineStr">
        <is>
          <t>Mountain View, CA</t>
        </is>
      </c>
      <c r="G23" s="15" t="inlineStr">
        <is>
          <t>Privately Held (backing)</t>
        </is>
      </c>
      <c r="H23" s="16" t="inlineStr">
        <is>
          <t>Venture Capital-Backed</t>
        </is>
      </c>
      <c r="I23" s="17" t="inlineStr">
        <is>
          <t>AME Cloud Ventures, Kortschak Investments, Maveron, SignalFire</t>
        </is>
      </c>
      <c r="J23" s="18" t="inlineStr">
        <is>
          <t>www.zumepizza.com</t>
        </is>
      </c>
      <c r="K23" s="19" t="inlineStr">
        <is>
          <t>contact@zumepizza.com</t>
        </is>
      </c>
      <c r="L23" s="20" t="inlineStr">
        <is>
          <t>+1 (866) 863-9863</t>
        </is>
      </c>
      <c r="M23" s="21" t="inlineStr">
        <is>
          <t>Julia Collins</t>
        </is>
      </c>
      <c r="N23" s="22" t="inlineStr">
        <is>
          <t>Chief Executive Officer &amp; Co-Founder</t>
        </is>
      </c>
      <c r="O23" s="23" t="inlineStr">
        <is>
          <t>julia@zumepizza.com</t>
        </is>
      </c>
      <c r="P23" s="24" t="inlineStr">
        <is>
          <t>+1 (866) 863-9863</t>
        </is>
      </c>
      <c r="Q23" s="25" t="n">
        <v>2015.0</v>
      </c>
      <c r="R23" s="113">
        <f>HYPERLINK("https://my.pitchbook.com?c=148845-52", "View company online")</f>
      </c>
    </row>
    <row r="24">
      <c r="A24" s="27" t="inlineStr">
        <is>
          <t>103746-25</t>
        </is>
      </c>
      <c r="B24" s="28" t="inlineStr">
        <is>
          <t>Zuman</t>
        </is>
      </c>
      <c r="C24" s="29" t="inlineStr">
        <is>
          <t>94588</t>
        </is>
      </c>
      <c r="D24" s="30" t="inlineStr">
        <is>
          <t>Provider of a cloud-based Human Resource software created to help in recruiting and staffing. The company's cloud based HR software helps recruiters manage HR outsourcing, payroll outsourcing and benefits administration - people operations enabling firms to automate human resources operations and save effort and time.</t>
        </is>
      </c>
      <c r="E24" s="31" t="inlineStr">
        <is>
          <t>Human Capital Services</t>
        </is>
      </c>
      <c r="F24" s="32" t="inlineStr">
        <is>
          <t>Pleasanton, CA</t>
        </is>
      </c>
      <c r="G24" s="33" t="inlineStr">
        <is>
          <t>Privately Held (backing)</t>
        </is>
      </c>
      <c r="H24" s="34" t="inlineStr">
        <is>
          <t>Venture Capital-Backed</t>
        </is>
      </c>
      <c r="I24" s="35" t="inlineStr">
        <is>
          <t/>
        </is>
      </c>
      <c r="J24" s="36" t="inlineStr">
        <is>
          <t>www.zuman.com</t>
        </is>
      </c>
      <c r="K24" s="37" t="inlineStr">
        <is>
          <t>info@zuman.com</t>
        </is>
      </c>
      <c r="L24" s="38" t="inlineStr">
        <is>
          <t>+1 (925) 463-2800</t>
        </is>
      </c>
      <c r="M24" s="39" t="inlineStr">
        <is>
          <t>Douglas Devlin</t>
        </is>
      </c>
      <c r="N24" s="40" t="inlineStr">
        <is>
          <t>Co-Founder &amp; Chief Executive Officer</t>
        </is>
      </c>
      <c r="O24" s="41" t="inlineStr">
        <is>
          <t>doug.devlin@zuman.com</t>
        </is>
      </c>
      <c r="P24" s="42" t="inlineStr">
        <is>
          <t>+1 (925) 463-2800</t>
        </is>
      </c>
      <c r="Q24" s="43" t="n">
        <v>2012.0</v>
      </c>
      <c r="R24" s="114">
        <f>HYPERLINK("https://my.pitchbook.com?c=103746-25", "View company online")</f>
      </c>
    </row>
    <row r="25">
      <c r="A25" s="9" t="inlineStr">
        <is>
          <t>104840-56</t>
        </is>
      </c>
      <c r="B25" s="10" t="inlineStr">
        <is>
          <t>Zuma Ventures</t>
        </is>
      </c>
      <c r="C25" s="11" t="inlineStr">
        <is>
          <t>90401</t>
        </is>
      </c>
      <c r="D25" s="12" t="inlineStr">
        <is>
          <t>Provider of services in order to help startup companies to launch. The company provides services and technological support to help entities to build from ideation to launch independently.</t>
        </is>
      </c>
      <c r="E25" s="13" t="inlineStr">
        <is>
          <t>Other Commercial Services</t>
        </is>
      </c>
      <c r="F25" s="14" t="inlineStr">
        <is>
          <t>Santa Monica, CA</t>
        </is>
      </c>
      <c r="G25" s="15" t="inlineStr">
        <is>
          <t>Privately Held (backing)</t>
        </is>
      </c>
      <c r="H25" s="16" t="inlineStr">
        <is>
          <t>Venture Capital-Backed</t>
        </is>
      </c>
      <c r="I25" s="17" t="inlineStr">
        <is>
          <t>Aaron Hirschhorn, Burns Israelsen, Derek Smith, EPIC Ventures, Ildar Fazulyanov, Jeff Danley, Jonathan Hung, Karl Israelsen, Kelly Perdew, Michael Liou, Rani Aliahmad, Richard Wolpert, Rick Barry, Vince Thompson</t>
        </is>
      </c>
      <c r="J25" s="18" t="inlineStr">
        <is>
          <t>www.zumavc.com</t>
        </is>
      </c>
      <c r="K25" s="19" t="inlineStr">
        <is>
          <t>contactus@zumavc.com</t>
        </is>
      </c>
      <c r="L25" s="20" t="inlineStr">
        <is>
          <t>+1 (310) 310-2109</t>
        </is>
      </c>
      <c r="M25" s="21" t="inlineStr">
        <is>
          <t>David Carter</t>
        </is>
      </c>
      <c r="N25" s="22" t="inlineStr">
        <is>
          <t>Co-Founder &amp; Chief Executive Officer</t>
        </is>
      </c>
      <c r="O25" s="23" t="inlineStr">
        <is>
          <t>david@zumavc.com</t>
        </is>
      </c>
      <c r="P25" s="24" t="inlineStr">
        <is>
          <t>+1 (310) 310-2109</t>
        </is>
      </c>
      <c r="Q25" s="25" t="n">
        <v>2014.0</v>
      </c>
      <c r="R25" s="113">
        <f>HYPERLINK("https://my.pitchbook.com?c=104840-56", "View company online")</f>
      </c>
    </row>
    <row r="26">
      <c r="A26" s="27" t="inlineStr">
        <is>
          <t>155065-42</t>
        </is>
      </c>
      <c r="B26" s="28" t="inlineStr">
        <is>
          <t>Zum</t>
        </is>
      </c>
      <c r="C26" s="29" t="inlineStr">
        <is>
          <t>94404</t>
        </is>
      </c>
      <c r="D26" s="30" t="inlineStr">
        <is>
          <t>Provider of on demand ride and care services designed for children and youth. The company's ride sharing service provides children and parents with a professionally-trained childcare and scheduled on demand driving service through its mobile application providing them with trust, safety and peace of mind that every parent and child deserves.</t>
        </is>
      </c>
      <c r="E26" s="31" t="inlineStr">
        <is>
          <t>Automotive</t>
        </is>
      </c>
      <c r="F26" s="32" t="inlineStr">
        <is>
          <t>San Mateo, CA</t>
        </is>
      </c>
      <c r="G26" s="33" t="inlineStr">
        <is>
          <t>Privately Held (backing)</t>
        </is>
      </c>
      <c r="H26" s="34" t="inlineStr">
        <is>
          <t>Venture Capital-Backed</t>
        </is>
      </c>
      <c r="I26" s="35" t="inlineStr">
        <is>
          <t>AngelPad, FundersClub, Graphene Ventures, Richmond View Ventures, Sand Hill Angels, Stanford Angels and Entrepreneurs, Tsingyuan Ventures, Ulu Ventures</t>
        </is>
      </c>
      <c r="J26" s="36" t="inlineStr">
        <is>
          <t>www.ridezum.com</t>
        </is>
      </c>
      <c r="K26" s="37" t="inlineStr">
        <is>
          <t/>
        </is>
      </c>
      <c r="L26" s="38" t="inlineStr">
        <is>
          <t>+1 (909) 554-3833</t>
        </is>
      </c>
      <c r="M26" s="39" t="inlineStr">
        <is>
          <t>Hans Galland</t>
        </is>
      </c>
      <c r="N26" s="40" t="inlineStr">
        <is>
          <t>Chief Financial Officer</t>
        </is>
      </c>
      <c r="O26" s="41" t="inlineStr">
        <is>
          <t/>
        </is>
      </c>
      <c r="P26" s="42" t="inlineStr">
        <is>
          <t>+1 (909) 554-3833</t>
        </is>
      </c>
      <c r="Q26" s="43" t="n">
        <v>2014.0</v>
      </c>
      <c r="R26" s="114">
        <f>HYPERLINK("https://my.pitchbook.com?c=155065-42", "View company online")</f>
      </c>
    </row>
    <row r="27">
      <c r="A27" s="9" t="inlineStr">
        <is>
          <t>59892-13</t>
        </is>
      </c>
      <c r="B27" s="10" t="inlineStr">
        <is>
          <t>Zuli</t>
        </is>
      </c>
      <c r="C27" s="11" t="inlineStr">
        <is>
          <t>94107</t>
        </is>
      </c>
      <c r="D27" s="12" t="inlineStr">
        <is>
          <t>Developer of sensor based smart-plugs. The company offers bluetooth enabled smart-plugs that help users control home appliances and monitor power consumption.</t>
        </is>
      </c>
      <c r="E27" s="13" t="inlineStr">
        <is>
          <t>Electronics (B2C)</t>
        </is>
      </c>
      <c r="F27" s="14" t="inlineStr">
        <is>
          <t>San Francisco, CA</t>
        </is>
      </c>
      <c r="G27" s="15" t="inlineStr">
        <is>
          <t>Privately Held (backing)</t>
        </is>
      </c>
      <c r="H27" s="16" t="inlineStr">
        <is>
          <t>Venture Capital-Backed</t>
        </is>
      </c>
      <c r="I27" s="17" t="inlineStr">
        <is>
          <t>Alireza Masrour, Bobby Ghoshal, DeNA, Hossein Eslambolchi, Individual Investor, J.D. Fagan, Kenneth Ballenegger, Logitech, Marc Bell Capital Partners, Menlo Ventures, Paul Grossinger, Plug and Play Tech Center, Stephen Stokols, Winklevoss Capital Management, XG Ventures</t>
        </is>
      </c>
      <c r="J27" s="18" t="inlineStr">
        <is>
          <t>www.zuli.io</t>
        </is>
      </c>
      <c r="K27" s="19" t="inlineStr">
        <is>
          <t>info@zuli.io</t>
        </is>
      </c>
      <c r="L27" s="20" t="inlineStr">
        <is>
          <t/>
        </is>
      </c>
      <c r="M27" s="21" t="inlineStr">
        <is>
          <t>Taylor Umphreys</t>
        </is>
      </c>
      <c r="N27" s="22" t="inlineStr">
        <is>
          <t>Co-Founder &amp; Chief Executive Officer</t>
        </is>
      </c>
      <c r="O27" s="23" t="inlineStr">
        <is>
          <t>taylor@zuli.io</t>
        </is>
      </c>
      <c r="P27" s="24" t="inlineStr">
        <is>
          <t/>
        </is>
      </c>
      <c r="Q27" s="25" t="n">
        <v>2012.0</v>
      </c>
      <c r="R27" s="113">
        <f>HYPERLINK("https://my.pitchbook.com?c=59892-13", "View company online")</f>
      </c>
    </row>
    <row r="28">
      <c r="A28" s="27" t="inlineStr">
        <is>
          <t>58415-68</t>
        </is>
      </c>
      <c r="B28" s="28" t="inlineStr">
        <is>
          <t>Zukeeni</t>
        </is>
      </c>
      <c r="C28" s="29" t="inlineStr">
        <is>
          <t>95448</t>
        </is>
      </c>
      <c r="D28" s="30" t="inlineStr">
        <is>
          <t>Provider of custom technology services to landscaping industry that enables to expand and accelerate small-scale local food production. The company provides an online personalized vegetable garden planner to plan, grow, and harvest food that schedules various garden activities.</t>
        </is>
      </c>
      <c r="E28" s="31" t="inlineStr">
        <is>
          <t>Environmental Services (B2B)</t>
        </is>
      </c>
      <c r="F28" s="32" t="inlineStr">
        <is>
          <t>Healdsburg, CA</t>
        </is>
      </c>
      <c r="G28" s="33" t="inlineStr">
        <is>
          <t>Privately Held (backing)</t>
        </is>
      </c>
      <c r="H28" s="34" t="inlineStr">
        <is>
          <t>Venture Capital-Backed</t>
        </is>
      </c>
      <c r="I28" s="35" t="inlineStr">
        <is>
          <t>Carolyn McCarthy, Impact Engine, Peggy McCarthy</t>
        </is>
      </c>
      <c r="J28" s="36" t="inlineStr">
        <is>
          <t>www.zukeeni.com</t>
        </is>
      </c>
      <c r="K28" s="37" t="inlineStr">
        <is>
          <t>info@smartgardener.com</t>
        </is>
      </c>
      <c r="L28" s="38" t="inlineStr">
        <is>
          <t/>
        </is>
      </c>
      <c r="M28" s="39" t="inlineStr">
        <is>
          <t>Andrew Beaurline</t>
        </is>
      </c>
      <c r="N28" s="40" t="inlineStr">
        <is>
          <t>Chief Financial Officer</t>
        </is>
      </c>
      <c r="O28" s="41" t="inlineStr">
        <is>
          <t>andrew@smartgardener.com</t>
        </is>
      </c>
      <c r="P28" s="42" t="inlineStr">
        <is>
          <t/>
        </is>
      </c>
      <c r="Q28" s="43" t="n">
        <v>2010.0</v>
      </c>
      <c r="R28" s="114">
        <f>HYPERLINK("https://my.pitchbook.com?c=58415-68", "View company online")</f>
      </c>
    </row>
    <row r="29">
      <c r="A29" s="9" t="inlineStr">
        <is>
          <t>125763-49</t>
        </is>
      </c>
      <c r="B29" s="10" t="inlineStr">
        <is>
          <t>Zugata</t>
        </is>
      </c>
      <c r="C29" s="11" t="inlineStr">
        <is>
          <t>94306</t>
        </is>
      </c>
      <c r="D29" s="12" t="inlineStr">
        <is>
          <t>Provider of an employee feedback platform. The company offers a mobile based software-as-a-service platform that enables employees to receive continuous feedback from the people they work with, along with personalized development resources. It also enables companies to better understand their team and their organization skills to drive effective learning and development programs.</t>
        </is>
      </c>
      <c r="E29" s="13" t="inlineStr">
        <is>
          <t>Social/Platform Software</t>
        </is>
      </c>
      <c r="F29" s="14" t="inlineStr">
        <is>
          <t>Palo Alto, CA</t>
        </is>
      </c>
      <c r="G29" s="15" t="inlineStr">
        <is>
          <t>Privately Held (backing)</t>
        </is>
      </c>
      <c r="H29" s="16" t="inlineStr">
        <is>
          <t>Venture Capital-Backed</t>
        </is>
      </c>
      <c r="I29" s="17" t="inlineStr">
        <is>
          <t>Canaan Partners, Formation 8, General Catalyst Partners, Redpoint Ventures</t>
        </is>
      </c>
      <c r="J29" s="18" t="inlineStr">
        <is>
          <t>www.zugata.com</t>
        </is>
      </c>
      <c r="K29" s="19" t="inlineStr">
        <is>
          <t>info@zugata.com</t>
        </is>
      </c>
      <c r="L29" s="20" t="inlineStr">
        <is>
          <t>+1 (408) 839-7822</t>
        </is>
      </c>
      <c r="M29" s="21" t="inlineStr">
        <is>
          <t>Philippe Van Nuijs</t>
        </is>
      </c>
      <c r="N29" s="22" t="inlineStr">
        <is>
          <t>Chief Technology Officer &amp; Co-Founder</t>
        </is>
      </c>
      <c r="O29" s="23" t="inlineStr">
        <is>
          <t>philippe@zugata.com</t>
        </is>
      </c>
      <c r="P29" s="24" t="inlineStr">
        <is>
          <t>+1 (408) 839-7822</t>
        </is>
      </c>
      <c r="Q29" s="25" t="n">
        <v>2014.0</v>
      </c>
      <c r="R29" s="113">
        <f>HYPERLINK("https://my.pitchbook.com?c=125763-49", "View company online")</f>
      </c>
    </row>
    <row r="30">
      <c r="A30" s="27" t="inlineStr">
        <is>
          <t>99142-57</t>
        </is>
      </c>
      <c r="B30" s="28" t="inlineStr">
        <is>
          <t>Zuckerberg Media</t>
        </is>
      </c>
      <c r="C30" s="29" t="inlineStr">
        <is>
          <t>94025</t>
        </is>
      </c>
      <c r="D30" s="30" t="inlineStr">
        <is>
          <t>Operator of a media and production agency. The company provides a media production house with live streaming capability, creative development, production, post production services and the ability to create and distribute live content for digital, social and traditional media channels.</t>
        </is>
      </c>
      <c r="E30" s="31" t="inlineStr">
        <is>
          <t>Information Services (B2C)</t>
        </is>
      </c>
      <c r="F30" s="32" t="inlineStr">
        <is>
          <t>Menlo Park, CA</t>
        </is>
      </c>
      <c r="G30" s="33" t="inlineStr">
        <is>
          <t>Privately Held (backing)</t>
        </is>
      </c>
      <c r="H30" s="34" t="inlineStr">
        <is>
          <t>Venture Capital-Backed</t>
        </is>
      </c>
      <c r="I30" s="35" t="inlineStr">
        <is>
          <t>Katherine Barr, Kevin Colleran, Lerer Hippeau Ventures</t>
        </is>
      </c>
      <c r="J30" s="36" t="inlineStr">
        <is>
          <t>www.zuckerbergmedia.com</t>
        </is>
      </c>
      <c r="K30" s="37" t="inlineStr">
        <is>
          <t>hello@zuckerbergmedia.com</t>
        </is>
      </c>
      <c r="L30" s="38" t="inlineStr">
        <is>
          <t/>
        </is>
      </c>
      <c r="M30" s="39" t="inlineStr">
        <is>
          <t>Randi Zuckerberg</t>
        </is>
      </c>
      <c r="N30" s="40" t="inlineStr">
        <is>
          <t>Founder &amp; Chief Executive Officer</t>
        </is>
      </c>
      <c r="O30" s="41" t="inlineStr">
        <is>
          <t>randi@zuckerbergmedia.com</t>
        </is>
      </c>
      <c r="P30" s="42" t="inlineStr">
        <is>
          <t/>
        </is>
      </c>
      <c r="Q30" s="43" t="n">
        <v>2011.0</v>
      </c>
      <c r="R30" s="114">
        <f>HYPERLINK("https://my.pitchbook.com?c=99142-57", "View company online")</f>
      </c>
    </row>
    <row r="31">
      <c r="A31" s="9" t="inlineStr">
        <is>
          <t>51197-68</t>
        </is>
      </c>
      <c r="B31" s="10" t="inlineStr">
        <is>
          <t>Zuberance</t>
        </is>
      </c>
      <c r="C31" s="11" t="inlineStr">
        <is>
          <t/>
        </is>
      </c>
      <c r="D31" s="12" t="inlineStr">
        <is>
          <t>Developer of an online marketing software. The company offers an on-demand word of mouth marketing services that enables companies to identify and mobilize their customers to increase sales.</t>
        </is>
      </c>
      <c r="E31" s="13" t="inlineStr">
        <is>
          <t>Vertical Market Software</t>
        </is>
      </c>
      <c r="F31" s="14" t="inlineStr">
        <is>
          <t/>
        </is>
      </c>
      <c r="G31" s="15" t="inlineStr">
        <is>
          <t>Privately Held (backing)</t>
        </is>
      </c>
      <c r="H31" s="16" t="inlineStr">
        <is>
          <t>Venture Capital-Backed</t>
        </is>
      </c>
      <c r="I31" s="17" t="inlineStr">
        <is>
          <t>Correlation Ventures, Emergence Capital Partners</t>
        </is>
      </c>
      <c r="J31" s="18" t="inlineStr">
        <is>
          <t>www.zuberance.com</t>
        </is>
      </c>
      <c r="K31" s="19" t="inlineStr">
        <is>
          <t/>
        </is>
      </c>
      <c r="L31" s="20" t="inlineStr">
        <is>
          <t/>
        </is>
      </c>
      <c r="M31" s="21" t="inlineStr">
        <is>
          <t>Rob Fuggetta</t>
        </is>
      </c>
      <c r="N31" s="22" t="inlineStr">
        <is>
          <t>Founder &amp; Chief Executive Officer</t>
        </is>
      </c>
      <c r="O31" s="23" t="inlineStr">
        <is>
          <t>rob@zuberance.com</t>
        </is>
      </c>
      <c r="P31" s="24" t="inlineStr">
        <is>
          <t>+1 (650) 610-1080</t>
        </is>
      </c>
      <c r="Q31" s="25" t="n">
        <v>2008.0</v>
      </c>
      <c r="R31" s="113">
        <f>HYPERLINK("https://my.pitchbook.com?c=51197-68", "View company online")</f>
      </c>
    </row>
    <row r="32">
      <c r="A32" s="27" t="inlineStr">
        <is>
          <t>12758-05</t>
        </is>
      </c>
      <c r="B32" s="28" t="inlineStr">
        <is>
          <t>zSpace</t>
        </is>
      </c>
      <c r="C32" s="29" t="inlineStr">
        <is>
          <t>94085</t>
        </is>
      </c>
      <c r="D32" s="30" t="inlineStr">
        <is>
          <t>Developer of advanced display technology intended to create mixed reality systems for personal computers. The company's advanced display technology combines elements of virtual and augmented reality in a computer, enabling users to interact with simulated objects in virtual environments as if they are real.</t>
        </is>
      </c>
      <c r="E32" s="31" t="inlineStr">
        <is>
          <t>Other Information Technology</t>
        </is>
      </c>
      <c r="F32" s="32" t="inlineStr">
        <is>
          <t>Sunnyvale, CA</t>
        </is>
      </c>
      <c r="G32" s="33" t="inlineStr">
        <is>
          <t>Privately Held (backing)</t>
        </is>
      </c>
      <c r="H32" s="34" t="inlineStr">
        <is>
          <t>Venture Capital-Backed</t>
        </is>
      </c>
      <c r="I32" s="35" t="inlineStr">
        <is>
          <t>Artiman Ventures, Columbia Capital, In-Q-Tel</t>
        </is>
      </c>
      <c r="J32" s="36" t="inlineStr">
        <is>
          <t>www.zspace.com</t>
        </is>
      </c>
      <c r="K32" s="37" t="inlineStr">
        <is>
          <t/>
        </is>
      </c>
      <c r="L32" s="38" t="inlineStr">
        <is>
          <t>+1 (408) 498-4050</t>
        </is>
      </c>
      <c r="M32" s="39" t="inlineStr">
        <is>
          <t>Joseph Powers</t>
        </is>
      </c>
      <c r="N32" s="40" t="inlineStr">
        <is>
          <t>Chief Financial Officer</t>
        </is>
      </c>
      <c r="O32" s="41" t="inlineStr">
        <is>
          <t/>
        </is>
      </c>
      <c r="P32" s="42" t="inlineStr">
        <is>
          <t>+1 (408) 498-4050</t>
        </is>
      </c>
      <c r="Q32" s="43" t="n">
        <v>2001.0</v>
      </c>
      <c r="R32" s="114">
        <f>HYPERLINK("https://my.pitchbook.com?c=12758-05", "View company online")</f>
      </c>
    </row>
    <row r="33">
      <c r="A33" s="9" t="inlineStr">
        <is>
          <t>55108-72</t>
        </is>
      </c>
      <c r="B33" s="10" t="inlineStr">
        <is>
          <t>Zscaler</t>
        </is>
      </c>
      <c r="C33" s="11" t="inlineStr">
        <is>
          <t>95134</t>
        </is>
      </c>
      <c r="D33" s="12" t="inlineStr">
        <is>
          <t>Provider of a cloud-based Security-as-a-Service platform designed to revolutionizing internet security. The company's Security-as-a-Service platform is a carrier-grade internet security and compliance platform that acts as a series of checkposts in between the organization and the public internet, scanning all incoming and outgoing traffic between any device, anywhere in the world, and the internet to identify and block potential threats and to protect intellectual property, enabling organizations to increase Web security, email security, securing corporate data on mobile devices and data loss prevention.</t>
        </is>
      </c>
      <c r="E33" s="13" t="inlineStr">
        <is>
          <t>Network Management Software</t>
        </is>
      </c>
      <c r="F33" s="14" t="inlineStr">
        <is>
          <t>San Jose, CA</t>
        </is>
      </c>
      <c r="G33" s="15" t="inlineStr">
        <is>
          <t>Privately Held (backing)</t>
        </is>
      </c>
      <c r="H33" s="16" t="inlineStr">
        <is>
          <t>Venture Capital-Backed</t>
        </is>
      </c>
      <c r="I33" s="17" t="inlineStr">
        <is>
          <t>CapitalG, Dell Technologies Capital, EMC Ventures, Lightspeed Venture Partners, Sand Hill East, TPG Growth</t>
        </is>
      </c>
      <c r="J33" s="18" t="inlineStr">
        <is>
          <t>www.zscaler.com</t>
        </is>
      </c>
      <c r="K33" s="19" t="inlineStr">
        <is>
          <t>info@zscaler.com</t>
        </is>
      </c>
      <c r="L33" s="20" t="inlineStr">
        <is>
          <t>+1 (408) 533-0288</t>
        </is>
      </c>
      <c r="M33" s="21" t="inlineStr">
        <is>
          <t>Jay Chaudhry</t>
        </is>
      </c>
      <c r="N33" s="22" t="inlineStr">
        <is>
          <t>Chief Executive Officer, Chairman &amp; Co-Founder</t>
        </is>
      </c>
      <c r="O33" s="23" t="inlineStr">
        <is>
          <t>jay.chaudhry@zscaler.com</t>
        </is>
      </c>
      <c r="P33" s="24" t="inlineStr">
        <is>
          <t>+1 (408) 533-0288</t>
        </is>
      </c>
      <c r="Q33" s="25" t="n">
        <v>2008.0</v>
      </c>
      <c r="R33" s="113">
        <f>HYPERLINK("https://my.pitchbook.com?c=55108-72", "View company online")</f>
      </c>
    </row>
    <row r="34">
      <c r="A34" s="27" t="inlineStr">
        <is>
          <t>61833-43</t>
        </is>
      </c>
      <c r="B34" s="28" t="inlineStr">
        <is>
          <t>ZPower</t>
        </is>
      </c>
      <c r="C34" s="29" t="inlineStr">
        <is>
          <t>93012</t>
        </is>
      </c>
      <c r="D34" s="30" t="inlineStr">
        <is>
          <t>Developer of rechargeable and alkaline batteries for micro battery applications. The company offers micro battery, hearing instruments, body worn medical devices and wearable computing devices.</t>
        </is>
      </c>
      <c r="E34" s="31" t="inlineStr">
        <is>
          <t>Alternative Energy Equipment</t>
        </is>
      </c>
      <c r="F34" s="32" t="inlineStr">
        <is>
          <t>Camarillo, CA</t>
        </is>
      </c>
      <c r="G34" s="33" t="inlineStr">
        <is>
          <t>Privately Held (backing)</t>
        </is>
      </c>
      <c r="H34" s="34" t="inlineStr">
        <is>
          <t>Venture Capital-Backed</t>
        </is>
      </c>
      <c r="I34" s="35" t="inlineStr">
        <is>
          <t>Arsenal Venture Partners, Individual Investor, Intel Capital, Spangler Venture</t>
        </is>
      </c>
      <c r="J34" s="36" t="inlineStr">
        <is>
          <t>www.zpowerbattery.com</t>
        </is>
      </c>
      <c r="K34" s="37" t="inlineStr">
        <is>
          <t>info@zpowerbattery.com</t>
        </is>
      </c>
      <c r="L34" s="38" t="inlineStr">
        <is>
          <t>+1 (866) 364-2909</t>
        </is>
      </c>
      <c r="M34" s="39" t="inlineStr">
        <is>
          <t>Damon Mikoy</t>
        </is>
      </c>
      <c r="N34" s="40" t="inlineStr">
        <is>
          <t>Director, Quality</t>
        </is>
      </c>
      <c r="O34" s="41" t="inlineStr">
        <is>
          <t>damon@zpowerbattery.com</t>
        </is>
      </c>
      <c r="P34" s="42" t="inlineStr">
        <is>
          <t>+1 (866) 364-2909</t>
        </is>
      </c>
      <c r="Q34" s="43" t="n">
        <v>1996.0</v>
      </c>
      <c r="R34" s="114">
        <f>HYPERLINK("https://my.pitchbook.com?c=61833-43", "View company online")</f>
      </c>
    </row>
    <row r="35">
      <c r="A35" s="9" t="inlineStr">
        <is>
          <t>114243-76</t>
        </is>
      </c>
      <c r="B35" s="10" t="inlineStr">
        <is>
          <t>Zowdow</t>
        </is>
      </c>
      <c r="C35" s="11" t="inlineStr">
        <is>
          <t/>
        </is>
      </c>
      <c r="D35" s="12" t="inlineStr">
        <is>
          <t>Provider of a mobile browser and search engine. The company offers a mobile browsing platform to help people search for information faster and more efficiently.</t>
        </is>
      </c>
      <c r="E35" s="13" t="inlineStr">
        <is>
          <t>Information Services (B2C)</t>
        </is>
      </c>
      <c r="F35" s="14" t="inlineStr">
        <is>
          <t>Los Angeles, CA</t>
        </is>
      </c>
      <c r="G35" s="15" t="inlineStr">
        <is>
          <t>Privately Held (backing)</t>
        </is>
      </c>
      <c r="H35" s="16" t="inlineStr">
        <is>
          <t>Venture Capital-Backed</t>
        </is>
      </c>
      <c r="I35" s="17" t="inlineStr">
        <is>
          <t>500 Startups, Altpoint Ventures, Clearstone Venture Partners, Idealab, March Capital Partners, Pritzker Group Venture Capital, Wavemaker Partners, Xurpas</t>
        </is>
      </c>
      <c r="J35" s="18" t="inlineStr">
        <is>
          <t>www.quickly.co</t>
        </is>
      </c>
      <c r="K35" s="19" t="inlineStr">
        <is>
          <t>info@zowdow.com</t>
        </is>
      </c>
      <c r="L35" s="20" t="inlineStr">
        <is>
          <t/>
        </is>
      </c>
      <c r="M35" s="21" t="inlineStr">
        <is>
          <t>Paul Ryan</t>
        </is>
      </c>
      <c r="N35" s="22" t="inlineStr">
        <is>
          <t>Co-Founder &amp; Chief Technology Officer</t>
        </is>
      </c>
      <c r="O35" s="23" t="inlineStr">
        <is>
          <t>paul.ryan@quickly.co</t>
        </is>
      </c>
      <c r="P35" s="24" t="inlineStr">
        <is>
          <t>+1 (626) 535-2757</t>
        </is>
      </c>
      <c r="Q35" s="25" t="n">
        <v>2015.0</v>
      </c>
      <c r="R35" s="113">
        <f>HYPERLINK("https://my.pitchbook.com?c=114243-76", "View company online")</f>
      </c>
    </row>
    <row r="36">
      <c r="A36" s="27" t="inlineStr">
        <is>
          <t>54701-11</t>
        </is>
      </c>
      <c r="B36" s="28" t="inlineStr">
        <is>
          <t>ZooZ</t>
        </is>
      </c>
      <c r="C36" s="29" t="inlineStr">
        <is>
          <t>94133</t>
        </is>
      </c>
      <c r="D36" s="30" t="inlineStr">
        <is>
          <t>Provider of a mobile payment platform. The company provides a payments platform for merchants to connect with multiple financial institutions, integrate acquirers, e-wallets, alternative payment methods, fraud management and other third-party services and route transactions through the entire payment process.</t>
        </is>
      </c>
      <c r="E36" s="31" t="inlineStr">
        <is>
          <t>Financial Software</t>
        </is>
      </c>
      <c r="F36" s="32" t="inlineStr">
        <is>
          <t>San Francisco, CA</t>
        </is>
      </c>
      <c r="G36" s="33" t="inlineStr">
        <is>
          <t>Privately Held (backing)</t>
        </is>
      </c>
      <c r="H36" s="34" t="inlineStr">
        <is>
          <t>Venture Capital-Backed</t>
        </is>
      </c>
      <c r="I36" s="35" t="inlineStr">
        <is>
          <t>2B Angels, Access Industries, Aixam-Mega, Blumberg Capital, Camp One Ventures, ClalTech, Eilon Tirosh, Fang Fund Partners, Georgia Tech VentureLab, iAngels, Jaina Capital, Jérémie Berrebi, Kima Ventures, Kreos Capital, Lool Ventures, Orefa Investment, Rhodium, Target Global, XSeed Capital, Yuval Tal</t>
        </is>
      </c>
      <c r="J36" s="36" t="inlineStr">
        <is>
          <t>www.zooz.com</t>
        </is>
      </c>
      <c r="K36" s="37" t="inlineStr">
        <is>
          <t>info@zooz.com</t>
        </is>
      </c>
      <c r="L36" s="38" t="inlineStr">
        <is>
          <t>+1 (855) 585-9669</t>
        </is>
      </c>
      <c r="M36" s="39" t="inlineStr">
        <is>
          <t>Oren Levy</t>
        </is>
      </c>
      <c r="N36" s="40" t="inlineStr">
        <is>
          <t>Co-Founder &amp; Chief Executive Officer</t>
        </is>
      </c>
      <c r="O36" s="41" t="inlineStr">
        <is>
          <t>oren@zooz.com</t>
        </is>
      </c>
      <c r="P36" s="42" t="inlineStr">
        <is>
          <t>+972 (0)9 773 7044</t>
        </is>
      </c>
      <c r="Q36" s="43" t="n">
        <v>2010.0</v>
      </c>
      <c r="R36" s="114">
        <f>HYPERLINK("https://my.pitchbook.com?c=54701-11", "View company online")</f>
      </c>
    </row>
    <row r="37">
      <c r="A37" s="9" t="inlineStr">
        <is>
          <t>160140-70</t>
        </is>
      </c>
      <c r="B37" s="10" t="inlineStr">
        <is>
          <t>Zoox</t>
        </is>
      </c>
      <c r="C37" s="11" t="inlineStr">
        <is>
          <t>94025</t>
        </is>
      </c>
      <c r="D37" s="12" t="inlineStr">
        <is>
          <t>Designer and manufacturer of self-driving vehicles and control systems. The company's self-driving vehicles and control systems are fully automated, electric vehicle fleets and provides mobility-as-a-service in urban environments.</t>
        </is>
      </c>
      <c r="E37" s="13" t="inlineStr">
        <is>
          <t>Automotive</t>
        </is>
      </c>
      <c r="F37" s="14" t="inlineStr">
        <is>
          <t>Menlo Park, CA</t>
        </is>
      </c>
      <c r="G37" s="15" t="inlineStr">
        <is>
          <t>Privately Held (backing)</t>
        </is>
      </c>
      <c r="H37" s="16" t="inlineStr">
        <is>
          <t>Venture Capital-Backed</t>
        </is>
      </c>
      <c r="I37" s="17" t="inlineStr">
        <is>
          <t>Aid Partners Capital Holdings, Blackbird Ventures, Breyer Capital, Composite Capital Partners, Draper Fisher Jurvetson, Lux Capital, Mistletoe Technologies, Raptor Group, Thomas Tull</t>
        </is>
      </c>
      <c r="J37" s="18" t="inlineStr">
        <is>
          <t>www.zoox.com</t>
        </is>
      </c>
      <c r="K37" s="19" t="inlineStr">
        <is>
          <t>wild@zoox.com</t>
        </is>
      </c>
      <c r="L37" s="20" t="inlineStr">
        <is>
          <t/>
        </is>
      </c>
      <c r="M37" s="21" t="inlineStr">
        <is>
          <t>Tim Kentley-Klay</t>
        </is>
      </c>
      <c r="N37" s="22" t="inlineStr">
        <is>
          <t>Co-Founder, President, Chief Executive Officer &amp; Board Member</t>
        </is>
      </c>
      <c r="O37" s="23" t="inlineStr">
        <is>
          <t>tim@zoox.com</t>
        </is>
      </c>
      <c r="P37" s="24" t="inlineStr">
        <is>
          <t/>
        </is>
      </c>
      <c r="Q37" s="25" t="n">
        <v>2014.0</v>
      </c>
      <c r="R37" s="113">
        <f>HYPERLINK("https://my.pitchbook.com?c=160140-70", "View company online")</f>
      </c>
    </row>
    <row r="38">
      <c r="A38" s="27" t="inlineStr">
        <is>
          <t>98506-36</t>
        </is>
      </c>
      <c r="B38" s="28" t="inlineStr">
        <is>
          <t>Zootrock</t>
        </is>
      </c>
      <c r="C38" s="29" t="inlineStr">
        <is>
          <t>94123</t>
        </is>
      </c>
      <c r="D38" s="30" t="inlineStr">
        <is>
          <t>Provider of contents for social media accounts. The company generates automated curated content to populate tweets and posts so that the users don't have to spend the time sourcing relevant content to post.</t>
        </is>
      </c>
      <c r="E38" s="31" t="inlineStr">
        <is>
          <t>Information Services (B2C)</t>
        </is>
      </c>
      <c r="F38" s="32" t="inlineStr">
        <is>
          <t>San Francisco, CA</t>
        </is>
      </c>
      <c r="G38" s="33" t="inlineStr">
        <is>
          <t>Privately Held (backing)</t>
        </is>
      </c>
      <c r="H38" s="34" t="inlineStr">
        <is>
          <t>Venture Capital-Backed</t>
        </is>
      </c>
      <c r="I38" s="35" t="inlineStr">
        <is>
          <t>500 Startups, Brian Schultz, Structure Capital</t>
        </is>
      </c>
      <c r="J38" s="36" t="inlineStr">
        <is>
          <t>www.zootrock.com</t>
        </is>
      </c>
      <c r="K38" s="37" t="inlineStr">
        <is>
          <t/>
        </is>
      </c>
      <c r="L38" s="38" t="inlineStr">
        <is>
          <t/>
        </is>
      </c>
      <c r="M38" s="39" t="inlineStr">
        <is>
          <t>Audrey Melnik</t>
        </is>
      </c>
      <c r="N38" s="40" t="inlineStr">
        <is>
          <t>Co-Founder &amp; Chief Executive Officer</t>
        </is>
      </c>
      <c r="O38" s="41" t="inlineStr">
        <is>
          <t>audrey@zootrock.com</t>
        </is>
      </c>
      <c r="P38" s="42" t="inlineStr">
        <is>
          <t/>
        </is>
      </c>
      <c r="Q38" s="43" t="n">
        <v>2013.0</v>
      </c>
      <c r="R38" s="114">
        <f>HYPERLINK("https://my.pitchbook.com?c=98506-36", "View company online")</f>
      </c>
    </row>
    <row r="39">
      <c r="A39" s="9" t="inlineStr">
        <is>
          <t>51667-66</t>
        </is>
      </c>
      <c r="B39" s="10" t="inlineStr">
        <is>
          <t>Zoosk</t>
        </is>
      </c>
      <c r="C39" s="11" t="inlineStr">
        <is>
          <t>94103</t>
        </is>
      </c>
      <c r="D39" s="12" t="inlineStr">
        <is>
          <t>Operator of an online social dating application designed to empower everyone to lead a more fulfilling love life. The company's social dating application offers mobile services and a downloadable desktop application through its website that provides online dating experience by utilizing its behavioral matchmaking algorithm and user's clicking activity, enabling individuals to find the person and relationship that is right for them.</t>
        </is>
      </c>
      <c r="E39" s="13" t="inlineStr">
        <is>
          <t>Social/Platform Software</t>
        </is>
      </c>
      <c r="F39" s="14" t="inlineStr">
        <is>
          <t>San Francisco, CA</t>
        </is>
      </c>
      <c r="G39" s="15" t="inlineStr">
        <is>
          <t>Privately Held (backing)</t>
        </is>
      </c>
      <c r="H39" s="16" t="inlineStr">
        <is>
          <t>Venture Capital-Backed</t>
        </is>
      </c>
      <c r="I39" s="17" t="inlineStr">
        <is>
          <t>Amidzad Partners, ATA Ventures, Bessemer Venture Partners, Canaan Partners, Crosslink Capital, Crossroads Capital, Fábrica De Startups, Jeffery Epstein, Plug and Play Tech Center, Saeed Amidi</t>
        </is>
      </c>
      <c r="J39" s="18" t="inlineStr">
        <is>
          <t>www.zoosk.com</t>
        </is>
      </c>
      <c r="K39" s="19" t="inlineStr">
        <is>
          <t>info@zoosk.com</t>
        </is>
      </c>
      <c r="L39" s="20" t="inlineStr">
        <is>
          <t/>
        </is>
      </c>
      <c r="M39" s="21" t="inlineStr">
        <is>
          <t>Kelly Steckelberg</t>
        </is>
      </c>
      <c r="N39" s="22" t="inlineStr">
        <is>
          <t>Chief Executive Officer, Chief Financial Officer, Chief Operating Officer &amp; Board Member</t>
        </is>
      </c>
      <c r="O39" s="23" t="inlineStr">
        <is>
          <t>kelly.steckelberg@zoosk.com</t>
        </is>
      </c>
      <c r="P39" s="24" t="inlineStr">
        <is>
          <t/>
        </is>
      </c>
      <c r="Q39" s="25" t="n">
        <v>2007.0</v>
      </c>
      <c r="R39" s="113">
        <f>HYPERLINK("https://my.pitchbook.com?c=51667-66", "View company online")</f>
      </c>
    </row>
    <row r="40">
      <c r="A40" s="27" t="inlineStr">
        <is>
          <t>98515-45</t>
        </is>
      </c>
      <c r="B40" s="28" t="inlineStr">
        <is>
          <t>Zoomforth</t>
        </is>
      </c>
      <c r="C40" s="29" t="inlineStr">
        <is>
          <t>94103</t>
        </is>
      </c>
      <c r="D40" s="30" t="inlineStr">
        <is>
          <t>Provider of a communication platform. The company's platform helps organizations to gather rich media content and organize into trackable, online presentations and pages for sales, recruiting and learning and development purposes.</t>
        </is>
      </c>
      <c r="E40" s="31" t="inlineStr">
        <is>
          <t>Communication Software</t>
        </is>
      </c>
      <c r="F40" s="32" t="inlineStr">
        <is>
          <t>San Francisco, CA</t>
        </is>
      </c>
      <c r="G40" s="33" t="inlineStr">
        <is>
          <t>Privately Held (backing)</t>
        </is>
      </c>
      <c r="H40" s="34" t="inlineStr">
        <is>
          <t>Venture Capital-Backed</t>
        </is>
      </c>
      <c r="I40" s="35" t="inlineStr">
        <is>
          <t>500 Startups, 555 Capital, Bodley Group, Crosslink Capital, Indicator Fund, Robert Chang</t>
        </is>
      </c>
      <c r="J40" s="36" t="inlineStr">
        <is>
          <t>www.zoomforth.com</t>
        </is>
      </c>
      <c r="K40" s="37" t="inlineStr">
        <is>
          <t>info@zoomforth.com</t>
        </is>
      </c>
      <c r="L40" s="38" t="inlineStr">
        <is>
          <t>+1 (800) 592-0085</t>
        </is>
      </c>
      <c r="M40" s="39" t="inlineStr">
        <is>
          <t>Christopher Murphy</t>
        </is>
      </c>
      <c r="N40" s="40" t="inlineStr">
        <is>
          <t>Co-Founder</t>
        </is>
      </c>
      <c r="O40" s="41" t="inlineStr">
        <is>
          <t>chris@zoomforth.com</t>
        </is>
      </c>
      <c r="P40" s="42" t="inlineStr">
        <is>
          <t>+1 (800) 592-0085</t>
        </is>
      </c>
      <c r="Q40" s="43" t="n">
        <v>2012.0</v>
      </c>
      <c r="R40" s="114">
        <f>HYPERLINK("https://my.pitchbook.com?c=98515-45", "View company online")</f>
      </c>
    </row>
    <row r="41">
      <c r="A41" s="9" t="inlineStr">
        <is>
          <t>55601-29</t>
        </is>
      </c>
      <c r="B41" s="10" t="inlineStr">
        <is>
          <t>Zoomdata</t>
        </is>
      </c>
      <c r="C41" s="11" t="inlineStr">
        <is>
          <t>20190</t>
        </is>
      </c>
      <c r="D41" s="12" t="inlineStr">
        <is>
          <t>Provider of an analysis and visualization software for real-time and historical big data. The company offers a platform enabling users to explore and analyze large quantities of data within their own data stores.</t>
        </is>
      </c>
      <c r="E41" s="13" t="inlineStr">
        <is>
          <t>Database Software</t>
        </is>
      </c>
      <c r="F41" s="14" t="inlineStr">
        <is>
          <t>Reston, VA</t>
        </is>
      </c>
      <c r="G41" s="15" t="inlineStr">
        <is>
          <t>Privately Held (backing)</t>
        </is>
      </c>
      <c r="H41" s="16" t="inlineStr">
        <is>
          <t>Venture Capital-Backed</t>
        </is>
      </c>
      <c r="I41" s="17" t="inlineStr">
        <is>
          <t>Accel, B7, B7 Ventures, B7inc Peter Thorp, Blue Tiger Ventures, Bobby Yazdani, Center for Innovative Technology Gap Funds, Chris McGill, Cisco Entrepreneurs in Residence, Columbus Nova Technology Partners, Comcast Ventures, Cota Capital, Hemang Gadhia, Individual Investor, In-Q-Tel, Jay Virdy, Jennifer O'Daniel, Magid Abraham, Neil Kataria, New Enterprise Associates, New MainStream Capital, Peter Thorp, Razor's Edge Ventures, Russ Cosentino, Sean Glass, Signatures Capital, Stonehaven Capital, Terry Hsiao, The Goldman Sachs Group, Tony Ayaz</t>
        </is>
      </c>
      <c r="J41" s="18" t="inlineStr">
        <is>
          <t>www.zoomdata.com</t>
        </is>
      </c>
      <c r="K41" s="19" t="inlineStr">
        <is>
          <t/>
        </is>
      </c>
      <c r="L41" s="20" t="inlineStr">
        <is>
          <t>+1 (571) 279-6166</t>
        </is>
      </c>
      <c r="M41" s="21" t="inlineStr">
        <is>
          <t>Robert Aldrich</t>
        </is>
      </c>
      <c r="N41" s="22" t="inlineStr">
        <is>
          <t>Chief Financial Officer</t>
        </is>
      </c>
      <c r="O41" s="23" t="inlineStr">
        <is>
          <t>robert@zoomdata.com</t>
        </is>
      </c>
      <c r="P41" s="24" t="inlineStr">
        <is>
          <t>+1 (571) 279-6166</t>
        </is>
      </c>
      <c r="Q41" s="25" t="n">
        <v>2012.0</v>
      </c>
      <c r="R41" s="113">
        <f>HYPERLINK("https://my.pitchbook.com?c=55601-29", "View company online")</f>
      </c>
    </row>
    <row r="42">
      <c r="A42" s="27" t="inlineStr">
        <is>
          <t>56017-63</t>
        </is>
      </c>
      <c r="B42" s="28" t="inlineStr">
        <is>
          <t>Zoom Video Communications</t>
        </is>
      </c>
      <c r="C42" s="29" t="inlineStr">
        <is>
          <t>95113</t>
        </is>
      </c>
      <c r="D42" s="30" t="inlineStr">
        <is>
          <t>Developer of enterprise video and web communications technology designed to unify online meetings, group messaging and a software-defined video conference room platform. The company's video conferencing services enable video, audio and screen-sharing experience across multiple web and mobile systems.</t>
        </is>
      </c>
      <c r="E42" s="31" t="inlineStr">
        <is>
          <t>Communication Software</t>
        </is>
      </c>
      <c r="F42" s="32" t="inlineStr">
        <is>
          <t>San Jose, CA</t>
        </is>
      </c>
      <c r="G42" s="33" t="inlineStr">
        <is>
          <t>Privately Held (backing)</t>
        </is>
      </c>
      <c r="H42" s="34" t="inlineStr">
        <is>
          <t>Venture Capital-Backed</t>
        </is>
      </c>
      <c r="I42" s="35" t="inlineStr">
        <is>
          <t>AME Cloud Ventures, Bart Swanson, Bask Iyer, Charles Giancarlo, Daniel Scheinman, Emergence Capital Partners, Facebook, Farzad Nazem, Harbor Pacific Capital, Hillhouse Capital Management, Horizons Ventures, HP Jin, Individual Investor, IT-Farm Corporation, Jerry Yang, Matthew Ocko, Maven Ventures, Michael Everett, Nick Adams, Patrick Soon-Shiong, Qualcomm Ventures, Ronald Pion, Sequoia Capital, Subrah Iyar, Tsingyuan Ventures, William Tai</t>
        </is>
      </c>
      <c r="J42" s="36" t="inlineStr">
        <is>
          <t>www.zoom.us</t>
        </is>
      </c>
      <c r="K42" s="37" t="inlineStr">
        <is>
          <t>info@zoom.us</t>
        </is>
      </c>
      <c r="L42" s="38" t="inlineStr">
        <is>
          <t>+1 (888) 799-9666</t>
        </is>
      </c>
      <c r="M42" s="39" t="inlineStr">
        <is>
          <t>Eric Yuan</t>
        </is>
      </c>
      <c r="N42" s="40" t="inlineStr">
        <is>
          <t>Founder, Chief Executive Officer &amp; Board Member</t>
        </is>
      </c>
      <c r="O42" s="41" t="inlineStr">
        <is>
          <t>eric.yuan@zoom.us</t>
        </is>
      </c>
      <c r="P42" s="42" t="inlineStr">
        <is>
          <t>+1 (888) 799-9666</t>
        </is>
      </c>
      <c r="Q42" s="43" t="n">
        <v>2011.0</v>
      </c>
      <c r="R42" s="114">
        <f>HYPERLINK("https://my.pitchbook.com?c=56017-63", "View company online")</f>
      </c>
    </row>
    <row r="43">
      <c r="A43" s="9" t="inlineStr">
        <is>
          <t>129249-10</t>
        </is>
      </c>
      <c r="B43" s="10" t="inlineStr">
        <is>
          <t>ZoneTV</t>
        </is>
      </c>
      <c r="C43" s="11" t="inlineStr">
        <is>
          <t>90405</t>
        </is>
      </c>
      <c r="D43" s="12" t="inlineStr">
        <is>
          <t>Provider of a multi-channel Pay TV network created to change the way the audiences, content providers and Pay TV operators intersect. The company's multi-channel Pay TV network is advancing a platform that combines traditional Pay TV and OTT to deliver programming to TV households through top-tier distribution partners and to generate new advertising and subscription revenue-share opportunities, enabling Pay TV operator and content provider to get TV viewing experience.</t>
        </is>
      </c>
      <c r="E43" s="13" t="inlineStr">
        <is>
          <t>Broadcasting, Radio and Television</t>
        </is>
      </c>
      <c r="F43" s="14" t="inlineStr">
        <is>
          <t>Santa Monica, CA</t>
        </is>
      </c>
      <c r="G43" s="15" t="inlineStr">
        <is>
          <t>Privately Held (backing)</t>
        </is>
      </c>
      <c r="H43" s="16" t="inlineStr">
        <is>
          <t>Venture Capital-Backed</t>
        </is>
      </c>
      <c r="I43" s="17" t="inlineStr">
        <is>
          <t>BEST Funds</t>
        </is>
      </c>
      <c r="J43" s="18" t="inlineStr">
        <is>
          <t>www.zone.tv</t>
        </is>
      </c>
      <c r="K43" s="19" t="inlineStr">
        <is>
          <t>info@zone.tv</t>
        </is>
      </c>
      <c r="L43" s="20" t="inlineStr">
        <is>
          <t>+1 (855) 373-2433</t>
        </is>
      </c>
      <c r="M43" s="21" t="inlineStr">
        <is>
          <t>Stephen Massel</t>
        </is>
      </c>
      <c r="N43" s="22" t="inlineStr">
        <is>
          <t>Chief Financial Officer</t>
        </is>
      </c>
      <c r="O43" s="23" t="inlineStr">
        <is>
          <t>stephen@zone.tv</t>
        </is>
      </c>
      <c r="P43" s="24" t="inlineStr">
        <is>
          <t>+1 (855) 373-2433</t>
        </is>
      </c>
      <c r="Q43" s="25" t="inlineStr">
        <is>
          <t/>
        </is>
      </c>
      <c r="R43" s="113">
        <f>HYPERLINK("https://my.pitchbook.com?c=129249-10", "View company online")</f>
      </c>
    </row>
    <row r="44">
      <c r="A44" s="27" t="inlineStr">
        <is>
          <t>54531-46</t>
        </is>
      </c>
      <c r="B44" s="28" t="inlineStr">
        <is>
          <t>Zone Reactor</t>
        </is>
      </c>
      <c r="C44" s="29" t="inlineStr">
        <is>
          <t>90049</t>
        </is>
      </c>
      <c r="D44" s="30" t="inlineStr">
        <is>
          <t>Provider of research and development services. The company offers research services to technology companies which helps them to bridge the gap between marketplace problems and developers of disruptive technology.</t>
        </is>
      </c>
      <c r="E44" s="31" t="inlineStr">
        <is>
          <t>Consulting Services (B2B)</t>
        </is>
      </c>
      <c r="F44" s="32" t="inlineStr">
        <is>
          <t>Los Angeles, CA</t>
        </is>
      </c>
      <c r="G44" s="33" t="inlineStr">
        <is>
          <t>Privately Held (backing)</t>
        </is>
      </c>
      <c r="H44" s="34" t="inlineStr">
        <is>
          <t>Venture Capital-Backed</t>
        </is>
      </c>
      <c r="I44" s="35" t="inlineStr">
        <is>
          <t>Zone Ventures</t>
        </is>
      </c>
      <c r="J44" s="36" t="inlineStr">
        <is>
          <t>www.zonereactor.com</t>
        </is>
      </c>
      <c r="K44" s="37" t="inlineStr">
        <is>
          <t>info@zonereactor.com</t>
        </is>
      </c>
      <c r="L44" s="38" t="inlineStr">
        <is>
          <t>+1 (310) 721-0012</t>
        </is>
      </c>
      <c r="M44" s="39" t="inlineStr">
        <is>
          <t>Gregory Petrisor</t>
        </is>
      </c>
      <c r="N44" s="40" t="inlineStr">
        <is>
          <t>Executive</t>
        </is>
      </c>
      <c r="O44" s="41" t="inlineStr">
        <is>
          <t>greg@zonereactor.com</t>
        </is>
      </c>
      <c r="P44" s="42" t="inlineStr">
        <is>
          <t>+1 (310) 721-0012</t>
        </is>
      </c>
      <c r="Q44" s="43" t="inlineStr">
        <is>
          <t/>
        </is>
      </c>
      <c r="R44" s="114">
        <f>HYPERLINK("https://my.pitchbook.com?c=54531-46", "View company online")</f>
      </c>
    </row>
    <row r="45">
      <c r="A45" s="9" t="inlineStr">
        <is>
          <t>54021-43</t>
        </is>
      </c>
      <c r="B45" s="10" t="inlineStr">
        <is>
          <t>Zoho</t>
        </is>
      </c>
      <c r="C45" s="11" t="inlineStr">
        <is>
          <t>94588</t>
        </is>
      </c>
      <c r="D45" s="12" t="inlineStr">
        <is>
          <t>Provider of an online business, network and IT infrastructure management application designed to offer software maintenance and solve business problems. The company's business, network and IT infrastructure management application enables purchasing organizations and suppliers across all segments of the hospitality industry to streamline the entire procurement life-cycle, from planning and design to procurement of operating supplies and services to liquidation of used and surplus goods.</t>
        </is>
      </c>
      <c r="E45" s="13" t="inlineStr">
        <is>
          <t>Network Management Software</t>
        </is>
      </c>
      <c r="F45" s="14" t="inlineStr">
        <is>
          <t>Pleasanton, CA</t>
        </is>
      </c>
      <c r="G45" s="15" t="inlineStr">
        <is>
          <t>Privately Held (backing)</t>
        </is>
      </c>
      <c r="H45" s="16" t="inlineStr">
        <is>
          <t>Venture Capital-Backed</t>
        </is>
      </c>
      <c r="I45" s="17" t="inlineStr">
        <is>
          <t>Amerindo Investment Advisors, BancBoston Robertson Stephens, Caesars Entertainment, Garnett &amp; Helfrich Capital, Octane Capital Management, Quantum Technology Partners, Sand Hill Group, SAP Ariba</t>
        </is>
      </c>
      <c r="J45" s="18" t="inlineStr">
        <is>
          <t>www.zoho.com</t>
        </is>
      </c>
      <c r="K45" s="19" t="inlineStr">
        <is>
          <t/>
        </is>
      </c>
      <c r="L45" s="20" t="inlineStr">
        <is>
          <t>+1 (888) 204-3539</t>
        </is>
      </c>
      <c r="M45" s="21" t="inlineStr">
        <is>
          <t>Sridhar Vembu</t>
        </is>
      </c>
      <c r="N45" s="22" t="inlineStr">
        <is>
          <t>Co-Founder &amp; Chief Executive Officer</t>
        </is>
      </c>
      <c r="O45" s="23" t="inlineStr">
        <is>
          <t>svembu@zoho.com</t>
        </is>
      </c>
      <c r="P45" s="24" t="inlineStr">
        <is>
          <t>+1 (888) 204-3539</t>
        </is>
      </c>
      <c r="Q45" s="25" t="n">
        <v>1996.0</v>
      </c>
      <c r="R45" s="113">
        <f>HYPERLINK("https://my.pitchbook.com?c=54021-43", "View company online")</f>
      </c>
    </row>
    <row r="46">
      <c r="A46" s="27" t="inlineStr">
        <is>
          <t>50996-44</t>
        </is>
      </c>
      <c r="B46" s="28" t="inlineStr">
        <is>
          <t>ZNYX</t>
        </is>
      </c>
      <c r="C46" s="29" t="inlineStr">
        <is>
          <t>94538</t>
        </is>
      </c>
      <c r="D46" s="30" t="inlineStr">
        <is>
          <t>Provider of embedded ethernet provisions for equipment manufacturers and system integrators. The company offers hardware products, such as carrier-grade Ethernet switches and Ethernet switches. The company also provides OpenArchitect, an open software platform for routing, controlling, and managing embedded Ethernet switches; and RAINlink, an IP driver software. In addition, it offers subscription, technical support, and professional services.</t>
        </is>
      </c>
      <c r="E46" s="31" t="inlineStr">
        <is>
          <t>Computers, Parts and Peripherals</t>
        </is>
      </c>
      <c r="F46" s="32" t="inlineStr">
        <is>
          <t>Fremont, CA</t>
        </is>
      </c>
      <c r="G46" s="33" t="inlineStr">
        <is>
          <t>Privately Held (backing)</t>
        </is>
      </c>
      <c r="H46" s="34" t="inlineStr">
        <is>
          <t>Venture Capital-Backed</t>
        </is>
      </c>
      <c r="I46" s="35" t="inlineStr">
        <is>
          <t>4C Ventures, Band of Angels, Maton Venture, New Vista Investment Group, Paradigm Capital, W Capital Partners</t>
        </is>
      </c>
      <c r="J46" s="36" t="inlineStr">
        <is>
          <t>www.znyx.com</t>
        </is>
      </c>
      <c r="K46" s="37" t="inlineStr">
        <is>
          <t>info@zynx.com</t>
        </is>
      </c>
      <c r="L46" s="38" t="inlineStr">
        <is>
          <t>+1 (510) 249-0800</t>
        </is>
      </c>
      <c r="M46" s="39" t="inlineStr">
        <is>
          <t>Connie Austin</t>
        </is>
      </c>
      <c r="N46" s="40" t="inlineStr">
        <is>
          <t>Chief Executive Officer &amp; President</t>
        </is>
      </c>
      <c r="O46" s="41" t="inlineStr">
        <is>
          <t>connie.austin@znyx.com</t>
        </is>
      </c>
      <c r="P46" s="42" t="inlineStr">
        <is>
          <t>+1 (510) 249-0800</t>
        </is>
      </c>
      <c r="Q46" s="43" t="n">
        <v>1993.0</v>
      </c>
      <c r="R46" s="114">
        <f>HYPERLINK("https://my.pitchbook.com?c=50996-44", "View company online")</f>
      </c>
    </row>
    <row r="47">
      <c r="A47" s="9" t="inlineStr">
        <is>
          <t>64633-78</t>
        </is>
      </c>
      <c r="B47" s="10" t="inlineStr">
        <is>
          <t>Zno</t>
        </is>
      </c>
      <c r="C47" s="11" t="inlineStr">
        <is>
          <t/>
        </is>
      </c>
      <c r="D47" s="12" t="inlineStr">
        <is>
          <t>Provider of photo albums. The company specializes in making genuine flush mount photo books and albums.</t>
        </is>
      </c>
      <c r="E47" s="13" t="inlineStr">
        <is>
          <t>Other Consumer Durables</t>
        </is>
      </c>
      <c r="F47" s="14" t="inlineStr">
        <is>
          <t>CA</t>
        </is>
      </c>
      <c r="G47" s="15" t="inlineStr">
        <is>
          <t>Privately Held (backing)</t>
        </is>
      </c>
      <c r="H47" s="16" t="inlineStr">
        <is>
          <t>Venture Capital-Backed</t>
        </is>
      </c>
      <c r="I47" s="17" t="inlineStr">
        <is>
          <t>InnoSpring (Shanghai) Company, Tsingyuan Ventures</t>
        </is>
      </c>
      <c r="J47" s="18" t="inlineStr">
        <is>
          <t>www.zno.com</t>
        </is>
      </c>
      <c r="K47" s="19" t="inlineStr">
        <is>
          <t>info@artisanstate.com</t>
        </is>
      </c>
      <c r="L47" s="20" t="inlineStr">
        <is>
          <t>+1 (408) 673-0278</t>
        </is>
      </c>
      <c r="M47" s="21" t="inlineStr">
        <is>
          <t/>
        </is>
      </c>
      <c r="N47" s="22" t="inlineStr">
        <is>
          <t/>
        </is>
      </c>
      <c r="O47" s="23" t="inlineStr">
        <is>
          <t/>
        </is>
      </c>
      <c r="P47" s="24" t="inlineStr">
        <is>
          <t/>
        </is>
      </c>
      <c r="Q47" s="25" t="n">
        <v>2012.0</v>
      </c>
      <c r="R47" s="113">
        <f>HYPERLINK("https://my.pitchbook.com?c=64633-78", "View company online")</f>
      </c>
    </row>
    <row r="48">
      <c r="A48" s="27" t="inlineStr">
        <is>
          <t>144140-68</t>
        </is>
      </c>
      <c r="B48" s="28" t="inlineStr">
        <is>
          <t>ZMatches</t>
        </is>
      </c>
      <c r="C48" s="29" t="inlineStr">
        <is>
          <t>91361</t>
        </is>
      </c>
      <c r="D48" s="30" t="inlineStr">
        <is>
          <t>Provider of an online real estate search platform designed to revolutionize the industry. The company's online real estate search platform makes property profiles 3-D with a patented auto search, enabling buyers and sellers to strike a deal by browsing through various property profiles.</t>
        </is>
      </c>
      <c r="E48" s="31" t="inlineStr">
        <is>
          <t>Media and Information Services (B2B)</t>
        </is>
      </c>
      <c r="F48" s="32" t="inlineStr">
        <is>
          <t>Westlake Village, CA</t>
        </is>
      </c>
      <c r="G48" s="33" t="inlineStr">
        <is>
          <t>Privately Held (backing)</t>
        </is>
      </c>
      <c r="H48" s="34" t="inlineStr">
        <is>
          <t>Venture Capital-Backed</t>
        </is>
      </c>
      <c r="I48" s="35" t="inlineStr">
        <is>
          <t>Prohaus Capital</t>
        </is>
      </c>
      <c r="J48" s="36" t="inlineStr">
        <is>
          <t>www.zmatches.com</t>
        </is>
      </c>
      <c r="K48" s="37" t="inlineStr">
        <is>
          <t>info@zmatches.com</t>
        </is>
      </c>
      <c r="L48" s="38" t="inlineStr">
        <is>
          <t>+1 (805) 409-4260</t>
        </is>
      </c>
      <c r="M48" s="39" t="inlineStr">
        <is>
          <t>Cynthia Kiefer</t>
        </is>
      </c>
      <c r="N48" s="40" t="inlineStr">
        <is>
          <t>Chief Executive Officer &amp; Founder</t>
        </is>
      </c>
      <c r="O48" s="41" t="inlineStr">
        <is>
          <t/>
        </is>
      </c>
      <c r="P48" s="42" t="inlineStr">
        <is>
          <t>+1 (805) 409-4260</t>
        </is>
      </c>
      <c r="Q48" s="43" t="n">
        <v>2011.0</v>
      </c>
      <c r="R48" s="114">
        <f>HYPERLINK("https://my.pitchbook.com?c=144140-68", "View company online")</f>
      </c>
    </row>
    <row r="49">
      <c r="A49" s="9" t="inlineStr">
        <is>
          <t>172458-28</t>
        </is>
      </c>
      <c r="B49" s="10" t="inlineStr">
        <is>
          <t>ZMarket.com</t>
        </is>
      </c>
      <c r="C49" s="85">
        <f>HYPERLINK("https://my.pitchbook.com?rrp=172458-28&amp;type=c", "This Company's information is not available to download. Need this Company? Request availability")</f>
      </c>
      <c r="D49" s="12" t="inlineStr">
        <is>
          <t/>
        </is>
      </c>
      <c r="E49" s="13" t="inlineStr">
        <is>
          <t/>
        </is>
      </c>
      <c r="F49" s="14" t="inlineStr">
        <is>
          <t/>
        </is>
      </c>
      <c r="G49" s="15" t="inlineStr">
        <is>
          <t/>
        </is>
      </c>
      <c r="H49" s="16" t="inlineStr">
        <is>
          <t/>
        </is>
      </c>
      <c r="I49" s="17" t="inlineStr">
        <is>
          <t/>
        </is>
      </c>
      <c r="J49" s="18" t="inlineStr">
        <is>
          <t/>
        </is>
      </c>
      <c r="K49" s="19" t="inlineStr">
        <is>
          <t/>
        </is>
      </c>
      <c r="L49" s="20" t="inlineStr">
        <is>
          <t/>
        </is>
      </c>
      <c r="M49" s="21" t="inlineStr">
        <is>
          <t/>
        </is>
      </c>
      <c r="N49" s="22" t="inlineStr">
        <is>
          <t/>
        </is>
      </c>
      <c r="O49" s="23" t="inlineStr">
        <is>
          <t/>
        </is>
      </c>
      <c r="P49" s="24" t="inlineStr">
        <is>
          <t/>
        </is>
      </c>
      <c r="Q49" s="25" t="inlineStr">
        <is>
          <t/>
        </is>
      </c>
      <c r="R49" s="26" t="inlineStr">
        <is>
          <t/>
        </is>
      </c>
    </row>
    <row r="50">
      <c r="A50" s="27" t="inlineStr">
        <is>
          <t>103173-76</t>
        </is>
      </c>
      <c r="B50" s="28" t="inlineStr">
        <is>
          <t>ZL Technologies</t>
        </is>
      </c>
      <c r="C50" s="86">
        <f>HYPERLINK("https://my.pitchbook.com?rrp=103173-76&amp;type=c", "This Company's information is not available to download. Need this Company? Request availability")</f>
      </c>
      <c r="D50" s="30" t="inlineStr">
        <is>
          <t/>
        </is>
      </c>
      <c r="E50" s="31" t="inlineStr">
        <is>
          <t/>
        </is>
      </c>
      <c r="F50" s="32" t="inlineStr">
        <is>
          <t/>
        </is>
      </c>
      <c r="G50" s="33" t="inlineStr">
        <is>
          <t/>
        </is>
      </c>
      <c r="H50" s="34" t="inlineStr">
        <is>
          <t/>
        </is>
      </c>
      <c r="I50" s="35" t="inlineStr">
        <is>
          <t/>
        </is>
      </c>
      <c r="J50" s="36" t="inlineStr">
        <is>
          <t/>
        </is>
      </c>
      <c r="K50" s="37" t="inlineStr">
        <is>
          <t/>
        </is>
      </c>
      <c r="L50" s="38" t="inlineStr">
        <is>
          <t/>
        </is>
      </c>
      <c r="M50" s="39" t="inlineStr">
        <is>
          <t/>
        </is>
      </c>
      <c r="N50" s="40" t="inlineStr">
        <is>
          <t/>
        </is>
      </c>
      <c r="O50" s="41" t="inlineStr">
        <is>
          <t/>
        </is>
      </c>
      <c r="P50" s="42" t="inlineStr">
        <is>
          <t/>
        </is>
      </c>
      <c r="Q50" s="43" t="inlineStr">
        <is>
          <t/>
        </is>
      </c>
      <c r="R50" s="44" t="inlineStr">
        <is>
          <t/>
        </is>
      </c>
    </row>
    <row r="51">
      <c r="A51" s="9" t="inlineStr">
        <is>
          <t>155185-12</t>
        </is>
      </c>
      <c r="B51" s="10" t="inlineStr">
        <is>
          <t>Zizaike</t>
        </is>
      </c>
      <c r="C51" s="11" t="inlineStr">
        <is>
          <t/>
        </is>
      </c>
      <c r="D51" s="12" t="inlineStr">
        <is>
          <t>Provider of an online accommodation booking platform. The company provides a trip-planning tool for users to book their accommodation, bed and breakfast through a mobile application. It also provides a self-service registration platform for users to share their lives and travel experiences with other guest.</t>
        </is>
      </c>
      <c r="E51" s="13" t="inlineStr">
        <is>
          <t>Application Software</t>
        </is>
      </c>
      <c r="F51" s="14" t="inlineStr">
        <is>
          <t>Shanghai, China</t>
        </is>
      </c>
      <c r="G51" s="15" t="inlineStr">
        <is>
          <t>Privately Held (backing)</t>
        </is>
      </c>
      <c r="H51" s="16" t="inlineStr">
        <is>
          <t>Venture Capital-Backed</t>
        </is>
      </c>
      <c r="I51" s="17" t="inlineStr">
        <is>
          <t>ChinaRock Capital Management, GC China, Jack Xu</t>
        </is>
      </c>
      <c r="J51" s="18" t="inlineStr">
        <is>
          <t>www.zizaike.com</t>
        </is>
      </c>
      <c r="K51" s="19" t="inlineStr">
        <is>
          <t>contact@zizaike.com</t>
        </is>
      </c>
      <c r="L51" s="20" t="inlineStr">
        <is>
          <t>+86 (0)40 0888 6232</t>
        </is>
      </c>
      <c r="M51" s="21" t="inlineStr">
        <is>
          <t>Jack Zhang</t>
        </is>
      </c>
      <c r="N51" s="22" t="inlineStr">
        <is>
          <t>Co-Founder &amp; Co-Chief Executive Officer</t>
        </is>
      </c>
      <c r="O51" s="23" t="inlineStr">
        <is>
          <t>zhijie@zizaike.com</t>
        </is>
      </c>
      <c r="P51" s="24" t="inlineStr">
        <is>
          <t>+86 (0)40 0888 6232</t>
        </is>
      </c>
      <c r="Q51" s="25" t="n">
        <v>2011.0</v>
      </c>
      <c r="R51" s="113">
        <f>HYPERLINK("https://my.pitchbook.com?c=155185-12", "View company online")</f>
      </c>
    </row>
    <row r="52">
      <c r="A52" s="27" t="inlineStr">
        <is>
          <t>53527-51</t>
        </is>
      </c>
      <c r="B52" s="28" t="inlineStr">
        <is>
          <t>Zivity</t>
        </is>
      </c>
      <c r="C52" s="29" t="inlineStr">
        <is>
          <t>94117</t>
        </is>
      </c>
      <c r="D52" s="30" t="inlineStr">
        <is>
          <t>Provider of subscription-based social networking services for models. The company offers a subscription and fan interaction platform enabling fans to interact with artists and vote for their favorite content.</t>
        </is>
      </c>
      <c r="E52" s="31" t="inlineStr">
        <is>
          <t>Social/Platform Software</t>
        </is>
      </c>
      <c r="F52" s="32" t="inlineStr">
        <is>
          <t>San Francisco, CA</t>
        </is>
      </c>
      <c r="G52" s="33" t="inlineStr">
        <is>
          <t>Privately Held (backing)</t>
        </is>
      </c>
      <c r="H52" s="34" t="inlineStr">
        <is>
          <t>Venture Capital-Backed</t>
        </is>
      </c>
      <c r="I52" s="35" t="inlineStr">
        <is>
          <t>Barney Pell, BlueRun Ventures, Cyan Banister, Founders Fund, Individual Investor, Joshua Baer, Scott Banister, Vipul Prakash</t>
        </is>
      </c>
      <c r="J52" s="36" t="inlineStr">
        <is>
          <t>www.zivity.com</t>
        </is>
      </c>
      <c r="K52" s="37" t="inlineStr">
        <is>
          <t>info@zivity.com</t>
        </is>
      </c>
      <c r="L52" s="38" t="inlineStr">
        <is>
          <t>+1 (415) 570-9489</t>
        </is>
      </c>
      <c r="M52" s="39" t="inlineStr">
        <is>
          <t>Nadya Lev</t>
        </is>
      </c>
      <c r="N52" s="40" t="inlineStr">
        <is>
          <t>Chief Executive Officer</t>
        </is>
      </c>
      <c r="O52" s="41" t="inlineStr">
        <is>
          <t/>
        </is>
      </c>
      <c r="P52" s="42" t="inlineStr">
        <is>
          <t/>
        </is>
      </c>
      <c r="Q52" s="43" t="n">
        <v>2007.0</v>
      </c>
      <c r="R52" s="114">
        <f>HYPERLINK("https://my.pitchbook.com?c=53527-51", "View company online")</f>
      </c>
    </row>
    <row r="53">
      <c r="A53" s="9" t="inlineStr">
        <is>
          <t>130212-55</t>
        </is>
      </c>
      <c r="B53" s="10" t="inlineStr">
        <is>
          <t>ZitoVault</t>
        </is>
      </c>
      <c r="C53" s="11" t="inlineStr">
        <is>
          <t>92008</t>
        </is>
      </c>
      <c r="D53" s="12" t="inlineStr">
        <is>
          <t>Developer of a cybersecurity software designed to detect and stop cyber threats and malware attacks. The company's endpoint detection and response platform uses behavioral analysis and machine learning algorithms to centralize data and transit those securely in the cloud and build an intelligence platform that predicts impending cyber threats without affecting files and folder sequence, enabling businesses and individual user to detect suspicious activity and eliminate malware attacks.</t>
        </is>
      </c>
      <c r="E53" s="13" t="inlineStr">
        <is>
          <t>Business/Productivity Software</t>
        </is>
      </c>
      <c r="F53" s="14" t="inlineStr">
        <is>
          <t>Carlsbad, CA</t>
        </is>
      </c>
      <c r="G53" s="15" t="inlineStr">
        <is>
          <t>Privately Held (backing)</t>
        </is>
      </c>
      <c r="H53" s="16" t="inlineStr">
        <is>
          <t>Venture Capital-Backed</t>
        </is>
      </c>
      <c r="I53" s="17" t="inlineStr">
        <is>
          <t>San Diego Venture Group</t>
        </is>
      </c>
      <c r="J53" s="18" t="inlineStr">
        <is>
          <t>www.zitovault.com</t>
        </is>
      </c>
      <c r="K53" s="19" t="inlineStr">
        <is>
          <t>info@zitovault.com</t>
        </is>
      </c>
      <c r="L53" s="20" t="inlineStr">
        <is>
          <t>+1 (855) 979-9486</t>
        </is>
      </c>
      <c r="M53" s="21" t="inlineStr">
        <is>
          <t>Timothy McElwee</t>
        </is>
      </c>
      <c r="N53" s="22" t="inlineStr">
        <is>
          <t>Founder, Chairman &amp; Chief Executive Officer</t>
        </is>
      </c>
      <c r="O53" s="23" t="inlineStr">
        <is>
          <t>timothy@zitovault.com</t>
        </is>
      </c>
      <c r="P53" s="24" t="inlineStr">
        <is>
          <t>+1 (855) 979-9486</t>
        </is>
      </c>
      <c r="Q53" s="25" t="n">
        <v>2015.0</v>
      </c>
      <c r="R53" s="113">
        <f>HYPERLINK("https://my.pitchbook.com?c=130212-55", "View company online")</f>
      </c>
    </row>
    <row r="54">
      <c r="A54" s="27" t="inlineStr">
        <is>
          <t>51169-33</t>
        </is>
      </c>
      <c r="B54" s="28" t="inlineStr">
        <is>
          <t>ZirMed</t>
        </is>
      </c>
      <c r="C54" s="29" t="inlineStr">
        <is>
          <t>40202</t>
        </is>
      </c>
      <c r="D54" s="30" t="inlineStr">
        <is>
          <t>Provider of a cloud-based financial and clinical performance management platform designed to optimize revenue and population health. The company's financial and clinical performance management platform offers patient access, charge integrity, claims management, AR management, patient responsibility and population health management services, enabling healthcare organizations to optimize value-driven and fee-for-service reimbursements.</t>
        </is>
      </c>
      <c r="E54" s="31" t="inlineStr">
        <is>
          <t>Business/Productivity Software</t>
        </is>
      </c>
      <c r="F54" s="32" t="inlineStr">
        <is>
          <t>Louisville, KY</t>
        </is>
      </c>
      <c r="G54" s="33" t="inlineStr">
        <is>
          <t>Privately Held (backing)</t>
        </is>
      </c>
      <c r="H54" s="34" t="inlineStr">
        <is>
          <t>Venture Capital-Backed</t>
        </is>
      </c>
      <c r="I54" s="35" t="inlineStr">
        <is>
          <t>Generation Partners, Sequoia Capital</t>
        </is>
      </c>
      <c r="J54" s="36" t="inlineStr">
        <is>
          <t>public.zirmed.com</t>
        </is>
      </c>
      <c r="K54" s="37" t="inlineStr">
        <is>
          <t/>
        </is>
      </c>
      <c r="L54" s="38" t="inlineStr">
        <is>
          <t>+1 (877) 494-7633</t>
        </is>
      </c>
      <c r="M54" s="39" t="inlineStr">
        <is>
          <t>Jim Lacy</t>
        </is>
      </c>
      <c r="N54" s="40" t="inlineStr">
        <is>
          <t>Chief Financial Officer &amp; Counsel</t>
        </is>
      </c>
      <c r="O54" s="41" t="inlineStr">
        <is>
          <t>jim.lacy@zirmed.com</t>
        </is>
      </c>
      <c r="P54" s="42" t="inlineStr">
        <is>
          <t>+1 (877) 494-7633</t>
        </is>
      </c>
      <c r="Q54" s="43" t="n">
        <v>1999.0</v>
      </c>
      <c r="R54" s="114">
        <f>HYPERLINK("https://my.pitchbook.com?c=51169-33", "View company online")</f>
      </c>
    </row>
    <row r="55">
      <c r="A55" s="9" t="inlineStr">
        <is>
          <t>54093-70</t>
        </is>
      </c>
      <c r="B55" s="10" t="inlineStr">
        <is>
          <t>ZipZap</t>
        </is>
      </c>
      <c r="C55" s="11" t="inlineStr">
        <is>
          <t>94105</t>
        </is>
      </c>
      <c r="D55" s="12" t="inlineStr">
        <is>
          <t>Provider of a peer-to=peer mobile remittance application. The company enables customers to send money cross border using a mobile application.</t>
        </is>
      </c>
      <c r="E55" s="13" t="inlineStr">
        <is>
          <t>Financial Software</t>
        </is>
      </c>
      <c r="F55" s="14" t="inlineStr">
        <is>
          <t>San Francisco, CA</t>
        </is>
      </c>
      <c r="G55" s="15" t="inlineStr">
        <is>
          <t>Privately Held (backing)</t>
        </is>
      </c>
      <c r="H55" s="16" t="inlineStr">
        <is>
          <t>Venture Capital-Backed</t>
        </is>
      </c>
      <c r="I55" s="17" t="inlineStr">
        <is>
          <t>500 Startups, Alan Safahi, Ben Davenport, Benjamin Narasin, Blockchain Capital, Blumberg Capital, Brock Pierce, Eric Kagan, Lee Linden, Maiden Lane, Samuel Lessin, Scott Banister, Sean Percival, TriplePoint Capital</t>
        </is>
      </c>
      <c r="J55" s="18" t="inlineStr">
        <is>
          <t>www.zipzap.me</t>
        </is>
      </c>
      <c r="K55" s="19" t="inlineStr">
        <is>
          <t>info@zipzap.me</t>
        </is>
      </c>
      <c r="L55" s="20" t="inlineStr">
        <is>
          <t>+1 (415) 408-7500</t>
        </is>
      </c>
      <c r="M55" s="21" t="inlineStr">
        <is>
          <t>Alan Safahi</t>
        </is>
      </c>
      <c r="N55" s="22" t="inlineStr">
        <is>
          <t>Co-Founder &amp; Chief Executive Officer</t>
        </is>
      </c>
      <c r="O55" s="23" t="inlineStr">
        <is>
          <t>alan.safahi@zipzap.me</t>
        </is>
      </c>
      <c r="P55" s="24" t="inlineStr">
        <is>
          <t>+1 (415) 408-7500</t>
        </is>
      </c>
      <c r="Q55" s="25" t="n">
        <v>2010.0</v>
      </c>
      <c r="R55" s="113">
        <f>HYPERLINK("https://my.pitchbook.com?c=54093-70", "View company online")</f>
      </c>
    </row>
    <row r="56">
      <c r="A56" s="27" t="inlineStr">
        <is>
          <t>56643-76</t>
        </is>
      </c>
      <c r="B56" s="28" t="inlineStr">
        <is>
          <t>Ziptask</t>
        </is>
      </c>
      <c r="C56" s="29" t="inlineStr">
        <is>
          <t>92809</t>
        </is>
      </c>
      <c r="D56" s="30" t="inlineStr">
        <is>
          <t>Provider of an outsourcing-management platform. The company uses crowdsourcing technology to supply businesses with freelance workers for day-to-day digital work such as word processing, spreadsheets, software, website design, graphic design and other professional services.</t>
        </is>
      </c>
      <c r="E56" s="31" t="inlineStr">
        <is>
          <t>BPO/Outsource Services</t>
        </is>
      </c>
      <c r="F56" s="32" t="inlineStr">
        <is>
          <t>Anaheim, CA</t>
        </is>
      </c>
      <c r="G56" s="33" t="inlineStr">
        <is>
          <t>Privately Held (backing)</t>
        </is>
      </c>
      <c r="H56" s="34" t="inlineStr">
        <is>
          <t>Venture Capital-Backed</t>
        </is>
      </c>
      <c r="I56" s="35" t="inlineStr">
        <is>
          <t>Amplify.LA, Bam Ventures, Individual Investor, Jason Seats, Kima Ventures, Kris Bjornerud, Maverick Angels, Paige Craig, Stan Miroshnik, Techstars, TYLT Ventures</t>
        </is>
      </c>
      <c r="J56" s="36" t="inlineStr">
        <is>
          <t>www.ziptask.com</t>
        </is>
      </c>
      <c r="K56" s="37" t="inlineStr">
        <is>
          <t>oversight@ziptask.com</t>
        </is>
      </c>
      <c r="L56" s="38" t="inlineStr">
        <is>
          <t/>
        </is>
      </c>
      <c r="M56" s="39" t="inlineStr">
        <is>
          <t>Jeff Sherwood</t>
        </is>
      </c>
      <c r="N56" s="40" t="inlineStr">
        <is>
          <t>Co-Founder</t>
        </is>
      </c>
      <c r="O56" s="41" t="inlineStr">
        <is>
          <t>jsherwood@ziptask.com</t>
        </is>
      </c>
      <c r="P56" s="42" t="inlineStr">
        <is>
          <t/>
        </is>
      </c>
      <c r="Q56" s="43" t="n">
        <v>2010.0</v>
      </c>
      <c r="R56" s="114">
        <f>HYPERLINK("https://my.pitchbook.com?c=56643-76", "View company online")</f>
      </c>
    </row>
    <row r="57">
      <c r="A57" s="9" t="inlineStr">
        <is>
          <t>66331-90</t>
        </is>
      </c>
      <c r="B57" s="10" t="inlineStr">
        <is>
          <t>ZipRecruiter</t>
        </is>
      </c>
      <c r="C57" s="11" t="inlineStr">
        <is>
          <t>90403</t>
        </is>
      </c>
      <c r="D57" s="12" t="inlineStr">
        <is>
          <t>Provider of a job portal platform. The company provides a platform where small and medium businesses can post and update job openings and get connected with candidates looking for jobs.</t>
        </is>
      </c>
      <c r="E57" s="13" t="inlineStr">
        <is>
          <t>Human Capital Services</t>
        </is>
      </c>
      <c r="F57" s="14" t="inlineStr">
        <is>
          <t>Santa Monica, CA</t>
        </is>
      </c>
      <c r="G57" s="15" t="inlineStr">
        <is>
          <t>Privately Held (backing)</t>
        </is>
      </c>
      <c r="H57" s="16" t="inlineStr">
        <is>
          <t>Venture Capital-Backed</t>
        </is>
      </c>
      <c r="I57" s="17" t="inlineStr">
        <is>
          <t>Basepoint Ventures, Industry Ventures, IVP, Mike Jones</t>
        </is>
      </c>
      <c r="J57" s="18" t="inlineStr">
        <is>
          <t>www.ziprecruiter.com</t>
        </is>
      </c>
      <c r="K57" s="19" t="inlineStr">
        <is>
          <t>ian@ziprecruiter.com</t>
        </is>
      </c>
      <c r="L57" s="20" t="inlineStr">
        <is>
          <t>+1 (877) 252-1062</t>
        </is>
      </c>
      <c r="M57" s="21" t="inlineStr">
        <is>
          <t>David Travers</t>
        </is>
      </c>
      <c r="N57" s="22" t="inlineStr">
        <is>
          <t>Chief Financial Officer &amp; Board Member</t>
        </is>
      </c>
      <c r="O57" s="23" t="inlineStr">
        <is>
          <t>dt@ziprecruiter.com</t>
        </is>
      </c>
      <c r="P57" s="24" t="inlineStr">
        <is>
          <t>+1 (877) 252-1062</t>
        </is>
      </c>
      <c r="Q57" s="25" t="n">
        <v>2010.0</v>
      </c>
      <c r="R57" s="113">
        <f>HYPERLINK("https://my.pitchbook.com?c=66331-90", "View company online")</f>
      </c>
    </row>
    <row r="58">
      <c r="A58" s="27" t="inlineStr">
        <is>
          <t>54875-98</t>
        </is>
      </c>
      <c r="B58" s="28" t="inlineStr">
        <is>
          <t>Zipongo</t>
        </is>
      </c>
      <c r="C58" s="29" t="inlineStr">
        <is>
          <t>94111</t>
        </is>
      </c>
      <c r="D58" s="30" t="inlineStr">
        <is>
          <t>Provider of a digital nutrition platform to improve health outcomes through personalized dietary recommendations. The company offers a health related mobile application that provides information about organic and natural foods from local grocery stores. It also delivers personalized food recommendations diets that enable healthy eating at home and at work.</t>
        </is>
      </c>
      <c r="E58" s="31" t="inlineStr">
        <is>
          <t>Application Software</t>
        </is>
      </c>
      <c r="F58" s="32" t="inlineStr">
        <is>
          <t>San Francisco, CA</t>
        </is>
      </c>
      <c r="G58" s="33" t="inlineStr">
        <is>
          <t>Privately Held (backing)</t>
        </is>
      </c>
      <c r="H58" s="34" t="inlineStr">
        <is>
          <t>Venture Capital-Backed</t>
        </is>
      </c>
      <c r="I58" s="35" t="inlineStr">
        <is>
          <t>Adam Pisoni, Alchemist Accelerator, Bee Partners, Caterina Fake, Closed Loop Capital, Eric Paley, Excel Venture Management, Founder Collective, Great Oaks Venture Capital, Kai Huang, Mayfield Fund, NAV.VC, Neal Baer, New Ground Ventures, Peter Dolan, Rally Ventures, Rock Health, Westway Capital, Zac Zeitlin, Zitec</t>
        </is>
      </c>
      <c r="J58" s="36" t="inlineStr">
        <is>
          <t>www.zipongo.com</t>
        </is>
      </c>
      <c r="K58" s="37" t="inlineStr">
        <is>
          <t>info@zipongo.com</t>
        </is>
      </c>
      <c r="L58" s="38" t="inlineStr">
        <is>
          <t>+1 (415) 967-0508</t>
        </is>
      </c>
      <c r="M58" s="39" t="inlineStr">
        <is>
          <t>Jason Langheier</t>
        </is>
      </c>
      <c r="N58" s="40" t="inlineStr">
        <is>
          <t>Founder, Chief Executive Officer &amp; Board Member</t>
        </is>
      </c>
      <c r="O58" s="41" t="inlineStr">
        <is>
          <t>jason.langheier@zipongo.com</t>
        </is>
      </c>
      <c r="P58" s="42" t="inlineStr">
        <is>
          <t>+1 (415) 967-0508</t>
        </is>
      </c>
      <c r="Q58" s="43" t="n">
        <v>2011.0</v>
      </c>
      <c r="R58" s="114">
        <f>HYPERLINK("https://my.pitchbook.com?c=54875-98", "View company online")</f>
      </c>
    </row>
    <row r="59">
      <c r="A59" s="9" t="inlineStr">
        <is>
          <t>61990-66</t>
        </is>
      </c>
      <c r="B59" s="10" t="inlineStr">
        <is>
          <t>Ziploop</t>
        </is>
      </c>
      <c r="C59" s="11" t="inlineStr">
        <is>
          <t>94563</t>
        </is>
      </c>
      <c r="D59" s="12" t="inlineStr">
        <is>
          <t>Provider of a mobile shopping application. The company provides an application designed to store and organize shopping documents, such as receipts and coupons, on a mobile device, with a tool for pushing notifications before coupons expire.</t>
        </is>
      </c>
      <c r="E59" s="13" t="inlineStr">
        <is>
          <t>Application Software</t>
        </is>
      </c>
      <c r="F59" s="14" t="inlineStr">
        <is>
          <t>Orinda, CA</t>
        </is>
      </c>
      <c r="G59" s="15" t="inlineStr">
        <is>
          <t>Privately Held (backing)</t>
        </is>
      </c>
      <c r="H59" s="16" t="inlineStr">
        <is>
          <t>Venture Capital-Backed</t>
        </is>
      </c>
      <c r="I59" s="17" t="inlineStr">
        <is>
          <t>Andrew Rudd, Bill Elmore, Grant Inman, Individual Investor, James Peters, John Balen, Simon Ventures, Ted Breck, WS Investments</t>
        </is>
      </c>
      <c r="J59" s="18" t="inlineStr">
        <is>
          <t>www.ziploop.com</t>
        </is>
      </c>
      <c r="K59" s="19" t="inlineStr">
        <is>
          <t>info@ziploop.com</t>
        </is>
      </c>
      <c r="L59" s="20" t="inlineStr">
        <is>
          <t>+1 (925) 386-0934</t>
        </is>
      </c>
      <c r="M59" s="21" t="inlineStr">
        <is>
          <t>Peter Jackson</t>
        </is>
      </c>
      <c r="N59" s="22" t="inlineStr">
        <is>
          <t>Co-Founder &amp; Chief Executive Officer</t>
        </is>
      </c>
      <c r="O59" s="23" t="inlineStr">
        <is>
          <t>peter@ziploop.com</t>
        </is>
      </c>
      <c r="P59" s="24" t="inlineStr">
        <is>
          <t>+1 (925) 386-0934</t>
        </is>
      </c>
      <c r="Q59" s="25" t="n">
        <v>2013.0</v>
      </c>
      <c r="R59" s="113">
        <f>HYPERLINK("https://my.pitchbook.com?c=61990-66", "View company online")</f>
      </c>
    </row>
    <row r="60">
      <c r="A60" s="27" t="inlineStr">
        <is>
          <t>53997-13</t>
        </is>
      </c>
      <c r="B60" s="28" t="inlineStr">
        <is>
          <t>Zipline Medical</t>
        </is>
      </c>
      <c r="C60" s="29" t="inlineStr">
        <is>
          <t>95008</t>
        </is>
      </c>
      <c r="D60" s="30" t="inlineStr">
        <is>
          <t>Provider of non-invasive surgical skin closure devices designed to provide easy to use device that does not puncture skin and decreases the risk of needle stick injury. The company's Zip skin closure provides secure skin layer closure for surgical incisions of any length, enabling medical surgeons to incorporate a force distribution structure that is designed to distribute closure forces uniformly along the incision to minimize high localized forces that can occur with other closure methods.</t>
        </is>
      </c>
      <c r="E60" s="31" t="inlineStr">
        <is>
          <t>Surgical Devices</t>
        </is>
      </c>
      <c r="F60" s="32" t="inlineStr">
        <is>
          <t>Campbell, CA</t>
        </is>
      </c>
      <c r="G60" s="33" t="inlineStr">
        <is>
          <t>Privately Held (backing)</t>
        </is>
      </c>
      <c r="H60" s="34" t="inlineStr">
        <is>
          <t>Venture Capital-Backed</t>
        </is>
      </c>
      <c r="I60" s="35" t="inlineStr">
        <is>
          <t>China Materialia, Claremont Creek Ventures, HighCape Partners, MVM Life Science Partners, Pelion Venture Partners, RA Capital Management, WS Investments, XSeed Capital</t>
        </is>
      </c>
      <c r="J60" s="36" t="inlineStr">
        <is>
          <t>www.ziplinemedical.com</t>
        </is>
      </c>
      <c r="K60" s="37" t="inlineStr">
        <is>
          <t/>
        </is>
      </c>
      <c r="L60" s="38" t="inlineStr">
        <is>
          <t>+1 (408) 412-7228</t>
        </is>
      </c>
      <c r="M60" s="39" t="inlineStr">
        <is>
          <t>Lori Perpich-Muñoz</t>
        </is>
      </c>
      <c r="N60" s="40" t="inlineStr">
        <is>
          <t>Vice President, Finance &amp; Chief Financial Officer</t>
        </is>
      </c>
      <c r="O60" s="41" t="inlineStr">
        <is>
          <t>lmunoz@ziplinemedical.com</t>
        </is>
      </c>
      <c r="P60" s="42" t="inlineStr">
        <is>
          <t>+1 (408) 412-7228</t>
        </is>
      </c>
      <c r="Q60" s="43" t="n">
        <v>2007.0</v>
      </c>
      <c r="R60" s="114">
        <f>HYPERLINK("https://my.pitchbook.com?c=53997-13", "View company online")</f>
      </c>
    </row>
    <row r="61">
      <c r="A61" s="9" t="inlineStr">
        <is>
          <t>53944-57</t>
        </is>
      </c>
      <c r="B61" s="10" t="inlineStr">
        <is>
          <t>Zipline</t>
        </is>
      </c>
      <c r="C61" s="11" t="inlineStr">
        <is>
          <t>94103</t>
        </is>
      </c>
      <c r="D61" s="12" t="inlineStr">
        <is>
          <t>Provider of drone-delivery services for the healthcare industry. The company provides robotic airplane service that carries vaccines, medicine, blood and medical supplies to hospitals and health centers.</t>
        </is>
      </c>
      <c r="E61" s="13" t="inlineStr">
        <is>
          <t>Aerospace and Defense</t>
        </is>
      </c>
      <c r="F61" s="14" t="inlineStr">
        <is>
          <t>San Francisco, CA</t>
        </is>
      </c>
      <c r="G61" s="15" t="inlineStr">
        <is>
          <t>Privately Held (backing)</t>
        </is>
      </c>
      <c r="H61" s="16" t="inlineStr">
        <is>
          <t>Venture Capital-Backed</t>
        </is>
      </c>
      <c r="I61" s="17" t="inlineStr">
        <is>
          <t>Alliance of Angels, AME Cloud Ventures, Andreessen Horowitz, Andy White, Anthony Hsieh, Ariel Arrieta, BoxGroup, CrunchFund, David Cohen, David Tisch, Felicis Ventures, Grishin Robotics, GV, Jerry Yang, Klein Venture Partners, Lerer Hippeau Ventures, Morado Venture Partners, NAV.VC, Oakhouse Partners, Pacific Alliance Limited, Paul Allen, PivotNorth Capital, Pro Rata Opportunity Fund, Sequoia Capital, Stanford Management Company, SV Angel, Techstars, Visionnaire Ventures, VTF Capital</t>
        </is>
      </c>
      <c r="J61" s="18" t="inlineStr">
        <is>
          <t>www.flyzipline.com</t>
        </is>
      </c>
      <c r="K61" s="19" t="inlineStr">
        <is>
          <t>info@flyzipline.com</t>
        </is>
      </c>
      <c r="L61" s="20" t="inlineStr">
        <is>
          <t>+1 (415) 254-8646</t>
        </is>
      </c>
      <c r="M61" s="21" t="inlineStr">
        <is>
          <t>Keller Rinaudo</t>
        </is>
      </c>
      <c r="N61" s="22" t="inlineStr">
        <is>
          <t>Chief Executive Officer, Board Member and Co-Founder</t>
        </is>
      </c>
      <c r="O61" s="23" t="inlineStr">
        <is>
          <t>keller@flyzipline.com</t>
        </is>
      </c>
      <c r="P61" s="24" t="inlineStr">
        <is>
          <t>+1 (415) 254-8646</t>
        </is>
      </c>
      <c r="Q61" s="25" t="n">
        <v>2011.0</v>
      </c>
      <c r="R61" s="113">
        <f>HYPERLINK("https://my.pitchbook.com?c=53944-57", "View company online")</f>
      </c>
    </row>
    <row r="62">
      <c r="A62" s="27" t="inlineStr">
        <is>
          <t>61810-48</t>
        </is>
      </c>
      <c r="B62" s="28" t="inlineStr">
        <is>
          <t>ZinMobi</t>
        </is>
      </c>
      <c r="C62" s="29" t="inlineStr">
        <is>
          <t>SE1 1GN</t>
        </is>
      </c>
      <c r="D62" s="30" t="inlineStr">
        <is>
          <t>Developer of coupon management software The company develops mobile messaging and mobile marketing platform for retail and fast food groups.</t>
        </is>
      </c>
      <c r="E62" s="31" t="inlineStr">
        <is>
          <t>Business/Productivity Software</t>
        </is>
      </c>
      <c r="F62" s="32" t="inlineStr">
        <is>
          <t>London, United Kingdom</t>
        </is>
      </c>
      <c r="G62" s="33" t="inlineStr">
        <is>
          <t>Privately Held (backing)</t>
        </is>
      </c>
      <c r="H62" s="34" t="inlineStr">
        <is>
          <t>Venture Capital-Backed</t>
        </is>
      </c>
      <c r="I62" s="35" t="inlineStr">
        <is>
          <t>Enterprise Ireland</t>
        </is>
      </c>
      <c r="J62" s="36" t="inlineStr">
        <is>
          <t>www.zinmobi.com</t>
        </is>
      </c>
      <c r="K62" s="37" t="inlineStr">
        <is>
          <t>info@zinmobi.com</t>
        </is>
      </c>
      <c r="L62" s="38" t="inlineStr">
        <is>
          <t/>
        </is>
      </c>
      <c r="M62" s="39" t="inlineStr">
        <is>
          <t>Brian Stephenson</t>
        </is>
      </c>
      <c r="N62" s="40" t="inlineStr">
        <is>
          <t>Chief Executive Officer &amp; Co-Founder</t>
        </is>
      </c>
      <c r="O62" s="41" t="inlineStr">
        <is>
          <t>brian@zinmobi.com</t>
        </is>
      </c>
      <c r="P62" s="42" t="inlineStr">
        <is>
          <t/>
        </is>
      </c>
      <c r="Q62" s="43" t="n">
        <v>2010.0</v>
      </c>
      <c r="R62" s="114">
        <f>HYPERLINK("https://my.pitchbook.com?c=61810-48", "View company online")</f>
      </c>
    </row>
    <row r="63">
      <c r="A63" s="9" t="inlineStr">
        <is>
          <t>103534-30</t>
        </is>
      </c>
      <c r="B63" s="10" t="inlineStr">
        <is>
          <t>Zinier</t>
        </is>
      </c>
      <c r="C63" s="11" t="inlineStr">
        <is>
          <t/>
        </is>
      </c>
      <c r="D63" s="12" t="inlineStr">
        <is>
          <t>Provider of a SaaS platform for collection of market research data. The company provides a platform for businesses which enables utilization of mobile workforce for automated market research data collection.</t>
        </is>
      </c>
      <c r="E63" s="13" t="inlineStr">
        <is>
          <t>Media and Information Services (B2B)</t>
        </is>
      </c>
      <c r="F63" s="14" t="inlineStr">
        <is>
          <t>Palo Alto, CA</t>
        </is>
      </c>
      <c r="G63" s="15" t="inlineStr">
        <is>
          <t>Privately Held (backing)</t>
        </is>
      </c>
      <c r="H63" s="16" t="inlineStr">
        <is>
          <t>Venture Capital-Backed</t>
        </is>
      </c>
      <c r="I63" s="17" t="inlineStr">
        <is>
          <t>Dave Lerner, Himanshu Aggarwal, Jean Claude Donato, Ken Glass, Kunal Bahl, Rohit Bansal, Rugged Ventures, StartX, Takanobu Yamamoto, Varun Aggarwal</t>
        </is>
      </c>
      <c r="J63" s="18" t="inlineStr">
        <is>
          <t>www.zinier.com</t>
        </is>
      </c>
      <c r="K63" s="19" t="inlineStr">
        <is>
          <t>support@zinier.com</t>
        </is>
      </c>
      <c r="L63" s="20" t="inlineStr">
        <is>
          <t>+1 (415) 524-0010</t>
        </is>
      </c>
      <c r="M63" s="21" t="inlineStr">
        <is>
          <t>Andrew Wolf</t>
        </is>
      </c>
      <c r="N63" s="22" t="inlineStr">
        <is>
          <t>Co-Founder &amp; Chief Product Officer</t>
        </is>
      </c>
      <c r="O63" s="23" t="inlineStr">
        <is>
          <t>andrew@zinier.com</t>
        </is>
      </c>
      <c r="P63" s="24" t="inlineStr">
        <is>
          <t>+1 (415) 524-0010</t>
        </is>
      </c>
      <c r="Q63" s="25" t="n">
        <v>2014.0</v>
      </c>
      <c r="R63" s="113">
        <f>HYPERLINK("https://my.pitchbook.com?c=103534-30", "View company online")</f>
      </c>
    </row>
    <row r="64">
      <c r="A64" s="27" t="inlineStr">
        <is>
          <t>113070-43</t>
        </is>
      </c>
      <c r="B64" s="28" t="inlineStr">
        <is>
          <t>Zingle</t>
        </is>
      </c>
      <c r="C64" s="29" t="inlineStr">
        <is>
          <t>92011</t>
        </is>
      </c>
      <c r="D64" s="30" t="inlineStr">
        <is>
          <t>Developer of a messaging application for business purposes. The company offers a text messaging application which can be used by businesses for all sorts of business communications with their customers.</t>
        </is>
      </c>
      <c r="E64" s="31" t="inlineStr">
        <is>
          <t>Application Software</t>
        </is>
      </c>
      <c r="F64" s="32" t="inlineStr">
        <is>
          <t>Carlsbad, CA</t>
        </is>
      </c>
      <c r="G64" s="33" t="inlineStr">
        <is>
          <t>Privately Held (backing)</t>
        </is>
      </c>
      <c r="H64" s="34" t="inlineStr">
        <is>
          <t>Venture Capital-Backed</t>
        </is>
      </c>
      <c r="I64" s="35" t="inlineStr">
        <is>
          <t>Crosscut Ventures, Rincon Venture Partners</t>
        </is>
      </c>
      <c r="J64" s="36" t="inlineStr">
        <is>
          <t>www.zingle.me</t>
        </is>
      </c>
      <c r="K64" s="37" t="inlineStr">
        <is>
          <t>info@zingleme.com</t>
        </is>
      </c>
      <c r="L64" s="38" t="inlineStr">
        <is>
          <t>+1 (877) 946-4536</t>
        </is>
      </c>
      <c r="M64" s="39" t="inlineStr">
        <is>
          <t>Ford Blakely</t>
        </is>
      </c>
      <c r="N64" s="40" t="inlineStr">
        <is>
          <t>Chief Executive Officer &amp; Founder</t>
        </is>
      </c>
      <c r="O64" s="41" t="inlineStr">
        <is>
          <t>ford@zingle.me</t>
        </is>
      </c>
      <c r="P64" s="42" t="inlineStr">
        <is>
          <t>+1 (877) 946-4536</t>
        </is>
      </c>
      <c r="Q64" s="43" t="n">
        <v>2009.0</v>
      </c>
      <c r="R64" s="114">
        <f>HYPERLINK("https://my.pitchbook.com?c=113070-43", "View company online")</f>
      </c>
    </row>
    <row r="65">
      <c r="A65" s="9" t="inlineStr">
        <is>
          <t>110125-63</t>
        </is>
      </c>
      <c r="B65" s="10" t="inlineStr">
        <is>
          <t>ZingBox</t>
        </is>
      </c>
      <c r="C65" s="11" t="inlineStr">
        <is>
          <t>94043</t>
        </is>
      </c>
      <c r="D65" s="12" t="inlineStr">
        <is>
          <t>Provider of an Internet of Things security platform designed to leverage device personality and enforce acceptable behavior. The company's security platform is a cloud-based database of Internet of Things device properties and behaviors which it uses to perform anomaly detection of the product category under which a given end-point falls, pinpoint its make and then repeat the process until the entire network is fully mapped out, enabling software agents to eliminate the cost and complexity and automatically identify and protect each device.</t>
        </is>
      </c>
      <c r="E65" s="13" t="inlineStr">
        <is>
          <t>Network Management Software</t>
        </is>
      </c>
      <c r="F65" s="14" t="inlineStr">
        <is>
          <t>Mountain View, CA</t>
        </is>
      </c>
      <c r="G65" s="15" t="inlineStr">
        <is>
          <t>Privately Held (backing)</t>
        </is>
      </c>
      <c r="H65" s="16" t="inlineStr">
        <is>
          <t>Venture Capital-Backed</t>
        </is>
      </c>
      <c r="I65" s="17" t="inlineStr">
        <is>
          <t>Andrew Yan, Envision Ventures, Eric Chen, GSR Ventures, Individual Investor, Oriza Ventures, Social Starts, StartX, Tsingyuan Ventures, Westlake Ventures</t>
        </is>
      </c>
      <c r="J65" s="18" t="inlineStr">
        <is>
          <t>www.zingbox.com</t>
        </is>
      </c>
      <c r="K65" s="19" t="inlineStr">
        <is>
          <t>info@zingbox.com</t>
        </is>
      </c>
      <c r="L65" s="20" t="inlineStr">
        <is>
          <t>+1 (650) 422-3624</t>
        </is>
      </c>
      <c r="M65" s="21" t="inlineStr">
        <is>
          <t>May Wang</t>
        </is>
      </c>
      <c r="N65" s="22" t="inlineStr">
        <is>
          <t>Co-Founder and Chief Technology Officer</t>
        </is>
      </c>
      <c r="O65" s="23" t="inlineStr">
        <is>
          <t/>
        </is>
      </c>
      <c r="P65" s="24" t="inlineStr">
        <is>
          <t>+1 (650) 422-3624</t>
        </is>
      </c>
      <c r="Q65" s="25" t="inlineStr">
        <is>
          <t/>
        </is>
      </c>
      <c r="R65" s="113">
        <f>HYPERLINK("https://my.pitchbook.com?c=110125-63", "View company online")</f>
      </c>
    </row>
    <row r="66">
      <c r="A66" s="27" t="inlineStr">
        <is>
          <t>103560-22</t>
        </is>
      </c>
      <c r="B66" s="28" t="inlineStr">
        <is>
          <t>ZineOne</t>
        </is>
      </c>
      <c r="C66" s="29" t="inlineStr">
        <is>
          <t>95035</t>
        </is>
      </c>
      <c r="D66" s="30" t="inlineStr">
        <is>
          <t>Provider of cloud-based marketing technology. The company provides a real-time engagement platform for different verticals to match and correlate customer interaction patterns in real-time to initiate preferred actions based on machine learning.</t>
        </is>
      </c>
      <c r="E66" s="31" t="inlineStr">
        <is>
          <t>Application Software</t>
        </is>
      </c>
      <c r="F66" s="32" t="inlineStr">
        <is>
          <t>Milpitas, CA</t>
        </is>
      </c>
      <c r="G66" s="33" t="inlineStr">
        <is>
          <t>Privately Held (backing)</t>
        </is>
      </c>
      <c r="H66" s="34" t="inlineStr">
        <is>
          <t>Venture Capital-Backed</t>
        </is>
      </c>
      <c r="I66" s="35" t="inlineStr">
        <is>
          <t>Rajneesh Bhandari</t>
        </is>
      </c>
      <c r="J66" s="36" t="inlineStr">
        <is>
          <t>www.zineone.com</t>
        </is>
      </c>
      <c r="K66" s="37" t="inlineStr">
        <is>
          <t>info@zineone.com</t>
        </is>
      </c>
      <c r="L66" s="38" t="inlineStr">
        <is>
          <t>+1 (650) 383-5486</t>
        </is>
      </c>
      <c r="M66" s="39" t="inlineStr">
        <is>
          <t>Debjani Deb</t>
        </is>
      </c>
      <c r="N66" s="40" t="inlineStr">
        <is>
          <t>Co-Founder &amp; Chief Executive Officer</t>
        </is>
      </c>
      <c r="O66" s="41" t="inlineStr">
        <is>
          <t>ddeb@empowerresearch.com</t>
        </is>
      </c>
      <c r="P66" s="42" t="inlineStr">
        <is>
          <t>+1 (650) 559-5942</t>
        </is>
      </c>
      <c r="Q66" s="43" t="n">
        <v>2013.0</v>
      </c>
      <c r="R66" s="114">
        <f>HYPERLINK("https://my.pitchbook.com?c=103560-22", "View company online")</f>
      </c>
    </row>
    <row r="67">
      <c r="A67" s="9" t="inlineStr">
        <is>
          <t>57224-17</t>
        </is>
      </c>
      <c r="B67" s="10" t="inlineStr">
        <is>
          <t>Zinc (Communications Technology)</t>
        </is>
      </c>
      <c r="C67" s="11" t="inlineStr">
        <is>
          <t>94105</t>
        </is>
      </c>
      <c r="D67" s="12" t="inlineStr">
        <is>
          <t>Developer of a mobile communication platform created to facilitate real-time sharing of information. The company's communication platform combines secure messaging, broadcasts, voice, video, file and location sharing tools in an integrated suite, enabling businesses to disseminate information to their deskless workforce and obtain real-time visibility in the field.</t>
        </is>
      </c>
      <c r="E67" s="13" t="inlineStr">
        <is>
          <t>Communication Software</t>
        </is>
      </c>
      <c r="F67" s="14" t="inlineStr">
        <is>
          <t>San Francisco, CA</t>
        </is>
      </c>
      <c r="G67" s="15" t="inlineStr">
        <is>
          <t>Privately Held (backing)</t>
        </is>
      </c>
      <c r="H67" s="16" t="inlineStr">
        <is>
          <t>Venture Capital-Backed</t>
        </is>
      </c>
      <c r="I67" s="17" t="inlineStr">
        <is>
          <t>Charles River Ventures, Emergence Capital Partners, GE Ventures, Hearst Ventures</t>
        </is>
      </c>
      <c r="J67" s="18" t="inlineStr">
        <is>
          <t>www.zinc.it</t>
        </is>
      </c>
      <c r="K67" s="19" t="inlineStr">
        <is>
          <t>info@cotap.com</t>
        </is>
      </c>
      <c r="L67" s="20" t="inlineStr">
        <is>
          <t/>
        </is>
      </c>
      <c r="M67" s="21" t="inlineStr">
        <is>
          <t>Stacey Epstein</t>
        </is>
      </c>
      <c r="N67" s="22" t="inlineStr">
        <is>
          <t>Chief Executive Officer</t>
        </is>
      </c>
      <c r="O67" s="23" t="inlineStr">
        <is>
          <t>stacey@zinc.it</t>
        </is>
      </c>
      <c r="P67" s="24" t="inlineStr">
        <is>
          <t/>
        </is>
      </c>
      <c r="Q67" s="25" t="n">
        <v>2013.0</v>
      </c>
      <c r="R67" s="113">
        <f>HYPERLINK("https://my.pitchbook.com?c=57224-17", "View company online")</f>
      </c>
    </row>
    <row r="68">
      <c r="A68" s="27" t="inlineStr">
        <is>
          <t>62117-74</t>
        </is>
      </c>
      <c r="B68" s="28" t="inlineStr">
        <is>
          <t>Zinc (Application Software)</t>
        </is>
      </c>
      <c r="C68" s="29" t="inlineStr">
        <is>
          <t>94306</t>
        </is>
      </c>
      <c r="D68" s="30" t="inlineStr">
        <is>
          <t>Developer of a browser plug-in created to find products at lowest prices on e-commerce sites. The company's browser plug-in automatically finds better price for the items in shopping carts and monitors price on a real-time basis, enabling online shoppers to save money at checkouts while shopping.</t>
        </is>
      </c>
      <c r="E68" s="31" t="inlineStr">
        <is>
          <t>Application Software</t>
        </is>
      </c>
      <c r="F68" s="32" t="inlineStr">
        <is>
          <t>Palo Alto, CA</t>
        </is>
      </c>
      <c r="G68" s="33" t="inlineStr">
        <is>
          <t>Privately Held (backing)</t>
        </is>
      </c>
      <c r="H68" s="34" t="inlineStr">
        <is>
          <t>Venture Capital-Backed</t>
        </is>
      </c>
      <c r="I68" s="35" t="inlineStr">
        <is>
          <t>GE Ventures, Y Combinator</t>
        </is>
      </c>
      <c r="J68" s="36" t="inlineStr">
        <is>
          <t>www.zincapi.com</t>
        </is>
      </c>
      <c r="K68" s="37" t="inlineStr">
        <is>
          <t>contact@zinc.io</t>
        </is>
      </c>
      <c r="L68" s="38" t="inlineStr">
        <is>
          <t/>
        </is>
      </c>
      <c r="M68" s="39" t="inlineStr">
        <is>
          <t>Doug Feigelson</t>
        </is>
      </c>
      <c r="N68" s="40" t="inlineStr">
        <is>
          <t>Chief Executive Officer, President &amp; Co-Founder</t>
        </is>
      </c>
      <c r="O68" s="41" t="inlineStr">
        <is>
          <t>doug@zinc.io</t>
        </is>
      </c>
      <c r="P68" s="42" t="inlineStr">
        <is>
          <t/>
        </is>
      </c>
      <c r="Q68" s="43" t="n">
        <v>2012.0</v>
      </c>
      <c r="R68" s="114">
        <f>HYPERLINK("https://my.pitchbook.com?c=62117-74", "View company online")</f>
      </c>
    </row>
    <row r="69">
      <c r="A69" s="9" t="inlineStr">
        <is>
          <t>55451-98</t>
        </is>
      </c>
      <c r="B69" s="10" t="inlineStr">
        <is>
          <t>Zimperium</t>
        </is>
      </c>
      <c r="C69" s="11" t="inlineStr">
        <is>
          <t>94105</t>
        </is>
      </c>
      <c r="D69" s="12" t="inlineStr">
        <is>
          <t>Developer of mobile security systems. The company develops mobile intrusion prevention system for smartphones and security console to monitor an organization's policy, which is implemented as a cloud service or as hardware based appliance.</t>
        </is>
      </c>
      <c r="E69" s="13" t="inlineStr">
        <is>
          <t>Other IT Services</t>
        </is>
      </c>
      <c r="F69" s="14" t="inlineStr">
        <is>
          <t>San Francisco, CA</t>
        </is>
      </c>
      <c r="G69" s="15" t="inlineStr">
        <is>
          <t>Privately Held (backing)</t>
        </is>
      </c>
      <c r="H69" s="16" t="inlineStr">
        <is>
          <t>Venture Capital-Backed</t>
        </is>
      </c>
      <c r="I69" s="17" t="inlineStr">
        <is>
          <t>David Eun, Lazarus Israel Opportunities Fund, Olive Tree Ventures, Samsung Electronics, Sierra Ventures, SoftBank Group, Stephen Northcutt, Telstra Ventures, Toyo(Japan), Warburg Pincus</t>
        </is>
      </c>
      <c r="J69" s="18" t="inlineStr">
        <is>
          <t>www.zimperium.com</t>
        </is>
      </c>
      <c r="K69" s="19" t="inlineStr">
        <is>
          <t>info@zimperium.com</t>
        </is>
      </c>
      <c r="L69" s="20" t="inlineStr">
        <is>
          <t>+1 (844) 601-6760</t>
        </is>
      </c>
      <c r="M69" s="21" t="inlineStr">
        <is>
          <t>Mike Glover</t>
        </is>
      </c>
      <c r="N69" s="22" t="inlineStr">
        <is>
          <t>Chief Financial Officer &amp; Vice President, Finance &amp; Administration</t>
        </is>
      </c>
      <c r="O69" s="23" t="inlineStr">
        <is>
          <t>mike.glover@zimperium.com</t>
        </is>
      </c>
      <c r="P69" s="24" t="inlineStr">
        <is>
          <t>+1 (844) 601-6760</t>
        </is>
      </c>
      <c r="Q69" s="25" t="n">
        <v>2010.0</v>
      </c>
      <c r="R69" s="113">
        <f>HYPERLINK("https://my.pitchbook.com?c=55451-98", "View company online")</f>
      </c>
    </row>
    <row r="70">
      <c r="A70" s="27" t="inlineStr">
        <is>
          <t>54449-83</t>
        </is>
      </c>
      <c r="B70" s="28" t="inlineStr">
        <is>
          <t>ZiLift</t>
        </is>
      </c>
      <c r="C70" s="29" t="inlineStr">
        <is>
          <t>AB23 8EE</t>
        </is>
      </c>
      <c r="D70" s="30" t="inlineStr">
        <is>
          <t>Developer of magnet technologies for innovative artificial lift applications. The company provides down hole pumps for the oil and gas production. Their artificial lift systems deliver high torque or hi-flow in the compact down hole drive train packages.</t>
        </is>
      </c>
      <c r="E70" s="31" t="inlineStr">
        <is>
          <t>Machinery (B2B)</t>
        </is>
      </c>
      <c r="F70" s="32" t="inlineStr">
        <is>
          <t>Aberdeen, United Kingdom</t>
        </is>
      </c>
      <c r="G70" s="33" t="inlineStr">
        <is>
          <t>Privately Held (backing)</t>
        </is>
      </c>
      <c r="H70" s="34" t="inlineStr">
        <is>
          <t>Venture Capital-Backed</t>
        </is>
      </c>
      <c r="I70" s="35" t="inlineStr">
        <is>
          <t>Chevron Technology Ventures, Energy Technology Ventures, Energy Ventures, GE Ventures, Investinor, Jebsen Asset Management, Saudi Aramco Energy Ventures, Viking Venture</t>
        </is>
      </c>
      <c r="J70" s="36" t="inlineStr">
        <is>
          <t>www.zilift.com</t>
        </is>
      </c>
      <c r="K70" s="37" t="inlineStr">
        <is>
          <t>info@zilift.com</t>
        </is>
      </c>
      <c r="L70" s="38" t="inlineStr">
        <is>
          <t>+44 (0)12 2422 7227</t>
        </is>
      </c>
      <c r="M70" s="39" t="inlineStr">
        <is>
          <t>Catherine Murray</t>
        </is>
      </c>
      <c r="N70" s="40" t="inlineStr">
        <is>
          <t>Finance Director</t>
        </is>
      </c>
      <c r="O70" s="41" t="inlineStr">
        <is>
          <t>catherine.murray@zilift.com</t>
        </is>
      </c>
      <c r="P70" s="42" t="inlineStr">
        <is>
          <t>+44 (0)77 1264 9642</t>
        </is>
      </c>
      <c r="Q70" s="43" t="n">
        <v>2009.0</v>
      </c>
      <c r="R70" s="114">
        <f>HYPERLINK("https://my.pitchbook.com?c=54449-83", "View company online")</f>
      </c>
    </row>
    <row r="71">
      <c r="A71" s="9" t="inlineStr">
        <is>
          <t>56573-47</t>
        </is>
      </c>
      <c r="B71" s="10" t="inlineStr">
        <is>
          <t>Zikon</t>
        </is>
      </c>
      <c r="C71" s="11" t="inlineStr">
        <is>
          <t>94085</t>
        </is>
      </c>
      <c r="D71" s="12" t="inlineStr">
        <is>
          <t>Developer of nanotechnology-based electronic ink for flat panel displays. The company enables flat displays for the consumer and commercial applications ranging from TVs, cell phones, lap-tops and electronic labels and toys.</t>
        </is>
      </c>
      <c r="E71" s="13" t="inlineStr">
        <is>
          <t>Fiberoptic Equipment</t>
        </is>
      </c>
      <c r="F71" s="14" t="inlineStr">
        <is>
          <t>Sunnyvale, CA</t>
        </is>
      </c>
      <c r="G71" s="15" t="inlineStr">
        <is>
          <t>Privately Held (backing)</t>
        </is>
      </c>
      <c r="H71" s="16" t="inlineStr">
        <is>
          <t>Venture Capital-Backed</t>
        </is>
      </c>
      <c r="I71" s="17" t="inlineStr">
        <is>
          <t>Ecosystem Ventures, National Science Foundation</t>
        </is>
      </c>
      <c r="J71" s="18" t="inlineStr">
        <is>
          <t>www.zikon.com</t>
        </is>
      </c>
      <c r="K71" s="19" t="inlineStr">
        <is>
          <t>info@zikon.com</t>
        </is>
      </c>
      <c r="L71" s="20" t="inlineStr">
        <is>
          <t>+1 (408) 386-8191</t>
        </is>
      </c>
      <c r="M71" s="21" t="inlineStr">
        <is>
          <t>Remy Cromer</t>
        </is>
      </c>
      <c r="N71" s="22" t="inlineStr">
        <is>
          <t>Co-Founder &amp; President</t>
        </is>
      </c>
      <c r="O71" s="23" t="inlineStr">
        <is>
          <t/>
        </is>
      </c>
      <c r="P71" s="24" t="inlineStr">
        <is>
          <t>+1 (408) 386-8191</t>
        </is>
      </c>
      <c r="Q71" s="25" t="n">
        <v>1996.0</v>
      </c>
      <c r="R71" s="113">
        <f>HYPERLINK("https://my.pitchbook.com?c=56573-47", "View company online")</f>
      </c>
    </row>
    <row r="72">
      <c r="A72" s="27" t="inlineStr">
        <is>
          <t>63720-10</t>
        </is>
      </c>
      <c r="B72" s="28" t="inlineStr">
        <is>
          <t>Zignal Labs</t>
        </is>
      </c>
      <c r="C72" s="29" t="inlineStr">
        <is>
          <t>94103</t>
        </is>
      </c>
      <c r="D72" s="30" t="inlineStr">
        <is>
          <t>Provider of a real-time and cross media analytics platform designed to monitor the online media space. The company's real-time and cross media analytics platform help to aggregate data from different sources and synthesize social and traditional media into a powerful interactive dashboard, enabling customers to make informed decisions.</t>
        </is>
      </c>
      <c r="E72" s="31" t="inlineStr">
        <is>
          <t>Database Software</t>
        </is>
      </c>
      <c r="F72" s="32" t="inlineStr">
        <is>
          <t>San Francisco, CA</t>
        </is>
      </c>
      <c r="G72" s="33" t="inlineStr">
        <is>
          <t>Privately Held (backing)</t>
        </is>
      </c>
      <c r="H72" s="34" t="inlineStr">
        <is>
          <t>Venture Capital-Backed</t>
        </is>
      </c>
      <c r="I72" s="35" t="inlineStr">
        <is>
          <t>Andy Ballard, Christopher M. Schroeder, James Hornthal, MENA Venture Investments, Mitchell Cohen</t>
        </is>
      </c>
      <c r="J72" s="36" t="inlineStr">
        <is>
          <t>www.zignallabs.com</t>
        </is>
      </c>
      <c r="K72" s="37" t="inlineStr">
        <is>
          <t>hello@zignallabs.com</t>
        </is>
      </c>
      <c r="L72" s="38" t="inlineStr">
        <is>
          <t>+1 (415) 683-7871</t>
        </is>
      </c>
      <c r="M72" s="39" t="inlineStr">
        <is>
          <t>James Hornthal</t>
        </is>
      </c>
      <c r="N72" s="40" t="inlineStr">
        <is>
          <t>Co-Founder &amp; Chairman</t>
        </is>
      </c>
      <c r="O72" s="41" t="inlineStr">
        <is>
          <t/>
        </is>
      </c>
      <c r="P72" s="42" t="inlineStr">
        <is>
          <t>+1 (415) 901-0631</t>
        </is>
      </c>
      <c r="Q72" s="43" t="n">
        <v>2011.0</v>
      </c>
      <c r="R72" s="114">
        <f>HYPERLINK("https://my.pitchbook.com?c=63720-10", "View company online")</f>
      </c>
    </row>
    <row r="73">
      <c r="A73" s="9" t="inlineStr">
        <is>
          <t>56563-57</t>
        </is>
      </c>
      <c r="B73" s="10" t="inlineStr">
        <is>
          <t>ZigFu</t>
        </is>
      </c>
      <c r="C73" s="11" t="inlineStr">
        <is>
          <t>94107</t>
        </is>
      </c>
      <c r="D73" s="12" t="inlineStr">
        <is>
          <t>Provider of tools to help developers create applications that are controlled by human gestures. The company creates software for interactive kiosks and conference displays, built out of standard user interface components and application-specific interaction types.</t>
        </is>
      </c>
      <c r="E73" s="13" t="inlineStr">
        <is>
          <t>Software Development Applications</t>
        </is>
      </c>
      <c r="F73" s="14" t="inlineStr">
        <is>
          <t>San Francisco, CA</t>
        </is>
      </c>
      <c r="G73" s="15" t="inlineStr">
        <is>
          <t>Privately Held (backing)</t>
        </is>
      </c>
      <c r="H73" s="16" t="inlineStr">
        <is>
          <t>Venture Capital-Backed</t>
        </is>
      </c>
      <c r="I73" s="17" t="inlineStr">
        <is>
          <t>Romulus Capital, Y Combinator</t>
        </is>
      </c>
      <c r="J73" s="18" t="inlineStr">
        <is>
          <t>www.zigfu.com</t>
        </is>
      </c>
      <c r="K73" s="19" t="inlineStr">
        <is>
          <t>info@zigfu.com</t>
        </is>
      </c>
      <c r="L73" s="20" t="inlineStr">
        <is>
          <t/>
        </is>
      </c>
      <c r="M73" s="21" t="inlineStr">
        <is>
          <t>Amir Hirsch</t>
        </is>
      </c>
      <c r="N73" s="22" t="inlineStr">
        <is>
          <t>Chief Executive Officer &amp; Co-Founder</t>
        </is>
      </c>
      <c r="O73" s="23" t="inlineStr">
        <is>
          <t>amir@flybrix.com</t>
        </is>
      </c>
      <c r="P73" s="24" t="inlineStr">
        <is>
          <t/>
        </is>
      </c>
      <c r="Q73" s="25" t="n">
        <v>2011.0</v>
      </c>
      <c r="R73" s="113">
        <f>HYPERLINK("https://my.pitchbook.com?c=56563-57", "View company online")</f>
      </c>
    </row>
    <row r="74">
      <c r="A74" s="27" t="inlineStr">
        <is>
          <t>170256-70</t>
        </is>
      </c>
      <c r="B74" s="28" t="inlineStr">
        <is>
          <t>Ziero</t>
        </is>
      </c>
      <c r="C74" s="29" t="inlineStr">
        <is>
          <t>94107</t>
        </is>
      </c>
      <c r="D74" s="30" t="inlineStr">
        <is>
          <t>Provider of a LaaS (Lending-as-a-Service) marketplace lending platform created to offer interest-free loans to consumers. The company's LaaS (Lending-as-a-Service) marketplace lending platform let employers offer zero-interest loans to employees typically ranges from $2,500 to $5,000 and allows employers to control loan eligibility,enabling a valuable financial perk for the modern workforce and to provide improved financial wellness and flexibility to employees through access to zero-interest small loans.</t>
        </is>
      </c>
      <c r="E74" s="31" t="inlineStr">
        <is>
          <t>Social/Platform Software</t>
        </is>
      </c>
      <c r="F74" s="32" t="inlineStr">
        <is>
          <t>San Francisco, CA</t>
        </is>
      </c>
      <c r="G74" s="33" t="inlineStr">
        <is>
          <t>Privately Held (backing)</t>
        </is>
      </c>
      <c r="H74" s="34" t="inlineStr">
        <is>
          <t>Venture Capital-Backed</t>
        </is>
      </c>
      <c r="I74" s="35" t="inlineStr">
        <is>
          <t>Ferst Capital Partners, Mitch Salis</t>
        </is>
      </c>
      <c r="J74" s="36" t="inlineStr">
        <is>
          <t>www.zierofinance.com</t>
        </is>
      </c>
      <c r="K74" s="37" t="inlineStr">
        <is>
          <t>info@zierofinance.com</t>
        </is>
      </c>
      <c r="L74" s="38" t="inlineStr">
        <is>
          <t>+1 (415) 646-6915</t>
        </is>
      </c>
      <c r="M74" s="39" t="inlineStr">
        <is>
          <t>Benny Yiu</t>
        </is>
      </c>
      <c r="N74" s="40" t="inlineStr">
        <is>
          <t>Chief Executive Officer &amp; Co-Founder</t>
        </is>
      </c>
      <c r="O74" s="41" t="inlineStr">
        <is>
          <t>byiu@zierofinance.com</t>
        </is>
      </c>
      <c r="P74" s="42" t="inlineStr">
        <is>
          <t>+1 (415) 646-6915</t>
        </is>
      </c>
      <c r="Q74" s="43" t="n">
        <v>2015.0</v>
      </c>
      <c r="R74" s="114">
        <f>HYPERLINK("https://my.pitchbook.com?c=170256-70", "View company online")</f>
      </c>
    </row>
    <row r="75">
      <c r="A75" s="9" t="inlineStr">
        <is>
          <t>42510-52</t>
        </is>
      </c>
      <c r="B75" s="10" t="inlineStr">
        <is>
          <t>Zhena's</t>
        </is>
      </c>
      <c r="C75" s="11" t="inlineStr">
        <is>
          <t>90201</t>
        </is>
      </c>
      <c r="D75" s="12" t="inlineStr">
        <is>
          <t>Operator of a premium tea company. The company sells only fair trade organic products including teas and herbal infusions.</t>
        </is>
      </c>
      <c r="E75" s="13" t="inlineStr">
        <is>
          <t>Food Products</t>
        </is>
      </c>
      <c r="F75" s="14" t="inlineStr">
        <is>
          <t>Bell, CA</t>
        </is>
      </c>
      <c r="G75" s="15" t="inlineStr">
        <is>
          <t>Privately Held (backing)</t>
        </is>
      </c>
      <c r="H75" s="16" t="inlineStr">
        <is>
          <t>Venture Capital-Backed</t>
        </is>
      </c>
      <c r="I75" s="17" t="inlineStr">
        <is>
          <t>Raptor Group, Westland Ventures</t>
        </is>
      </c>
      <c r="J75" s="18" t="inlineStr">
        <is>
          <t>www.zhenas.com</t>
        </is>
      </c>
      <c r="K75" s="19" t="inlineStr">
        <is>
          <t>info@gypsytea.com</t>
        </is>
      </c>
      <c r="L75" s="20" t="inlineStr">
        <is>
          <t>+1 (323) 767-0300</t>
        </is>
      </c>
      <c r="M75" s="21" t="inlineStr">
        <is>
          <t>Paula Muesse</t>
        </is>
      </c>
      <c r="N75" s="22" t="inlineStr">
        <is>
          <t>Chief Financial Officer &amp; Chief Operating Officer</t>
        </is>
      </c>
      <c r="O75" s="23" t="inlineStr">
        <is>
          <t>paula@gypsytea.com</t>
        </is>
      </c>
      <c r="P75" s="24" t="inlineStr">
        <is>
          <t>+1 (323) 767-0300</t>
        </is>
      </c>
      <c r="Q75" s="25" t="n">
        <v>2001.0</v>
      </c>
      <c r="R75" s="113">
        <f>HYPERLINK("https://my.pitchbook.com?c=42510-52", "View company online")</f>
      </c>
    </row>
    <row r="76">
      <c r="A76" s="27" t="inlineStr">
        <is>
          <t>57781-63</t>
        </is>
      </c>
      <c r="B76" s="28" t="inlineStr">
        <is>
          <t>Zeuss</t>
        </is>
      </c>
      <c r="C76" s="29" t="inlineStr">
        <is>
          <t>94133</t>
        </is>
      </c>
      <c r="D76" s="30" t="inlineStr">
        <is>
          <t>Operator of an enterprise software company. The company utilizes semantic and natural language processing technology to recover, analyze and deliver electronic messages from current and former employees.</t>
        </is>
      </c>
      <c r="E76" s="31" t="inlineStr">
        <is>
          <t>Other Software</t>
        </is>
      </c>
      <c r="F76" s="32" t="inlineStr">
        <is>
          <t>San Francisco, CA</t>
        </is>
      </c>
      <c r="G76" s="33" t="inlineStr">
        <is>
          <t>Privately Held (backing)</t>
        </is>
      </c>
      <c r="H76" s="34" t="inlineStr">
        <is>
          <t>Venture Capital-Backed</t>
        </is>
      </c>
      <c r="I76" s="35" t="inlineStr">
        <is>
          <t>Forté Ventures, In-Q-Tel, Maryland Technology Development, Maryland Venture Fund</t>
        </is>
      </c>
      <c r="J76" s="36" t="inlineStr">
        <is>
          <t>www.zeuss.com</t>
        </is>
      </c>
      <c r="K76" s="37" t="inlineStr">
        <is>
          <t>info@zeuss.com</t>
        </is>
      </c>
      <c r="L76" s="38" t="inlineStr">
        <is>
          <t>+1 (410) 310-7051</t>
        </is>
      </c>
      <c r="M76" s="39" t="inlineStr">
        <is>
          <t>Brandon White</t>
        </is>
      </c>
      <c r="N76" s="40" t="inlineStr">
        <is>
          <t>Co-Founder, Chief Executive Officer, President, Chief Product Officer &amp; Board Member</t>
        </is>
      </c>
      <c r="O76" s="41" t="inlineStr">
        <is>
          <t/>
        </is>
      </c>
      <c r="P76" s="42" t="inlineStr">
        <is>
          <t>+1 (410) 310-7051</t>
        </is>
      </c>
      <c r="Q76" s="43" t="n">
        <v>2011.0</v>
      </c>
      <c r="R76" s="114">
        <f>HYPERLINK("https://my.pitchbook.com?c=57781-63", "View company online")</f>
      </c>
    </row>
    <row r="77">
      <c r="A77" s="9" t="inlineStr">
        <is>
          <t>148186-27</t>
        </is>
      </c>
      <c r="B77" s="10" t="inlineStr">
        <is>
          <t>Zeus Living</t>
        </is>
      </c>
      <c r="C77" s="11" t="inlineStr">
        <is>
          <t/>
        </is>
      </c>
      <c r="D77" s="12" t="inlineStr">
        <is>
          <t>Developer of a property management platform designed to rent furnished housing estates. The company's property management platform with state of art technology enables startups, students and companies to focus on their growing portfolios while earning more money from existing properties without any hassle.</t>
        </is>
      </c>
      <c r="E77" s="13" t="inlineStr">
        <is>
          <t>Building Products</t>
        </is>
      </c>
      <c r="F77" s="14" t="inlineStr">
        <is>
          <t>San Francisco, CA</t>
        </is>
      </c>
      <c r="G77" s="15" t="inlineStr">
        <is>
          <t>Privately Held (backing)</t>
        </is>
      </c>
      <c r="H77" s="16" t="inlineStr">
        <is>
          <t>Venture Capital-Backed</t>
        </is>
      </c>
      <c r="I77" s="17" t="inlineStr">
        <is>
          <t>Bee Partners, Bowery Capital, Floodgate Fund, GV, Initialized Capital, MetaProp NYC, Naval Ravikant, NFX Guild, Paul Buchheit, Tikhon Bernstam, Y Combinator</t>
        </is>
      </c>
      <c r="J77" s="18" t="inlineStr">
        <is>
          <t>www.zeusliving.com</t>
        </is>
      </c>
      <c r="K77" s="19" t="inlineStr">
        <is>
          <t>hello@zeusliving.com</t>
        </is>
      </c>
      <c r="L77" s="20" t="inlineStr">
        <is>
          <t>+1 (650) 817-7343</t>
        </is>
      </c>
      <c r="M77" s="21" t="inlineStr">
        <is>
          <t>Kulveer Taggar</t>
        </is>
      </c>
      <c r="N77" s="22" t="inlineStr">
        <is>
          <t>Co-Founder &amp; Chief Executive Officer</t>
        </is>
      </c>
      <c r="O77" s="23" t="inlineStr">
        <is>
          <t>kulveer@zeusliving.com</t>
        </is>
      </c>
      <c r="P77" s="24" t="inlineStr">
        <is>
          <t>+1 (650) 817-7343</t>
        </is>
      </c>
      <c r="Q77" s="25" t="n">
        <v>2011.0</v>
      </c>
      <c r="R77" s="113">
        <f>HYPERLINK("https://my.pitchbook.com?c=148186-27", "View company online")</f>
      </c>
    </row>
    <row r="78">
      <c r="A78" s="27" t="inlineStr">
        <is>
          <t>52367-32</t>
        </is>
      </c>
      <c r="B78" s="28" t="inlineStr">
        <is>
          <t>Zettaset</t>
        </is>
      </c>
      <c r="C78" s="29" t="inlineStr">
        <is>
          <t>94043</t>
        </is>
      </c>
      <c r="D78" s="30" t="inlineStr">
        <is>
          <t>Provider of an enterprise-class data protection platform. The company's platform provides Big Data Security, Encryption, Access-Control and Authentication services to detect unauthorized data modification and protect the integrity of encrypted data.</t>
        </is>
      </c>
      <c r="E78" s="31" t="inlineStr">
        <is>
          <t>Network Management Software</t>
        </is>
      </c>
      <c r="F78" s="32" t="inlineStr">
        <is>
          <t>Mountain View, CA</t>
        </is>
      </c>
      <c r="G78" s="33" t="inlineStr">
        <is>
          <t>Privately Held (backing)</t>
        </is>
      </c>
      <c r="H78" s="34" t="inlineStr">
        <is>
          <t>Venture Capital-Backed</t>
        </is>
      </c>
      <c r="I78" s="35" t="inlineStr">
        <is>
          <t>Brocade Communications Systems, Draper Fisher Jurvetson, EPIC Ventures, HighBar Partners</t>
        </is>
      </c>
      <c r="J78" s="36" t="inlineStr">
        <is>
          <t>www.zettaset.com</t>
        </is>
      </c>
      <c r="K78" s="37" t="inlineStr">
        <is>
          <t/>
        </is>
      </c>
      <c r="L78" s="38" t="inlineStr">
        <is>
          <t>+1 (888) 511-3736</t>
        </is>
      </c>
      <c r="M78" s="39" t="inlineStr">
        <is>
          <t>Tim Reilly</t>
        </is>
      </c>
      <c r="N78" s="40" t="inlineStr">
        <is>
          <t>Chief Operating Officer</t>
        </is>
      </c>
      <c r="O78" s="41" t="inlineStr">
        <is>
          <t>tim.reilly@zettaset.com</t>
        </is>
      </c>
      <c r="P78" s="42" t="inlineStr">
        <is>
          <t>+1 (888) 511-3736</t>
        </is>
      </c>
      <c r="Q78" s="43" t="n">
        <v>2009.0</v>
      </c>
      <c r="R78" s="114">
        <f>HYPERLINK("https://my.pitchbook.com?c=52367-32", "View company online")</f>
      </c>
    </row>
    <row r="79">
      <c r="A79" s="9" t="inlineStr">
        <is>
          <t>51252-67</t>
        </is>
      </c>
      <c r="B79" s="10" t="inlineStr">
        <is>
          <t>Zetta</t>
        </is>
      </c>
      <c r="C79" s="11" t="inlineStr">
        <is>
          <t>94089</t>
        </is>
      </c>
      <c r="D79" s="12" t="inlineStr">
        <is>
          <t>Provider of enterprise cloud storage solutions for enterprise information technology (IT) professionals. The company is compatible with existing on-premise storage systems and integrates with existing IT workflows. It delivers data availability, integrity, and security protections. Zetta's enterprise-class architecture guarantees availability and integrity even in the event of multiple complete node failure from any cause, whether network, power supply, memory, or disk failure. Enterprise customers include a variety of industries such as legal services, education, business services, financial services, media and entertainment, as well as software and technology.</t>
        </is>
      </c>
      <c r="E79" s="13" t="inlineStr">
        <is>
          <t>Database Software</t>
        </is>
      </c>
      <c r="F79" s="14" t="inlineStr">
        <is>
          <t>Sunnyvale, CA</t>
        </is>
      </c>
      <c r="G79" s="15" t="inlineStr">
        <is>
          <t>Privately Held (backing)</t>
        </is>
      </c>
      <c r="H79" s="16" t="inlineStr">
        <is>
          <t>Venture Capital-Backed</t>
        </is>
      </c>
      <c r="I79" s="17" t="inlineStr">
        <is>
          <t>Amidzad Partners, Bobby Yazdani, Foundation Capital, Industry Ventures, Jackson Square Ventures, Pejman Nozad, Plug and Play Tech Center, Sigma Partners, Signatures Capital</t>
        </is>
      </c>
      <c r="J79" s="18" t="inlineStr">
        <is>
          <t>www.zetta.net</t>
        </is>
      </c>
      <c r="K79" s="19" t="inlineStr">
        <is>
          <t>info@zetta.net</t>
        </is>
      </c>
      <c r="L79" s="20" t="inlineStr">
        <is>
          <t>+1 (877) 469-3882</t>
        </is>
      </c>
      <c r="M79" s="21" t="inlineStr">
        <is>
          <t>Chris Carney</t>
        </is>
      </c>
      <c r="N79" s="22" t="inlineStr">
        <is>
          <t>Chief Financial Officer</t>
        </is>
      </c>
      <c r="O79" s="23" t="inlineStr">
        <is>
          <t>ccarney@zetta.net</t>
        </is>
      </c>
      <c r="P79" s="24" t="inlineStr">
        <is>
          <t>+1 (877) 469-3882</t>
        </is>
      </c>
      <c r="Q79" s="25" t="n">
        <v>2008.0</v>
      </c>
      <c r="R79" s="113">
        <f>HYPERLINK("https://my.pitchbook.com?c=51252-67", "View company online")</f>
      </c>
    </row>
    <row r="80">
      <c r="A80" s="27" t="inlineStr">
        <is>
          <t>13111-84</t>
        </is>
      </c>
      <c r="B80" s="28" t="inlineStr">
        <is>
          <t>Zetera</t>
        </is>
      </c>
      <c r="C80" s="29" t="inlineStr">
        <is>
          <t>92623</t>
        </is>
      </c>
      <c r="D80" s="30" t="inlineStr">
        <is>
          <t>Developer of network storage technology products. The company focuses on providing storage-over-internet protocol services through its Z-SAN technology offering backup and archive, shared storage, surveillance and security, medical imaging and docmemt management.</t>
        </is>
      </c>
      <c r="E80" s="31" t="inlineStr">
        <is>
          <t>Storage (IT)</t>
        </is>
      </c>
      <c r="F80" s="32" t="inlineStr">
        <is>
          <t>Irvine, CA</t>
        </is>
      </c>
      <c r="G80" s="33" t="inlineStr">
        <is>
          <t>Privately Held (backing)</t>
        </is>
      </c>
      <c r="H80" s="34" t="inlineStr">
        <is>
          <t>Venture Capital-Backed</t>
        </is>
      </c>
      <c r="I80" s="35" t="inlineStr">
        <is>
          <t>Exavest Ventures, Mehta-Z Investments, Warburg Pincus, WI Harper Group</t>
        </is>
      </c>
      <c r="J80" s="36" t="inlineStr">
        <is>
          <t>www.zetera.com</t>
        </is>
      </c>
      <c r="K80" s="37" t="inlineStr">
        <is>
          <t>contact@zetera.com</t>
        </is>
      </c>
      <c r="L80" s="38" t="inlineStr">
        <is>
          <t>+1 (949) 954-2343</t>
        </is>
      </c>
      <c r="M80" s="39" t="inlineStr">
        <is>
          <t>Charles Cortright</t>
        </is>
      </c>
      <c r="N80" s="40" t="inlineStr">
        <is>
          <t>President &amp; Chief Executive Officer</t>
        </is>
      </c>
      <c r="O80" s="41" t="inlineStr">
        <is>
          <t>chuck.cortright@zetera.com</t>
        </is>
      </c>
      <c r="P80" s="42" t="inlineStr">
        <is>
          <t>+1 (949) 954-2343</t>
        </is>
      </c>
      <c r="Q80" s="43" t="n">
        <v>2002.0</v>
      </c>
      <c r="R80" s="114">
        <f>HYPERLINK("https://my.pitchbook.com?c=13111-84", "View company online")</f>
      </c>
    </row>
    <row r="81">
      <c r="A81" s="9" t="inlineStr">
        <is>
          <t>178328-98</t>
        </is>
      </c>
      <c r="B81" s="10" t="inlineStr">
        <is>
          <t>ZETA Pellet</t>
        </is>
      </c>
      <c r="C81" s="11" t="inlineStr">
        <is>
          <t>06600</t>
        </is>
      </c>
      <c r="D81" s="12" t="inlineStr">
        <is>
          <t>Provider of an ecological technology platform intended to transform green vegetal waste into pellets that can be burnt efficiently in boilers, replacing traditional fossil resources. The company's waste management technology platform aims to produce a green and clean source of energy where negligible waste material remains after the pellets are burnt enabling users with a raw material without any ecological side-effects and where rudimentary vegetal waste becomes a fuel.</t>
        </is>
      </c>
      <c r="E81" s="13" t="inlineStr">
        <is>
          <t>Energy Production</t>
        </is>
      </c>
      <c r="F81" s="14" t="inlineStr">
        <is>
          <t>Antibes, France</t>
        </is>
      </c>
      <c r="G81" s="15" t="inlineStr">
        <is>
          <t>Privately Held (backing)</t>
        </is>
      </c>
      <c r="H81" s="16" t="inlineStr">
        <is>
          <t>Venture Capital-Backed</t>
        </is>
      </c>
      <c r="I81" s="17" t="inlineStr">
        <is>
          <t>Bpifrance, Starquest Capital</t>
        </is>
      </c>
      <c r="J81" s="18" t="inlineStr">
        <is>
          <t>www.zetapellet.com</t>
        </is>
      </c>
      <c r="K81" s="19" t="inlineStr">
        <is>
          <t/>
        </is>
      </c>
      <c r="L81" s="20" t="inlineStr">
        <is>
          <t>+33 (0)9 53 85 26 94</t>
        </is>
      </c>
      <c r="M81" s="21" t="inlineStr">
        <is>
          <t>Etienne Frank</t>
        </is>
      </c>
      <c r="N81" s="22" t="inlineStr">
        <is>
          <t>Founder &amp; President</t>
        </is>
      </c>
      <c r="O81" s="23" t="inlineStr">
        <is>
          <t>etienne@zetapellet.com</t>
        </is>
      </c>
      <c r="P81" s="24" t="inlineStr">
        <is>
          <t>+33 (0)9 53 85 26 94</t>
        </is>
      </c>
      <c r="Q81" s="25" t="n">
        <v>2010.0</v>
      </c>
      <c r="R81" s="113">
        <f>HYPERLINK("https://my.pitchbook.com?c=178328-98", "View company online")</f>
      </c>
    </row>
    <row r="82">
      <c r="A82" s="27" t="inlineStr">
        <is>
          <t>147086-56</t>
        </is>
      </c>
      <c r="B82" s="28" t="inlineStr">
        <is>
          <t>Zeta Instruments</t>
        </is>
      </c>
      <c r="C82" s="29" t="inlineStr">
        <is>
          <t>95131</t>
        </is>
      </c>
      <c r="D82" s="30" t="inlineStr">
        <is>
          <t>Manufacturer of inspection and metrology technology products. The company manufactures non-contact profilers, advanced glass and semiconductor packaging and defect inspection systems.</t>
        </is>
      </c>
      <c r="E82" s="31" t="inlineStr">
        <is>
          <t>Machinery (B2B)</t>
        </is>
      </c>
      <c r="F82" s="32" t="inlineStr">
        <is>
          <t>San Jose, CA</t>
        </is>
      </c>
      <c r="G82" s="33" t="inlineStr">
        <is>
          <t>Privately Held (backing)</t>
        </is>
      </c>
      <c r="H82" s="34" t="inlineStr">
        <is>
          <t>Venture Capital-Backed</t>
        </is>
      </c>
      <c r="I82" s="35" t="inlineStr">
        <is>
          <t/>
        </is>
      </c>
      <c r="J82" s="36" t="inlineStr">
        <is>
          <t>zeta-inst.com</t>
        </is>
      </c>
      <c r="K82" s="37" t="inlineStr">
        <is>
          <t/>
        </is>
      </c>
      <c r="L82" s="38" t="inlineStr">
        <is>
          <t>+1 (408) 818-9388</t>
        </is>
      </c>
      <c r="M82" s="39" t="inlineStr">
        <is>
          <t>Rusmin Kudinar</t>
        </is>
      </c>
      <c r="N82" s="40" t="inlineStr">
        <is>
          <t>Chief Executive Officer, President &amp; Co-Founder</t>
        </is>
      </c>
      <c r="O82" s="41" t="inlineStr">
        <is>
          <t>rusmin.kudinar@zeta-inst.com</t>
        </is>
      </c>
      <c r="P82" s="42" t="inlineStr">
        <is>
          <t>+1 (408) 818-9388</t>
        </is>
      </c>
      <c r="Q82" s="43" t="n">
        <v>2009.0</v>
      </c>
      <c r="R82" s="114">
        <f>HYPERLINK("https://my.pitchbook.com?c=147086-56", "View company online")</f>
      </c>
    </row>
    <row r="83">
      <c r="A83" s="9" t="inlineStr">
        <is>
          <t>44793-19</t>
        </is>
      </c>
      <c r="B83" s="10" t="inlineStr">
        <is>
          <t>Zeta Communities</t>
        </is>
      </c>
      <c r="C83" s="11" t="inlineStr">
        <is>
          <t>94105</t>
        </is>
      </c>
      <c r="D83" s="12" t="inlineStr">
        <is>
          <t>Producer of housing and property structures for communities. The company engages in designing and building residential, commercial and official structures and properties.</t>
        </is>
      </c>
      <c r="E83" s="13" t="inlineStr">
        <is>
          <t>Buildings and Property</t>
        </is>
      </c>
      <c r="F83" s="14" t="inlineStr">
        <is>
          <t>San Francisco, CA</t>
        </is>
      </c>
      <c r="G83" s="15" t="inlineStr">
        <is>
          <t>Privately Held (backing)</t>
        </is>
      </c>
      <c r="H83" s="16" t="inlineStr">
        <is>
          <t>Venture Capital-Backed</t>
        </is>
      </c>
      <c r="I83" s="17" t="inlineStr">
        <is>
          <t>Black Coral Capital, North Bridge Venture Partners</t>
        </is>
      </c>
      <c r="J83" s="18" t="inlineStr">
        <is>
          <t>www.zetacommunities.com</t>
        </is>
      </c>
      <c r="K83" s="19" t="inlineStr">
        <is>
          <t/>
        </is>
      </c>
      <c r="L83" s="20" t="inlineStr">
        <is>
          <t>+1 (415) 432-4474</t>
        </is>
      </c>
      <c r="M83" s="21" t="inlineStr">
        <is>
          <t>Howard Koenig</t>
        </is>
      </c>
      <c r="N83" s="22" t="inlineStr">
        <is>
          <t>Chief Executive Officer</t>
        </is>
      </c>
      <c r="O83" s="23" t="inlineStr">
        <is>
          <t>howard@aruspex.com</t>
        </is>
      </c>
      <c r="P83" s="24" t="inlineStr">
        <is>
          <t>+1 (650) 378 1446</t>
        </is>
      </c>
      <c r="Q83" s="25" t="n">
        <v>2007.0</v>
      </c>
      <c r="R83" s="113">
        <f>HYPERLINK("https://my.pitchbook.com?c=44793-19", "View company online")</f>
      </c>
    </row>
    <row r="84">
      <c r="A84" s="27" t="inlineStr">
        <is>
          <t>57702-70</t>
        </is>
      </c>
      <c r="B84" s="28" t="inlineStr">
        <is>
          <t>Zesty</t>
        </is>
      </c>
      <c r="C84" s="29" t="inlineStr">
        <is>
          <t>94103</t>
        </is>
      </c>
      <c r="D84" s="30" t="inlineStr">
        <is>
          <t>Provider of an on-demand food ordering application. The company is the creator of a mobile-based application for ordering and purchasing entrees from a curated list of local restaurants, prepared as per demand and delivered via the restaurant's own takeaway service.</t>
        </is>
      </c>
      <c r="E84" s="31" t="inlineStr">
        <is>
          <t>Application Software</t>
        </is>
      </c>
      <c r="F84" s="32" t="inlineStr">
        <is>
          <t>San Francisco, CA</t>
        </is>
      </c>
      <c r="G84" s="33" t="inlineStr">
        <is>
          <t>Privately Held (backing)</t>
        </is>
      </c>
      <c r="H84" s="34" t="inlineStr">
        <is>
          <t>Venture Capital-Backed</t>
        </is>
      </c>
      <c r="I84" s="35" t="inlineStr">
        <is>
          <t>500 Startups, Andrew Bredon, Andrew McCollum, Arin Maercks, Christina Brodbeck, Chrys Bader, Darius Contractor, David Nemetz, Dilan Jayawardane, Fabrice Grinda, FJ Labs, Forerunner Ventures, Founders Fund, FundersClub, Great Oaks Venture Capital, Index Ventures (UK), Jared Friedman, Jeremy Yap, Jermaine O'Neal, Jonathan Swanson, Joshua Reeves, Jugoslav Petkovic, Kevin Mahaffey, Klaus von Sayn-Wittgenstein, Mark Scianna, Owen Van Natta, Passion Capital, Paul Buchheit, Sanford Dickert, Structure Fund, Sumon Sadhu, SV Angel, The International Conclave of Entrepreneurs, Walking Ventures, XG Ventures, Y Combinator, Zachary Auger, Zak Holdsworth</t>
        </is>
      </c>
      <c r="J84" s="36" t="inlineStr">
        <is>
          <t>www.zesty.com</t>
        </is>
      </c>
      <c r="K84" s="37" t="inlineStr">
        <is>
          <t/>
        </is>
      </c>
      <c r="L84" s="38" t="inlineStr">
        <is>
          <t>+1 (800) 439-9378</t>
        </is>
      </c>
      <c r="M84" s="39" t="inlineStr">
        <is>
          <t>Chris Hollindale</t>
        </is>
      </c>
      <c r="N84" s="40" t="inlineStr">
        <is>
          <t>Co-Founder, Board Member &amp; Chief Executive Officer</t>
        </is>
      </c>
      <c r="O84" s="41" t="inlineStr">
        <is>
          <t>chris@zesty.com</t>
        </is>
      </c>
      <c r="P84" s="42" t="inlineStr">
        <is>
          <t>+1 (800) 439-9378</t>
        </is>
      </c>
      <c r="Q84" s="43" t="n">
        <v>2012.0</v>
      </c>
      <c r="R84" s="114">
        <f>HYPERLINK("https://my.pitchbook.com?c=57702-70", "View company online")</f>
      </c>
    </row>
    <row r="85">
      <c r="A85" s="9" t="inlineStr">
        <is>
          <t>52516-63</t>
        </is>
      </c>
      <c r="B85" s="10" t="inlineStr">
        <is>
          <t>ZestFinance</t>
        </is>
      </c>
      <c r="C85" s="11" t="inlineStr">
        <is>
          <t>90028</t>
        </is>
      </c>
      <c r="D85" s="12" t="inlineStr">
        <is>
          <t>Provider of financial services that use machine learning and large-scale big data analysis for assessing credit risk. The company offers credit underwriting services that utilize big data analytics to help lenders make more accurate credit underwriting decisions. The company uses its technology to provide consumer loans.</t>
        </is>
      </c>
      <c r="E85" s="13" t="inlineStr">
        <is>
          <t>Financial Software</t>
        </is>
      </c>
      <c r="F85" s="14" t="inlineStr">
        <is>
          <t>Los Angeles, CA</t>
        </is>
      </c>
      <c r="G85" s="15" t="inlineStr">
        <is>
          <t>Privately Held (backing)</t>
        </is>
      </c>
      <c r="H85" s="16" t="inlineStr">
        <is>
          <t>Venture Capital-Backed</t>
        </is>
      </c>
      <c r="I85" s="17" t="inlineStr">
        <is>
          <t>Baidu, Christopher Webb, Clarium Capital Management, Eastward Capital Partners, Flybridge Capital Partners, Fortress Investment Group, Gil Elbaz, JD.com, Kensington Capital Holdings, Lighthouse Capital Partners, Lightspeed Venture Partners, Matrix Partners, Northgate Capital, Oakhouse Partners, Peter Thiel, TenOneTen Ventures, Thiel Capital, Upfront Ventures, Victory Park Capital</t>
        </is>
      </c>
      <c r="J85" s="18" t="inlineStr">
        <is>
          <t>www.zestfinance.com</t>
        </is>
      </c>
      <c r="K85" s="19" t="inlineStr">
        <is>
          <t>help@zestfinance.com</t>
        </is>
      </c>
      <c r="L85" s="20" t="inlineStr">
        <is>
          <t>+1 (323) 450-3000</t>
        </is>
      </c>
      <c r="M85" s="21" t="inlineStr">
        <is>
          <t>Mike Rasic</t>
        </is>
      </c>
      <c r="N85" s="22" t="inlineStr">
        <is>
          <t>Chief Financial Officer</t>
        </is>
      </c>
      <c r="O85" s="23" t="inlineStr">
        <is>
          <t/>
        </is>
      </c>
      <c r="P85" s="24" t="inlineStr">
        <is>
          <t>+1 (323) 450-3000</t>
        </is>
      </c>
      <c r="Q85" s="25" t="n">
        <v>2009.0</v>
      </c>
      <c r="R85" s="113">
        <f>HYPERLINK("https://my.pitchbook.com?c=52516-63", "View company online")</f>
      </c>
    </row>
    <row r="86">
      <c r="A86" s="27" t="inlineStr">
        <is>
          <t>56239-39</t>
        </is>
      </c>
      <c r="B86" s="28" t="inlineStr">
        <is>
          <t>Zerply</t>
        </is>
      </c>
      <c r="C86" s="29" t="inlineStr">
        <is>
          <t>94107</t>
        </is>
      </c>
      <c r="D86" s="30" t="inlineStr">
        <is>
          <t>Operator of a creative marketplace designed to empower artists to manage their professional lives. The company's platform offers an invite-only community, for the best creative talent in film, games &amp; VR/A, with powerful tools to host and share their work across a community of peers, fans and companies looking for talent, enabling them to easily transition from one project to the next and allows studios to find the right talent, right when they need them.</t>
        </is>
      </c>
      <c r="E86" s="31" t="inlineStr">
        <is>
          <t>Social/Platform Software</t>
        </is>
      </c>
      <c r="F86" s="32" t="inlineStr">
        <is>
          <t>San Francisco, CA</t>
        </is>
      </c>
      <c r="G86" s="33" t="inlineStr">
        <is>
          <t>Privately Held (backing)</t>
        </is>
      </c>
      <c r="H86" s="34" t="inlineStr">
        <is>
          <t>Venture Capital-Backed</t>
        </is>
      </c>
      <c r="I86" s="35" t="inlineStr">
        <is>
          <t>500 Startups, BootstrapLabs, Chris Sang, Christine Tsai, Donald Hutchison, EchoVC Partners, F50, Hackers/Founders, Individual Investor, MI Ventures, Quotidian Ventures, Streamlined Ventures, Ullas Naik, Will Bunker</t>
        </is>
      </c>
      <c r="J86" s="36" t="inlineStr">
        <is>
          <t>www.zerply.com</t>
        </is>
      </c>
      <c r="K86" s="37" t="inlineStr">
        <is>
          <t>hi@zerply.com</t>
        </is>
      </c>
      <c r="L86" s="38" t="inlineStr">
        <is>
          <t/>
        </is>
      </c>
      <c r="M86" s="39" t="inlineStr">
        <is>
          <t>Christofer Karltorp</t>
        </is>
      </c>
      <c r="N86" s="40" t="inlineStr">
        <is>
          <t>Co-Founder &amp; Chief Executive Officer</t>
        </is>
      </c>
      <c r="O86" s="41" t="inlineStr">
        <is>
          <t>christofer@zerply.com</t>
        </is>
      </c>
      <c r="P86" s="42" t="inlineStr">
        <is>
          <t/>
        </is>
      </c>
      <c r="Q86" s="43" t="n">
        <v>2010.0</v>
      </c>
      <c r="R86" s="114">
        <f>HYPERLINK("https://my.pitchbook.com?c=56239-39", "View company online")</f>
      </c>
    </row>
    <row r="87">
      <c r="A87" s="9" t="inlineStr">
        <is>
          <t>63508-06</t>
        </is>
      </c>
      <c r="B87" s="10" t="inlineStr">
        <is>
          <t>ZeroStack</t>
        </is>
      </c>
      <c r="C87" s="11" t="inlineStr">
        <is>
          <t>94043</t>
        </is>
      </c>
      <c r="D87" s="12" t="inlineStr">
        <is>
          <t>Provider of private cloud platform designed to deliver a self-driving platform that offers the agility and simplicity of public cloud at a fraction of the cost. The company's cloud platform utilizes smart software and artificial intelligence that helps in delivering a complete self-service and scale-out private cloud, enabling customers to make proactive decisions about capacity planning, troubleshooting and optimized placement of applications.</t>
        </is>
      </c>
      <c r="E87" s="13" t="inlineStr">
        <is>
          <t>Network Management Software</t>
        </is>
      </c>
      <c r="F87" s="14" t="inlineStr">
        <is>
          <t>Mountain View, CA</t>
        </is>
      </c>
      <c r="G87" s="15" t="inlineStr">
        <is>
          <t>Privately Held (backing)</t>
        </is>
      </c>
      <c r="H87" s="16" t="inlineStr">
        <is>
          <t>Venture Capital-Backed</t>
        </is>
      </c>
      <c r="I87" s="17" t="inlineStr">
        <is>
          <t>Formation 8, Foundation Capital, Mark Leslie</t>
        </is>
      </c>
      <c r="J87" s="18" t="inlineStr">
        <is>
          <t>www.zerostack.com</t>
        </is>
      </c>
      <c r="K87" s="19" t="inlineStr">
        <is>
          <t>info@zerostack.com</t>
        </is>
      </c>
      <c r="L87" s="20" t="inlineStr">
        <is>
          <t/>
        </is>
      </c>
      <c r="M87" s="21" t="inlineStr">
        <is>
          <t>Ajay Gulati</t>
        </is>
      </c>
      <c r="N87" s="22" t="inlineStr">
        <is>
          <t>Co-Founder, Chief Executive Officer &amp; Board Member</t>
        </is>
      </c>
      <c r="O87" s="23" t="inlineStr">
        <is>
          <t>ajay@zerostack.com</t>
        </is>
      </c>
      <c r="P87" s="24" t="inlineStr">
        <is>
          <t/>
        </is>
      </c>
      <c r="Q87" s="25" t="n">
        <v>2014.0</v>
      </c>
      <c r="R87" s="113">
        <f>HYPERLINK("https://my.pitchbook.com?c=63508-06", "View company online")</f>
      </c>
    </row>
    <row r="88">
      <c r="A88" s="27" t="inlineStr">
        <is>
          <t>107708-32</t>
        </is>
      </c>
      <c r="B88" s="28" t="inlineStr">
        <is>
          <t>ZeroLight</t>
        </is>
      </c>
      <c r="C88" s="29" t="inlineStr">
        <is>
          <t>NE1 3DE</t>
        </is>
      </c>
      <c r="D88" s="30" t="inlineStr">
        <is>
          <t>Provider of digital visualization services for the automotive, engineering and architecture sectors. The company designs, builds and powers engaging interactive services ranging from virtual showrooms and virtual reality experiences to augmented reality and visualization applications.</t>
        </is>
      </c>
      <c r="E88" s="31" t="inlineStr">
        <is>
          <t>Application Software</t>
        </is>
      </c>
      <c r="F88" s="32" t="inlineStr">
        <is>
          <t>Newcastle upon Tyne, United Kingdom</t>
        </is>
      </c>
      <c r="G88" s="33" t="inlineStr">
        <is>
          <t>Privately Held (backing)</t>
        </is>
      </c>
      <c r="H88" s="34" t="inlineStr">
        <is>
          <t>Venture Capital-Backed</t>
        </is>
      </c>
      <c r="I88" s="35" t="inlineStr">
        <is>
          <t>Northstar Ventures, Prime Ventures</t>
        </is>
      </c>
      <c r="J88" s="36" t="inlineStr">
        <is>
          <t>www.zerolight.com</t>
        </is>
      </c>
      <c r="K88" s="37" t="inlineStr">
        <is>
          <t>info@zerolight.com</t>
        </is>
      </c>
      <c r="L88" s="38" t="inlineStr">
        <is>
          <t>+44 (0)19 1485 0505</t>
        </is>
      </c>
      <c r="M88" s="39" t="inlineStr">
        <is>
          <t>Darren Jobling</t>
        </is>
      </c>
      <c r="N88" s="40" t="inlineStr">
        <is>
          <t>Founder, Board Member and Chief Executive Officer</t>
        </is>
      </c>
      <c r="O88" s="41" t="inlineStr">
        <is>
          <t>darren@eutechnyx.com</t>
        </is>
      </c>
      <c r="P88" s="42" t="inlineStr">
        <is>
          <t>+44 (0)19 1460 6060</t>
        </is>
      </c>
      <c r="Q88" s="43" t="n">
        <v>2012.0</v>
      </c>
      <c r="R88" s="114">
        <f>HYPERLINK("https://my.pitchbook.com?c=107708-32", "View company online")</f>
      </c>
    </row>
    <row r="89">
      <c r="A89" s="9" t="inlineStr">
        <is>
          <t>102915-10</t>
        </is>
      </c>
      <c r="B89" s="10" t="inlineStr">
        <is>
          <t>ZeroLag Communications</t>
        </is>
      </c>
      <c r="C89" s="11" t="inlineStr">
        <is>
          <t>90211</t>
        </is>
      </c>
      <c r="D89" s="12" t="inlineStr">
        <is>
          <t>Provider of Web hosting services. The company offers cloud hosting services, such as dedicated servers, colocation, virtual hosting, email hosting, Web development and e-commerce hosting services.</t>
        </is>
      </c>
      <c r="E89" s="13" t="inlineStr">
        <is>
          <t>Systems and Information Management</t>
        </is>
      </c>
      <c r="F89" s="14" t="inlineStr">
        <is>
          <t>Beverly Hills, CA</t>
        </is>
      </c>
      <c r="G89" s="15" t="inlineStr">
        <is>
          <t>Privately Held (backing)</t>
        </is>
      </c>
      <c r="H89" s="16" t="inlineStr">
        <is>
          <t>Venture Capital-Backed</t>
        </is>
      </c>
      <c r="I89" s="17" t="inlineStr">
        <is>
          <t>Archer Venture Capital</t>
        </is>
      </c>
      <c r="J89" s="18" t="inlineStr">
        <is>
          <t>www.zerolag.com</t>
        </is>
      </c>
      <c r="K89" s="19" t="inlineStr">
        <is>
          <t>info@zerolag.com</t>
        </is>
      </c>
      <c r="L89" s="20" t="inlineStr">
        <is>
          <t>+1 (877) 937-6524</t>
        </is>
      </c>
      <c r="M89" s="21" t="inlineStr">
        <is>
          <t>Greg Strelzoff</t>
        </is>
      </c>
      <c r="N89" s="22" t="inlineStr">
        <is>
          <t>Founder, Chief Executive Officer &amp; Owner</t>
        </is>
      </c>
      <c r="O89" s="23" t="inlineStr">
        <is>
          <t>greg@zerolag.com</t>
        </is>
      </c>
      <c r="P89" s="24" t="inlineStr">
        <is>
          <t>+1 (877) 937-6524</t>
        </is>
      </c>
      <c r="Q89" s="25" t="n">
        <v>1999.0</v>
      </c>
      <c r="R89" s="113">
        <f>HYPERLINK("https://my.pitchbook.com?c=102915-10", "View company online")</f>
      </c>
    </row>
    <row r="90">
      <c r="A90" s="27" t="inlineStr">
        <is>
          <t>103821-49</t>
        </is>
      </c>
      <c r="B90" s="28" t="inlineStr">
        <is>
          <t>ZeroDesktop</t>
        </is>
      </c>
      <c r="C90" s="29" t="inlineStr">
        <is>
          <t>94403</t>
        </is>
      </c>
      <c r="D90" s="30" t="inlineStr">
        <is>
          <t>Developer of cloud-based technology designed to securely access adocuments, photos, music and videos from many services. The company's cloud-based technology helps in dragging and dropping content from one service to another, search and discover everything in the cloud content across different services, enabling consumers, schools and business to access, manage and share their digital content.</t>
        </is>
      </c>
      <c r="E90" s="31" t="inlineStr">
        <is>
          <t>Other Software</t>
        </is>
      </c>
      <c r="F90" s="32" t="inlineStr">
        <is>
          <t>San Mateo, CA</t>
        </is>
      </c>
      <c r="G90" s="33" t="inlineStr">
        <is>
          <t>Privately Held (backing)</t>
        </is>
      </c>
      <c r="H90" s="34" t="inlineStr">
        <is>
          <t>Venture Capital-Backed</t>
        </is>
      </c>
      <c r="I90" s="35" t="inlineStr">
        <is>
          <t>Booga Ventures, DHTechnew Corp., Individual Investor</t>
        </is>
      </c>
      <c r="J90" s="36" t="inlineStr">
        <is>
          <t>www.zeropc.com</t>
        </is>
      </c>
      <c r="K90" s="37" t="inlineStr">
        <is>
          <t>info@zerodesktop.com</t>
        </is>
      </c>
      <c r="L90" s="38" t="inlineStr">
        <is>
          <t>+1 (650) 585-4401</t>
        </is>
      </c>
      <c r="M90" s="39" t="inlineStr">
        <is>
          <t>Young Song</t>
        </is>
      </c>
      <c r="N90" s="40" t="inlineStr">
        <is>
          <t>Founder &amp; Chief Executive Officer</t>
        </is>
      </c>
      <c r="O90" s="41" t="inlineStr">
        <is>
          <t>ysong@boogaventures.com</t>
        </is>
      </c>
      <c r="P90" s="42" t="inlineStr">
        <is>
          <t>+1 (650) 585-4455</t>
        </is>
      </c>
      <c r="Q90" s="43" t="n">
        <v>2010.0</v>
      </c>
      <c r="R90" s="114">
        <f>HYPERLINK("https://my.pitchbook.com?c=103821-49", "View company online")</f>
      </c>
    </row>
    <row r="91">
      <c r="A91" s="9" t="inlineStr">
        <is>
          <t>54735-49</t>
        </is>
      </c>
      <c r="B91" s="10" t="inlineStr">
        <is>
          <t>ZeroCater</t>
        </is>
      </c>
      <c r="C91" s="11" t="inlineStr">
        <is>
          <t/>
        </is>
      </c>
      <c r="D91" s="12" t="inlineStr">
        <is>
          <t>Provider of catering service to companies and their employees. The company operates a catering service for companies to enjoy meals delivered from local restaurants, caterers and private chefs.</t>
        </is>
      </c>
      <c r="E91" s="13" t="inlineStr">
        <is>
          <t>Food Products</t>
        </is>
      </c>
      <c r="F91" s="14" t="inlineStr">
        <is>
          <t>San Francisco, CA</t>
        </is>
      </c>
      <c r="G91" s="15" t="inlineStr">
        <is>
          <t>Privately Held (backing)</t>
        </is>
      </c>
      <c r="H91" s="16" t="inlineStr">
        <is>
          <t>Venture Capital-Backed</t>
        </is>
      </c>
      <c r="I91" s="17" t="inlineStr">
        <is>
          <t>Adam Struck, Alexander Goldstein, Emmett Shear, Gabor Cselle, Hubrix Ventures, Individual Investor, Justin Kan, Keith Rabois, Mark Friedgan, Othman Laraki, Paul Buchheit, Romulus Capital, Starling Ventures, Start Fund, Stewart Alsop, Struck Capital, SV Angel, Vaizra Investments, Y Combinator, Yuri Milner</t>
        </is>
      </c>
      <c r="J91" s="18" t="inlineStr">
        <is>
          <t>www.zerocater.com</t>
        </is>
      </c>
      <c r="K91" s="19" t="inlineStr">
        <is>
          <t>hello@zerocater.com</t>
        </is>
      </c>
      <c r="L91" s="20" t="inlineStr">
        <is>
          <t>+1 (844) 229-9376</t>
        </is>
      </c>
      <c r="M91" s="21" t="inlineStr">
        <is>
          <t>Arram Sabeti</t>
        </is>
      </c>
      <c r="N91" s="22" t="inlineStr">
        <is>
          <t>Chief Executive Officer and Founder</t>
        </is>
      </c>
      <c r="O91" s="23" t="inlineStr">
        <is>
          <t/>
        </is>
      </c>
      <c r="P91" s="24" t="inlineStr">
        <is>
          <t>+1 (844) 229-9376</t>
        </is>
      </c>
      <c r="Q91" s="25" t="n">
        <v>2009.0</v>
      </c>
      <c r="R91" s="113">
        <f>HYPERLINK("https://my.pitchbook.com?c=54735-49", "View company online")</f>
      </c>
    </row>
    <row r="92">
      <c r="A92" s="27" t="inlineStr">
        <is>
          <t>101765-80</t>
        </is>
      </c>
      <c r="B92" s="28" t="inlineStr">
        <is>
          <t>Zero Slant</t>
        </is>
      </c>
      <c r="C92" s="29" t="inlineStr">
        <is>
          <t>95618</t>
        </is>
      </c>
      <c r="D92" s="30" t="inlineStr">
        <is>
          <t>Provider of a photo-sharing application. The company's photo-sharing application automatically organizes all nearby public visuals shared on social networks into one album enabling users to share their pictures and also view and save pictures being shared by people around them in real time.</t>
        </is>
      </c>
      <c r="E92" s="31" t="inlineStr">
        <is>
          <t>Application Software</t>
        </is>
      </c>
      <c r="F92" s="32" t="inlineStr">
        <is>
          <t>El Macero, CA</t>
        </is>
      </c>
      <c r="G92" s="33" t="inlineStr">
        <is>
          <t>Privately Held (backing)</t>
        </is>
      </c>
      <c r="H92" s="34" t="inlineStr">
        <is>
          <t>Venture Capital-Backed</t>
        </is>
      </c>
      <c r="I92" s="35" t="inlineStr">
        <is>
          <t>Chris Sang, Desney Tan, Dominic Audino, Jason Calacanis, Joe Saunders, Mohammed Seyfi, Saad AlSogair, Social Starts, The LAUNCH Incubator</t>
        </is>
      </c>
      <c r="J92" s="36" t="inlineStr">
        <is>
          <t>www.zeroslant.com</t>
        </is>
      </c>
      <c r="K92" s="37" t="inlineStr">
        <is>
          <t>team@momunt.com</t>
        </is>
      </c>
      <c r="L92" s="38" t="inlineStr">
        <is>
          <t>+1 (310) 433-0832</t>
        </is>
      </c>
      <c r="M92" s="39" t="inlineStr">
        <is>
          <t>Ryan Sheffer</t>
        </is>
      </c>
      <c r="N92" s="40" t="inlineStr">
        <is>
          <t>Co-Founder, Board Member &amp; Chief Executive Officer</t>
        </is>
      </c>
      <c r="O92" s="41" t="inlineStr">
        <is>
          <t>ryan@zeroslant.com</t>
        </is>
      </c>
      <c r="P92" s="42" t="inlineStr">
        <is>
          <t>+1 (310) 433-0832</t>
        </is>
      </c>
      <c r="Q92" s="43" t="n">
        <v>2014.0</v>
      </c>
      <c r="R92" s="114">
        <f>HYPERLINK("https://my.pitchbook.com?c=101765-80", "View company online")</f>
      </c>
    </row>
    <row r="93">
      <c r="A93" s="9" t="inlineStr">
        <is>
          <t>51692-59</t>
        </is>
      </c>
      <c r="B93" s="10" t="inlineStr">
        <is>
          <t>Zero Motorcycles</t>
        </is>
      </c>
      <c r="C93" s="11" t="inlineStr">
        <is>
          <t>95066</t>
        </is>
      </c>
      <c r="D93" s="12" t="inlineStr">
        <is>
          <t>Manufacturer of electric motorcycles. The company offers street, dirt and dual sport motorcycles. It also offers accessories, apparel, fairings and bodywork, parts, tires and wheels and upgrades.</t>
        </is>
      </c>
      <c r="E93" s="13" t="inlineStr">
        <is>
          <t>Automotive</t>
        </is>
      </c>
      <c r="F93" s="14" t="inlineStr">
        <is>
          <t>Scotts Valley, CA</t>
        </is>
      </c>
      <c r="G93" s="15" t="inlineStr">
        <is>
          <t>Privately Held (backing)</t>
        </is>
      </c>
      <c r="H93" s="16" t="inlineStr">
        <is>
          <t>Venture Capital-Backed</t>
        </is>
      </c>
      <c r="I93" s="17" t="inlineStr">
        <is>
          <t>California Energy Commission, Invus Group</t>
        </is>
      </c>
      <c r="J93" s="18" t="inlineStr">
        <is>
          <t>www.zeromotorcycles.com</t>
        </is>
      </c>
      <c r="K93" s="19" t="inlineStr">
        <is>
          <t>inquiries@zeromotorcycles.com</t>
        </is>
      </c>
      <c r="L93" s="20" t="inlineStr">
        <is>
          <t>+1 (831) 438-3500</t>
        </is>
      </c>
      <c r="M93" s="21" t="inlineStr">
        <is>
          <t>Curt Sacks</t>
        </is>
      </c>
      <c r="N93" s="22" t="inlineStr">
        <is>
          <t>Chief Financial Officer</t>
        </is>
      </c>
      <c r="O93" s="23" t="inlineStr">
        <is>
          <t>curt.sacks@zeromotorcycles.com</t>
        </is>
      </c>
      <c r="P93" s="24" t="inlineStr">
        <is>
          <t>+1 (831) 438-3500</t>
        </is>
      </c>
      <c r="Q93" s="25" t="n">
        <v>2006.0</v>
      </c>
      <c r="R93" s="113">
        <f>HYPERLINK("https://my.pitchbook.com?c=51692-59", "View company online")</f>
      </c>
    </row>
    <row r="94">
      <c r="A94" s="27" t="inlineStr">
        <is>
          <t>121487-32</t>
        </is>
      </c>
      <c r="B94" s="28" t="inlineStr">
        <is>
          <t>Zero Keyboard</t>
        </is>
      </c>
      <c r="C94" s="29" t="inlineStr">
        <is>
          <t>00170</t>
        </is>
      </c>
      <c r="D94" s="30" t="inlineStr">
        <is>
          <t>Provider of a data collection application designed to keep data up-to-date and to improve productivity. The company's data governance tool offers an online mobile software which makes data entry in Salesforce efficient, enabling users to log calls, create leads, scan business cards, collect information, manage tasks, calendar events, and more on the go, even offline, without typing.</t>
        </is>
      </c>
      <c r="E94" s="31" t="inlineStr">
        <is>
          <t>Database Software</t>
        </is>
      </c>
      <c r="F94" s="32" t="inlineStr">
        <is>
          <t>Helsinki, Finland</t>
        </is>
      </c>
      <c r="G94" s="33" t="inlineStr">
        <is>
          <t>Privately Held (backing)</t>
        </is>
      </c>
      <c r="H94" s="34" t="inlineStr">
        <is>
          <t>Venture Capital-Backed</t>
        </is>
      </c>
      <c r="I94" s="35" t="inlineStr">
        <is>
          <t>Blackbox, Elina Piispanen, Fluido, Jari Mielonen, Jouko Virtanen, NewCo Helsinki Accelerator, Takeoff Partners, Tekes, Thomas Johanson</t>
        </is>
      </c>
      <c r="J94" s="36" t="inlineStr">
        <is>
          <t>www.zerokeyboard.com</t>
        </is>
      </c>
      <c r="K94" s="37" t="inlineStr">
        <is>
          <t>eu@zerokeyboard.com</t>
        </is>
      </c>
      <c r="L94" s="38" t="inlineStr">
        <is>
          <t>+358 (0)40 024 2555</t>
        </is>
      </c>
      <c r="M94" s="39" t="inlineStr">
        <is>
          <t>Jaan Apajalahti</t>
        </is>
      </c>
      <c r="N94" s="40" t="inlineStr">
        <is>
          <t>Chief Executive Officer &amp; Co-Founder</t>
        </is>
      </c>
      <c r="O94" s="41" t="inlineStr">
        <is>
          <t>jaan.apajalahti@blucup.com</t>
        </is>
      </c>
      <c r="P94" s="42" t="inlineStr">
        <is>
          <t>+358 (0)40 024 2555</t>
        </is>
      </c>
      <c r="Q94" s="43" t="n">
        <v>2013.0</v>
      </c>
      <c r="R94" s="114">
        <f>HYPERLINK("https://my.pitchbook.com?c=121487-32", "View company online")</f>
      </c>
    </row>
    <row r="95">
      <c r="A95" s="9" t="inlineStr">
        <is>
          <t>163251-64</t>
        </is>
      </c>
      <c r="B95" s="10" t="inlineStr">
        <is>
          <t>Zero Financial</t>
        </is>
      </c>
      <c r="C95" s="11" t="inlineStr">
        <is>
          <t>94108</t>
        </is>
      </c>
      <c r="D95" s="12" t="inlineStr">
        <is>
          <t>Provider of a mobile-based platform for banking and financial services. The company provides a mobile-based banking platform consisting of an application and a card called Zerocard, a solid metal card that comes in four levels with varying rewards of up to 3% cash back.</t>
        </is>
      </c>
      <c r="E95" s="13" t="inlineStr">
        <is>
          <t>Financial Software</t>
        </is>
      </c>
      <c r="F95" s="14" t="inlineStr">
        <is>
          <t>San Francisco, CA</t>
        </is>
      </c>
      <c r="G95" s="15" t="inlineStr">
        <is>
          <t>Privately Held (backing)</t>
        </is>
      </c>
      <c r="H95" s="16" t="inlineStr">
        <is>
          <t>Venture Capital-Backed</t>
        </is>
      </c>
      <c r="I95" s="17" t="inlineStr">
        <is>
          <t>Eniac Ventures, Lightbank, Middleland Capital, New Enterprise Associates, Nyca Partners</t>
        </is>
      </c>
      <c r="J95" s="18" t="inlineStr">
        <is>
          <t>www.zerofinancial.com</t>
        </is>
      </c>
      <c r="K95" s="19" t="inlineStr">
        <is>
          <t>contact@zerofinancial.com</t>
        </is>
      </c>
      <c r="L95" s="20" t="inlineStr">
        <is>
          <t/>
        </is>
      </c>
      <c r="M95" s="21" t="inlineStr">
        <is>
          <t>Bryce Galen</t>
        </is>
      </c>
      <c r="N95" s="22" t="inlineStr">
        <is>
          <t>Co-Founder &amp; Chief Executive Officer</t>
        </is>
      </c>
      <c r="O95" s="23" t="inlineStr">
        <is>
          <t>bryce@zerofinancial.com</t>
        </is>
      </c>
      <c r="P95" s="24" t="inlineStr">
        <is>
          <t/>
        </is>
      </c>
      <c r="Q95" s="25" t="n">
        <v>2016.0</v>
      </c>
      <c r="R95" s="113">
        <f>HYPERLINK("https://my.pitchbook.com?c=163251-64", "View company online")</f>
      </c>
    </row>
    <row r="96">
      <c r="A96" s="27" t="inlineStr">
        <is>
          <t>59037-13</t>
        </is>
      </c>
      <c r="B96" s="28" t="inlineStr">
        <is>
          <t>Zeptor</t>
        </is>
      </c>
      <c r="C96" s="29" t="inlineStr">
        <is>
          <t>94025</t>
        </is>
      </c>
      <c r="D96" s="30" t="inlineStr">
        <is>
          <t>Developer of silicon based electrodes for lithium ion battery. The company enables the use of high-capacity material in lithium ion batteries without incurring additional manufacturing cost.</t>
        </is>
      </c>
      <c r="E96" s="31" t="inlineStr">
        <is>
          <t>Electronics (B2C)</t>
        </is>
      </c>
      <c r="F96" s="32" t="inlineStr">
        <is>
          <t>Menlo Park, CA</t>
        </is>
      </c>
      <c r="G96" s="33" t="inlineStr">
        <is>
          <t>Privately Held (backing)</t>
        </is>
      </c>
      <c r="H96" s="34" t="inlineStr">
        <is>
          <t>Venture Capital-Backed</t>
        </is>
      </c>
      <c r="I96" s="35" t="inlineStr">
        <is>
          <t/>
        </is>
      </c>
      <c r="J96" s="36" t="inlineStr">
        <is>
          <t>www.zeptoco.com</t>
        </is>
      </c>
      <c r="K96" s="37" t="inlineStr">
        <is>
          <t>info@zeptoco.com</t>
        </is>
      </c>
      <c r="L96" s="38" t="inlineStr">
        <is>
          <t/>
        </is>
      </c>
      <c r="M96" s="39" t="inlineStr">
        <is>
          <t>Tatsunori Suzuki</t>
        </is>
      </c>
      <c r="N96" s="40" t="inlineStr">
        <is>
          <t>Co-Founder, President, Chief Executive Officer &amp; Board Member</t>
        </is>
      </c>
      <c r="O96" s="41" t="inlineStr">
        <is>
          <t>tatsunori.suzuki@zeptoco.com</t>
        </is>
      </c>
      <c r="P96" s="42" t="inlineStr">
        <is>
          <t/>
        </is>
      </c>
      <c r="Q96" s="43" t="inlineStr">
        <is>
          <t/>
        </is>
      </c>
      <c r="R96" s="114">
        <f>HYPERLINK("https://my.pitchbook.com?c=59037-13", "View company online")</f>
      </c>
    </row>
    <row r="97">
      <c r="A97" s="9" t="inlineStr">
        <is>
          <t>61194-34</t>
        </is>
      </c>
      <c r="B97" s="10" t="inlineStr">
        <is>
          <t>Zepp US</t>
        </is>
      </c>
      <c r="C97" s="11" t="inlineStr">
        <is>
          <t>95030</t>
        </is>
      </c>
      <c r="D97" s="12" t="inlineStr">
        <is>
          <t>Developer and provider of sports technology. The company is the creator of the Zepp Motion Engine, a motion-sensor application for golfers, tennis and baseball players to analyze and improve their games.</t>
        </is>
      </c>
      <c r="E97" s="13" t="inlineStr">
        <is>
          <t>Other Consumer Durables</t>
        </is>
      </c>
      <c r="F97" s="14" t="inlineStr">
        <is>
          <t>Los Gatos, CA</t>
        </is>
      </c>
      <c r="G97" s="15" t="inlineStr">
        <is>
          <t>Privately Held (backing)</t>
        </is>
      </c>
      <c r="H97" s="16" t="inlineStr">
        <is>
          <t>Venture Capital-Backed</t>
        </is>
      </c>
      <c r="I97" s="17" t="inlineStr">
        <is>
          <t>Bertelsmann Asia Investments, Cherubic Ventures, GGV Capital, Legend Capital</t>
        </is>
      </c>
      <c r="J97" s="18" t="inlineStr">
        <is>
          <t>www.zepp.com</t>
        </is>
      </c>
      <c r="K97" s="19" t="inlineStr">
        <is>
          <t>info@zepplabs.com</t>
        </is>
      </c>
      <c r="L97" s="20" t="inlineStr">
        <is>
          <t/>
        </is>
      </c>
      <c r="M97" s="21" t="inlineStr">
        <is>
          <t>Jason Fass</t>
        </is>
      </c>
      <c r="N97" s="22" t="inlineStr">
        <is>
          <t>Executive Chairman</t>
        </is>
      </c>
      <c r="O97" s="23" t="inlineStr">
        <is>
          <t>jason@zepplabs.com</t>
        </is>
      </c>
      <c r="P97" s="24" t="inlineStr">
        <is>
          <t/>
        </is>
      </c>
      <c r="Q97" s="25" t="n">
        <v>2012.0</v>
      </c>
      <c r="R97" s="113">
        <f>HYPERLINK("https://my.pitchbook.com?c=61194-34", "View company online")</f>
      </c>
    </row>
    <row r="98">
      <c r="A98" s="27" t="inlineStr">
        <is>
          <t>104834-44</t>
        </is>
      </c>
      <c r="B98" s="28" t="inlineStr">
        <is>
          <t>Zeplin</t>
        </is>
      </c>
      <c r="C98" s="29" t="inlineStr">
        <is>
          <t/>
        </is>
      </c>
      <c r="D98" s="30" t="inlineStr">
        <is>
          <t>Developer of a software platform and an application intended to turn designs into powerful specs. The company's software platform supports sketch and Photoshop, enabling UI designers and frontend developers to collaborate and access resources from one location.</t>
        </is>
      </c>
      <c r="E98" s="31" t="inlineStr">
        <is>
          <t>Application Software</t>
        </is>
      </c>
      <c r="F98" s="32" t="inlineStr">
        <is>
          <t>Istanbul, Turkey</t>
        </is>
      </c>
      <c r="G98" s="33" t="inlineStr">
        <is>
          <t>Privately Held (backing)</t>
        </is>
      </c>
      <c r="H98" s="34" t="inlineStr">
        <is>
          <t>Venture Capital-Backed</t>
        </is>
      </c>
      <c r="I98" s="35" t="inlineStr">
        <is>
          <t>Elad Gil, Graph Ventures, Kow Mensah, Michael Maples, Sparkland Capital, Startupbootcamp, Y Combinator</t>
        </is>
      </c>
      <c r="J98" s="36" t="inlineStr">
        <is>
          <t>www.zeplin.io</t>
        </is>
      </c>
      <c r="K98" s="37" t="inlineStr">
        <is>
          <t>support@zeplin.io</t>
        </is>
      </c>
      <c r="L98" s="38" t="inlineStr">
        <is>
          <t/>
        </is>
      </c>
      <c r="M98" s="39" t="inlineStr">
        <is>
          <t>Berk Çebi</t>
        </is>
      </c>
      <c r="N98" s="40" t="inlineStr">
        <is>
          <t>Co-Founder &amp; Mac Developer</t>
        </is>
      </c>
      <c r="O98" s="41" t="inlineStr">
        <is>
          <t>berk@zeplin.io</t>
        </is>
      </c>
      <c r="P98" s="42" t="inlineStr">
        <is>
          <t/>
        </is>
      </c>
      <c r="Q98" s="43" t="n">
        <v>2014.0</v>
      </c>
      <c r="R98" s="114">
        <f>HYPERLINK("https://my.pitchbook.com?c=104834-44", "View company online")</f>
      </c>
    </row>
    <row r="99">
      <c r="A99" s="9" t="inlineStr">
        <is>
          <t>58415-05</t>
        </is>
      </c>
      <c r="B99" s="10" t="inlineStr">
        <is>
          <t>Zephyr Health</t>
        </is>
      </c>
      <c r="C99" s="11" t="inlineStr">
        <is>
          <t>94105</t>
        </is>
      </c>
      <c r="D99" s="12" t="inlineStr">
        <is>
          <t>Provider of Insights-as-a-Service enterprise software designed to organize and visualize global health data to better connect their therapies to people in need. The company's Insights-as-a-Service enterprise software connects CRM, sales and vendor data with thousands of public global data sources, enabling life sciences companies to make confident decisions with precise and predictive insights.</t>
        </is>
      </c>
      <c r="E99" s="13" t="inlineStr">
        <is>
          <t>Enterprise Systems (Healthcare)</t>
        </is>
      </c>
      <c r="F99" s="14" t="inlineStr">
        <is>
          <t>San Francisco, CA</t>
        </is>
      </c>
      <c r="G99" s="15" t="inlineStr">
        <is>
          <t>Privately Held (backing)</t>
        </is>
      </c>
      <c r="H99" s="16" t="inlineStr">
        <is>
          <t>Venture Capital-Backed</t>
        </is>
      </c>
      <c r="I99" s="17" t="inlineStr">
        <is>
          <t>GV, Icon Ventures, Individual Investor, Kleiner Perkins Caufield &amp; Byers, Susa Ventures</t>
        </is>
      </c>
      <c r="J99" s="18" t="inlineStr">
        <is>
          <t>www.zephyrhealth.com</t>
        </is>
      </c>
      <c r="K99" s="19" t="inlineStr">
        <is>
          <t/>
        </is>
      </c>
      <c r="L99" s="20" t="inlineStr">
        <is>
          <t>+1 (415) 529-7649</t>
        </is>
      </c>
      <c r="M99" s="21" t="inlineStr">
        <is>
          <t>William King</t>
        </is>
      </c>
      <c r="N99" s="22" t="inlineStr">
        <is>
          <t>Founder &amp; Executive Chairman</t>
        </is>
      </c>
      <c r="O99" s="23" t="inlineStr">
        <is>
          <t>wking@zephyrhealth.com</t>
        </is>
      </c>
      <c r="P99" s="24" t="inlineStr">
        <is>
          <t>+1 (415) 529-7649</t>
        </is>
      </c>
      <c r="Q99" s="25" t="n">
        <v>2011.0</v>
      </c>
      <c r="R99" s="113">
        <f>HYPERLINK("https://my.pitchbook.com?c=58415-05", "View company online")</f>
      </c>
    </row>
    <row r="100">
      <c r="A100" s="27" t="inlineStr">
        <is>
          <t>99913-42</t>
        </is>
      </c>
      <c r="B100" s="28" t="inlineStr">
        <is>
          <t>Zeotap</t>
        </is>
      </c>
      <c r="C100" s="29" t="inlineStr">
        <is>
          <t>10178</t>
        </is>
      </c>
      <c r="D100" s="30" t="inlineStr">
        <is>
          <t>Developer of a global telecom data analytics platform designed to help different industries be more innovative, efficient and added value for customers. The company's data analytics platform connects mobile network operators (MNOs) with the application and advertising ecosystem. Its technology anonymizes data extracted from MNOs' systems and employs a variety of signals to generate user and request-specific scores enabling mobile advertisers to get specifics on the user's age, sex, location and income level.</t>
        </is>
      </c>
      <c r="E100" s="31" t="inlineStr">
        <is>
          <t>Database Software</t>
        </is>
      </c>
      <c r="F100" s="32" t="inlineStr">
        <is>
          <t>Berlin, Germany</t>
        </is>
      </c>
      <c r="G100" s="33" t="inlineStr">
        <is>
          <t>Privately Held (backing)</t>
        </is>
      </c>
      <c r="H100" s="34" t="inlineStr">
        <is>
          <t>Venture Capital-Backed</t>
        </is>
      </c>
      <c r="I100" s="35" t="inlineStr">
        <is>
          <t>Alex Pentland, Capnamic Ventures, Chetan Sharma, Devin Guan, Dirk Freytag, Here (Open Location Platform), HitFox Group, Individual Investor, Iris Capital Management, Lookout Capital, Mark Grether, Michael Halbherr, MoPub, New Science Ventures, Peter Scheufen, plista, Saad AlSogair, Seth Schuler, Stefan Schmitgen, Steffen Roehn, Thomas Duhr</t>
        </is>
      </c>
      <c r="J100" s="36" t="inlineStr">
        <is>
          <t>www.zeotap.com</t>
        </is>
      </c>
      <c r="K100" s="37" t="inlineStr">
        <is>
          <t>info@zeotap.com</t>
        </is>
      </c>
      <c r="L100" s="38" t="inlineStr">
        <is>
          <t>+49 (0)30 5557 8678</t>
        </is>
      </c>
      <c r="M100" s="39" t="inlineStr">
        <is>
          <t>Stephan Schwebe</t>
        </is>
      </c>
      <c r="N100" s="40" t="inlineStr">
        <is>
          <t>Managing Director, Chief Sales Officer, Co-Founder &amp; Chief Revenue Officer</t>
        </is>
      </c>
      <c r="O100" s="41" t="inlineStr">
        <is>
          <t>stephan@zeotap.com</t>
        </is>
      </c>
      <c r="P100" s="42" t="inlineStr">
        <is>
          <t>+49 (0)30 5557 8678</t>
        </is>
      </c>
      <c r="Q100" s="43" t="n">
        <v>2014.0</v>
      </c>
      <c r="R100" s="114">
        <f>HYPERLINK("https://my.pitchbook.com?c=99913-42", "View company online")</f>
      </c>
    </row>
    <row r="101">
      <c r="A101" s="9" t="inlineStr">
        <is>
          <t>155878-84</t>
        </is>
      </c>
      <c r="B101" s="10" t="inlineStr">
        <is>
          <t>Zenysis</t>
        </is>
      </c>
      <c r="C101" s="11" t="inlineStr">
        <is>
          <t>94105</t>
        </is>
      </c>
      <c r="D101" s="12" t="inlineStr">
        <is>
          <t>Developer of a data-analysis software. The company develops data-management systems for government and international organizations, enabling them to view and analyze their data including healthcare emergencies, humanitarian crises or natural disasters, under one platform.</t>
        </is>
      </c>
      <c r="E101" s="13" t="inlineStr">
        <is>
          <t>Database Software</t>
        </is>
      </c>
      <c r="F101" s="14" t="inlineStr">
        <is>
          <t>San Francisco, CA</t>
        </is>
      </c>
      <c r="G101" s="15" t="inlineStr">
        <is>
          <t>Privately Held (backing)</t>
        </is>
      </c>
      <c r="H101" s="16" t="inlineStr">
        <is>
          <t>Venture Capital-Backed</t>
        </is>
      </c>
      <c r="I101" s="17" t="inlineStr">
        <is>
          <t>500 Startups, NKM Capital, Omidyar Network, Y Combinator</t>
        </is>
      </c>
      <c r="J101" s="18" t="inlineStr">
        <is>
          <t>www.zenysis.com</t>
        </is>
      </c>
      <c r="K101" s="19" t="inlineStr">
        <is>
          <t>info@zenysis.com</t>
        </is>
      </c>
      <c r="L101" s="20" t="inlineStr">
        <is>
          <t/>
        </is>
      </c>
      <c r="M101" s="21" t="inlineStr">
        <is>
          <t>Jonathan Stambolis</t>
        </is>
      </c>
      <c r="N101" s="22" t="inlineStr">
        <is>
          <t>Chief Executive Officer &amp; Co-Founder</t>
        </is>
      </c>
      <c r="O101" s="23" t="inlineStr">
        <is>
          <t>jstambolis@zenysis.com</t>
        </is>
      </c>
      <c r="P101" s="24" t="inlineStr">
        <is>
          <t/>
        </is>
      </c>
      <c r="Q101" s="25" t="n">
        <v>2015.0</v>
      </c>
      <c r="R101" s="113">
        <f>HYPERLINK("https://my.pitchbook.com?c=155878-84", "View company online")</f>
      </c>
    </row>
    <row r="102">
      <c r="A102" s="27" t="inlineStr">
        <is>
          <t>163566-82</t>
        </is>
      </c>
      <c r="B102" s="28" t="inlineStr">
        <is>
          <t>Zentist</t>
        </is>
      </c>
      <c r="C102" s="29" t="inlineStr">
        <is>
          <t>94109</t>
        </is>
      </c>
      <c r="D102" s="30" t="inlineStr">
        <is>
          <t>Provider of an online dental care platform designed to connect patients with dental care providers. The company's dental care platform offers price and quality information transparently for all procedures and treatments, enabling patients to book appointments, connect and share medical records with doctors.</t>
        </is>
      </c>
      <c r="E102" s="31" t="inlineStr">
        <is>
          <t>Social/Platform Software</t>
        </is>
      </c>
      <c r="F102" s="32" t="inlineStr">
        <is>
          <t>San Francisco, CA</t>
        </is>
      </c>
      <c r="G102" s="33" t="inlineStr">
        <is>
          <t>Privately Held (backing)</t>
        </is>
      </c>
      <c r="H102" s="34" t="inlineStr">
        <is>
          <t>Venture Capital-Backed</t>
        </is>
      </c>
      <c r="I102" s="35" t="inlineStr">
        <is>
          <t>500 Startups, FundersClub, StartUp Health</t>
        </is>
      </c>
      <c r="J102" s="36" t="inlineStr">
        <is>
          <t>www.zentist.io</t>
        </is>
      </c>
      <c r="K102" s="37" t="inlineStr">
        <is>
          <t>ask@zentist.io</t>
        </is>
      </c>
      <c r="L102" s="38" t="inlineStr">
        <is>
          <t>+1 (415) 323-4937</t>
        </is>
      </c>
      <c r="M102" s="39" t="inlineStr">
        <is>
          <t>Ato Kasymov</t>
        </is>
      </c>
      <c r="N102" s="40" t="inlineStr">
        <is>
          <t>Co-Founder, Team Leader &amp; Chief Executive Officer</t>
        </is>
      </c>
      <c r="O102" s="41" t="inlineStr">
        <is>
          <t>ato@zentist.io</t>
        </is>
      </c>
      <c r="P102" s="42" t="inlineStr">
        <is>
          <t>+1 (415) 323-4937</t>
        </is>
      </c>
      <c r="Q102" s="43" t="n">
        <v>2015.0</v>
      </c>
      <c r="R102" s="114">
        <f>HYPERLINK("https://my.pitchbook.com?c=163566-82", "View company online")</f>
      </c>
    </row>
    <row r="103">
      <c r="A103" s="9" t="inlineStr">
        <is>
          <t>97350-94</t>
        </is>
      </c>
      <c r="B103" s="10" t="inlineStr">
        <is>
          <t>Zenti</t>
        </is>
      </c>
      <c r="C103" s="11" t="inlineStr">
        <is>
          <t>94306</t>
        </is>
      </c>
      <c r="D103" s="12" t="inlineStr">
        <is>
          <t>Developer of a system which combines the most powerful mathematical algorithms with human insights. The company's solutions integrate into existing workflow of market leading document review software while providing all the benefits of the latest in natural language processing and analytics.</t>
        </is>
      </c>
      <c r="E103" s="13" t="inlineStr">
        <is>
          <t>Application Software</t>
        </is>
      </c>
      <c r="F103" s="14" t="inlineStr">
        <is>
          <t>Palo Alto, CA</t>
        </is>
      </c>
      <c r="G103" s="15" t="inlineStr">
        <is>
          <t>Privately Held (backing)</t>
        </is>
      </c>
      <c r="H103" s="16" t="inlineStr">
        <is>
          <t>Venture Capital-Backed</t>
        </is>
      </c>
      <c r="I103" s="17" t="inlineStr">
        <is>
          <t/>
        </is>
      </c>
      <c r="J103" s="18" t="inlineStr">
        <is>
          <t>www.zenti.com</t>
        </is>
      </c>
      <c r="K103" s="19" t="inlineStr">
        <is>
          <t/>
        </is>
      </c>
      <c r="L103" s="20" t="inlineStr">
        <is>
          <t>+1 (408) 981-1033</t>
        </is>
      </c>
      <c r="M103" s="21" t="inlineStr">
        <is>
          <t>Marc Byrd</t>
        </is>
      </c>
      <c r="N103" s="22" t="inlineStr">
        <is>
          <t>Chairman, CEO, Chief Science Officer &amp; Founder</t>
        </is>
      </c>
      <c r="O103" s="23" t="inlineStr">
        <is>
          <t>marc@zenti.com</t>
        </is>
      </c>
      <c r="P103" s="24" t="inlineStr">
        <is>
          <t>+1 (408) 981-1033</t>
        </is>
      </c>
      <c r="Q103" s="25" t="n">
        <v>2010.0</v>
      </c>
      <c r="R103" s="113">
        <f>HYPERLINK("https://my.pitchbook.com?c=97350-94", "View company online")</f>
      </c>
    </row>
    <row r="104">
      <c r="A104" s="27" t="inlineStr">
        <is>
          <t>63924-85</t>
        </is>
      </c>
      <c r="B104" s="28" t="inlineStr">
        <is>
          <t>Zentera Systems</t>
        </is>
      </c>
      <c r="C104" s="29" t="inlineStr">
        <is>
          <t>95110</t>
        </is>
      </c>
      <c r="D104" s="30" t="inlineStr">
        <is>
          <t>Developer of hybrid cloud infrastructure platform designed to address the security and networking needs of the multicloud market. The company's hybrid cloud infrastructure platform offers enterprise-grade networking and security for the emerging cloud ecosystem, protecting the new attack surface exposed by remote cloud endpoints and creates a unified overlay network plane across multiple private and cloud domains that connects dispersed computers, virtual machines and containers, enabling companies to extend production datacenter operations to public, private and managed hosted network domains.</t>
        </is>
      </c>
      <c r="E104" s="31" t="inlineStr">
        <is>
          <t>Network Management Software</t>
        </is>
      </c>
      <c r="F104" s="32" t="inlineStr">
        <is>
          <t>San Jose, CA</t>
        </is>
      </c>
      <c r="G104" s="33" t="inlineStr">
        <is>
          <t>Privately Held (backing)</t>
        </is>
      </c>
      <c r="H104" s="34" t="inlineStr">
        <is>
          <t>Venture Capital-Backed</t>
        </is>
      </c>
      <c r="I104" s="35" t="inlineStr">
        <is>
          <t>CDIB Venture Capital</t>
        </is>
      </c>
      <c r="J104" s="36" t="inlineStr">
        <is>
          <t>www.zentera.net</t>
        </is>
      </c>
      <c r="K104" s="37" t="inlineStr">
        <is>
          <t/>
        </is>
      </c>
      <c r="L104" s="38" t="inlineStr">
        <is>
          <t>+1 (408) 436-4810</t>
        </is>
      </c>
      <c r="M104" s="39" t="inlineStr">
        <is>
          <t>Jaushin Lee</t>
        </is>
      </c>
      <c r="N104" s="40" t="inlineStr">
        <is>
          <t>Founder, Chief Executive Officer, President and Board Member</t>
        </is>
      </c>
      <c r="O104" s="41" t="inlineStr">
        <is>
          <t>jaushin@zentera.net</t>
        </is>
      </c>
      <c r="P104" s="42" t="inlineStr">
        <is>
          <t>+1 (408) 436-4810</t>
        </is>
      </c>
      <c r="Q104" s="43" t="n">
        <v>2012.0</v>
      </c>
      <c r="R104" s="114">
        <f>HYPERLINK("https://my.pitchbook.com?c=63924-85", "View company online")</f>
      </c>
    </row>
    <row r="105">
      <c r="A105" s="9" t="inlineStr">
        <is>
          <t>149707-27</t>
        </is>
      </c>
      <c r="B105" s="10" t="inlineStr">
        <is>
          <t>Zenrez</t>
        </is>
      </c>
      <c r="C105" s="11" t="inlineStr">
        <is>
          <t>94107</t>
        </is>
      </c>
      <c r="D105" s="12" t="inlineStr">
        <is>
          <t>Developer of a promotional booking platform designed to connect fitness enthusiasts with local boutique studios. The company's platform offers studios that are carefully curated to bring the highest quality classes at the best prices, with no monthly membership or fees, enabling users to discover and book premium classes at the last minute and also helps fitness studios increase the effectiveness of their acquisition and retention efforts.</t>
        </is>
      </c>
      <c r="E105" s="13" t="inlineStr">
        <is>
          <t>Application Software</t>
        </is>
      </c>
      <c r="F105" s="14" t="inlineStr">
        <is>
          <t>San Francisco, CA</t>
        </is>
      </c>
      <c r="G105" s="15" t="inlineStr">
        <is>
          <t>Privately Held (backing)</t>
        </is>
      </c>
      <c r="H105" s="16" t="inlineStr">
        <is>
          <t>Venture Capital-Backed</t>
        </is>
      </c>
      <c r="I105" s="17" t="inlineStr">
        <is>
          <t>ARTIS Ventures, C2 Ventures, Charles Hudson, Christian Cunningham, Daniel Vogel, Justin Kitch, Nucleus Adventure Capital, Precursor Ventures, Summit Action, Transmedia Capital, WS Investments</t>
        </is>
      </c>
      <c r="J105" s="18" t="inlineStr">
        <is>
          <t>www.zenrez.com</t>
        </is>
      </c>
      <c r="K105" s="19" t="inlineStr">
        <is>
          <t>info@zenrez.com</t>
        </is>
      </c>
      <c r="L105" s="20" t="inlineStr">
        <is>
          <t>+1 (805) 455-8703</t>
        </is>
      </c>
      <c r="M105" s="21" t="inlineStr">
        <is>
          <t>Matthew Capizzi</t>
        </is>
      </c>
      <c r="N105" s="22" t="inlineStr">
        <is>
          <t>Co-Founder, Chief Executive Officer &amp; Board Member</t>
        </is>
      </c>
      <c r="O105" s="23" t="inlineStr">
        <is>
          <t>matt@zenrez.com</t>
        </is>
      </c>
      <c r="P105" s="24" t="inlineStr">
        <is>
          <t>+1 (805) 455-8703</t>
        </is>
      </c>
      <c r="Q105" s="25" t="n">
        <v>2014.0</v>
      </c>
      <c r="R105" s="113">
        <f>HYPERLINK("https://my.pitchbook.com?c=149707-27", "View company online")</f>
      </c>
    </row>
    <row r="106">
      <c r="A106" s="27" t="inlineStr">
        <is>
          <t>55549-09</t>
        </is>
      </c>
      <c r="B106" s="28" t="inlineStr">
        <is>
          <t>Zenreach</t>
        </is>
      </c>
      <c r="C106" s="29" t="inlineStr">
        <is>
          <t>94129</t>
        </is>
      </c>
      <c r="D106" s="30" t="inlineStr">
        <is>
          <t>Developer of a modern marketing platform designed to provide CRM and marketing automation services for offline businesses. The company's marketing platform allows offline businesses to set up a free WiFi hotspot for their customers, automatically collect customer contact information whenever they join custom-branded free WiFi and keep track of their customers to gain customer insights, enabling brick and mortar businesses of all types and sizes to level up their marketing and customer experiences.</t>
        </is>
      </c>
      <c r="E106" s="31" t="inlineStr">
        <is>
          <t>Business/Productivity Software</t>
        </is>
      </c>
      <c r="F106" s="32" t="inlineStr">
        <is>
          <t>San Francisco, CA</t>
        </is>
      </c>
      <c r="G106" s="33" t="inlineStr">
        <is>
          <t>Privately Held (backing)</t>
        </is>
      </c>
      <c r="H106" s="34" t="inlineStr">
        <is>
          <t>Venture Capital-Backed</t>
        </is>
      </c>
      <c r="I106" s="35" t="inlineStr">
        <is>
          <t>8VC, Ashton Kutcher, Atomic Labs, Bain Capital Ventures, Danhua Capital, Felicis Ventures, First Round Capital, Formation 8, Founder Collective, Founders Fund, Kevin Ding, Kevin Durant, Maverick Ventures (San Francisco), Nathaniel Turner, SoftTech VC, SV Angel</t>
        </is>
      </c>
      <c r="J106" s="36" t="inlineStr">
        <is>
          <t>www.zenreach.com</t>
        </is>
      </c>
      <c r="K106" s="37" t="inlineStr">
        <is>
          <t>hello@zenreach.com</t>
        </is>
      </c>
      <c r="L106" s="38" t="inlineStr">
        <is>
          <t>+1 (415) 299-8172</t>
        </is>
      </c>
      <c r="M106" s="39" t="inlineStr">
        <is>
          <t>Jack Abraham</t>
        </is>
      </c>
      <c r="N106" s="40" t="inlineStr">
        <is>
          <t>Co-Founder, Chief Executive Officer &amp; Board Member</t>
        </is>
      </c>
      <c r="O106" s="41" t="inlineStr">
        <is>
          <t>jack@atomic.vc</t>
        </is>
      </c>
      <c r="P106" s="42" t="inlineStr">
        <is>
          <t>+1 (415) 612-1900</t>
        </is>
      </c>
      <c r="Q106" s="43" t="n">
        <v>2011.0</v>
      </c>
      <c r="R106" s="114">
        <f>HYPERLINK("https://my.pitchbook.com?c=55549-09", "View company online")</f>
      </c>
    </row>
    <row r="107">
      <c r="A107" s="9" t="inlineStr">
        <is>
          <t>61363-18</t>
        </is>
      </c>
      <c r="B107" s="10" t="inlineStr">
        <is>
          <t>Zenput</t>
        </is>
      </c>
      <c r="C107" s="11" t="inlineStr">
        <is>
          <t>94103</t>
        </is>
      </c>
      <c r="D107" s="12" t="inlineStr">
        <is>
          <t>Developer of a data aggregation application. The company develops a mobile application that allows enterprises and individuals to collect and aggregate product data.</t>
        </is>
      </c>
      <c r="E107" s="13" t="inlineStr">
        <is>
          <t>Application Software</t>
        </is>
      </c>
      <c r="F107" s="14" t="inlineStr">
        <is>
          <t>San Francisco, CA</t>
        </is>
      </c>
      <c r="G107" s="15" t="inlineStr">
        <is>
          <t>Privately Held (backing)</t>
        </is>
      </c>
      <c r="H107" s="16" t="inlineStr">
        <is>
          <t>Venture Capital-Backed</t>
        </is>
      </c>
      <c r="I107" s="17" t="inlineStr">
        <is>
          <t>MHS Capital, Version One Ventures</t>
        </is>
      </c>
      <c r="J107" s="18" t="inlineStr">
        <is>
          <t>www.zenput.com</t>
        </is>
      </c>
      <c r="K107" s="19" t="inlineStr">
        <is>
          <t>hello@zenput.com</t>
        </is>
      </c>
      <c r="L107" s="20" t="inlineStr">
        <is>
          <t>+1 (800) 537-0227</t>
        </is>
      </c>
      <c r="M107" s="21" t="inlineStr">
        <is>
          <t>Vladik Rikhter</t>
        </is>
      </c>
      <c r="N107" s="22" t="inlineStr">
        <is>
          <t>Co-Founder &amp; Chief Executive Officer</t>
        </is>
      </c>
      <c r="O107" s="23" t="inlineStr">
        <is>
          <t/>
        </is>
      </c>
      <c r="P107" s="24" t="inlineStr">
        <is>
          <t>+1 (800) 537-0227</t>
        </is>
      </c>
      <c r="Q107" s="25" t="n">
        <v>2011.0</v>
      </c>
      <c r="R107" s="113">
        <f>HYPERLINK("https://my.pitchbook.com?c=61363-18", "View company online")</f>
      </c>
    </row>
    <row r="108">
      <c r="A108" s="27" t="inlineStr">
        <is>
          <t>155953-72</t>
        </is>
      </c>
      <c r="B108" s="28" t="inlineStr">
        <is>
          <t>Zenprospect</t>
        </is>
      </c>
      <c r="C108" s="29" t="inlineStr">
        <is>
          <t/>
        </is>
      </c>
      <c r="D108" s="30" t="inlineStr">
        <is>
          <t>Developer of a sales force integration software. The company develops a software that enables business to identify, acquire and manage outbound email marketing campaigns.</t>
        </is>
      </c>
      <c r="E108" s="31" t="inlineStr">
        <is>
          <t>Business/Productivity Software</t>
        </is>
      </c>
      <c r="F108" s="32" t="inlineStr">
        <is>
          <t>San Francisco, CA</t>
        </is>
      </c>
      <c r="G108" s="33" t="inlineStr">
        <is>
          <t>Privately Held (backing)</t>
        </is>
      </c>
      <c r="H108" s="34" t="inlineStr">
        <is>
          <t>Venture Capital-Backed</t>
        </is>
      </c>
      <c r="I108" s="35" t="inlineStr">
        <is>
          <t>ChinaRock Capital Management, Nexus Venture Partners, Social Capital, Struck Capital, SV Angel, Transmedia Capital, Y Combinator, ZhenFund</t>
        </is>
      </c>
      <c r="J108" s="36" t="inlineStr">
        <is>
          <t>www.zenprospect.com</t>
        </is>
      </c>
      <c r="K108" s="37" t="inlineStr">
        <is>
          <t/>
        </is>
      </c>
      <c r="L108" s="38" t="inlineStr">
        <is>
          <t>+1 (408) 645-0432</t>
        </is>
      </c>
      <c r="M108" s="39" t="inlineStr">
        <is>
          <t>Tim Zheng</t>
        </is>
      </c>
      <c r="N108" s="40" t="inlineStr">
        <is>
          <t>Co-Founder and Chief Executive Officer</t>
        </is>
      </c>
      <c r="O108" s="41" t="inlineStr">
        <is>
          <t>tim@zenprospect.com</t>
        </is>
      </c>
      <c r="P108" s="42" t="inlineStr">
        <is>
          <t>+1 (408) 645-0432</t>
        </is>
      </c>
      <c r="Q108" s="43" t="n">
        <v>2015.0</v>
      </c>
      <c r="R108" s="114">
        <f>HYPERLINK("https://my.pitchbook.com?c=155953-72", "View company online")</f>
      </c>
    </row>
    <row r="109">
      <c r="A109" s="9" t="inlineStr">
        <is>
          <t>171336-07</t>
        </is>
      </c>
      <c r="B109" s="10" t="inlineStr">
        <is>
          <t>Zenplace</t>
        </is>
      </c>
      <c r="C109" s="11" t="inlineStr">
        <is>
          <t>94085</t>
        </is>
      </c>
      <c r="D109" s="12" t="inlineStr">
        <is>
          <t>Provider of an online platform intended to offer property management services to property owners, institutional property portfolios and property managers. The company's online platform uses technologies such as artificial intelligence and machine learning to provide a proactive approach to property management, enabling tenants to pay rent easily, extend their lease and report issues with the property.</t>
        </is>
      </c>
      <c r="E109" s="13" t="inlineStr">
        <is>
          <t>Real Estate Services (B2C)</t>
        </is>
      </c>
      <c r="F109" s="14" t="inlineStr">
        <is>
          <t>Sunnyvale, CA</t>
        </is>
      </c>
      <c r="G109" s="15" t="inlineStr">
        <is>
          <t>Privately Held (backing)</t>
        </is>
      </c>
      <c r="H109" s="16" t="inlineStr">
        <is>
          <t>Venture Capital-Backed</t>
        </is>
      </c>
      <c r="I109" s="17" t="inlineStr">
        <is>
          <t>Darling Ventures, Plug and Play Tech Center</t>
        </is>
      </c>
      <c r="J109" s="18" t="inlineStr">
        <is>
          <t>www.zenplace.co</t>
        </is>
      </c>
      <c r="K109" s="19" t="inlineStr">
        <is>
          <t>delight@zenplace.co</t>
        </is>
      </c>
      <c r="L109" s="20" t="inlineStr">
        <is>
          <t>+1 (650) 665-9361</t>
        </is>
      </c>
      <c r="M109" s="21" t="inlineStr">
        <is>
          <t>Rahul Mewawalla</t>
        </is>
      </c>
      <c r="N109" s="22" t="inlineStr">
        <is>
          <t>Chief Executive Officer</t>
        </is>
      </c>
      <c r="O109" s="23" t="inlineStr">
        <is>
          <t>rahul.mewawalla@everfave.com</t>
        </is>
      </c>
      <c r="P109" s="24" t="inlineStr">
        <is>
          <t>+1 (650) 600-1615</t>
        </is>
      </c>
      <c r="Q109" s="25" t="n">
        <v>2016.0</v>
      </c>
      <c r="R109" s="113">
        <f>HYPERLINK("https://my.pitchbook.com?c=171336-07", "View company online")</f>
      </c>
    </row>
    <row r="110">
      <c r="A110" s="27" t="inlineStr">
        <is>
          <t>12031-66</t>
        </is>
      </c>
      <c r="B110" s="28" t="inlineStr">
        <is>
          <t>Zenoss</t>
        </is>
      </c>
      <c r="C110" s="29" t="inlineStr">
        <is>
          <t>78726</t>
        </is>
      </c>
      <c r="D110" s="30" t="inlineStr">
        <is>
          <t>Provider of monitoring and analytic software designed to provide complete visibility for cloud, virtual and physical IT environments. The company's monitoring and analytic software helps to manage their networks, servers, virtual devices, storage and cloud infrastructure, gaining complete visibility and predictability into their IT operations, enabling enterprise customers and service providers to transform their businesses.</t>
        </is>
      </c>
      <c r="E110" s="31" t="inlineStr">
        <is>
          <t>Business/Productivity Software</t>
        </is>
      </c>
      <c r="F110" s="32" t="inlineStr">
        <is>
          <t>Austin, TX</t>
        </is>
      </c>
      <c r="G110" s="33" t="inlineStr">
        <is>
          <t>Privately Held (backing)</t>
        </is>
      </c>
      <c r="H110" s="34" t="inlineStr">
        <is>
          <t>Venture Capital-Backed</t>
        </is>
      </c>
      <c r="I110" s="35" t="inlineStr">
        <is>
          <t>Amplifier Ventures, Boulder Ventures, Grotech Ventures, Individual Investor, Industry Ventures, Intersouth Partners, Maryland Department of Commerce, Maryland Venture Fund, Silicon Valley Bank, Summit Partners</t>
        </is>
      </c>
      <c r="J110" s="36" t="inlineStr">
        <is>
          <t>www.zenoss.com</t>
        </is>
      </c>
      <c r="K110" s="37" t="inlineStr">
        <is>
          <t>info@zenoss.com</t>
        </is>
      </c>
      <c r="L110" s="38" t="inlineStr">
        <is>
          <t>+1 (512) 687-6854</t>
        </is>
      </c>
      <c r="M110" s="39" t="inlineStr">
        <is>
          <t>Greg Stock</t>
        </is>
      </c>
      <c r="N110" s="40" t="inlineStr">
        <is>
          <t>Chief Executive Officer &amp; Chairman</t>
        </is>
      </c>
      <c r="O110" s="41" t="inlineStr">
        <is>
          <t>gstock@zenoss.com</t>
        </is>
      </c>
      <c r="P110" s="42" t="inlineStr">
        <is>
          <t>+1 (512) 687-6854</t>
        </is>
      </c>
      <c r="Q110" s="43" t="n">
        <v>2005.0</v>
      </c>
      <c r="R110" s="114">
        <f>HYPERLINK("https://my.pitchbook.com?c=12031-66", "View company online")</f>
      </c>
    </row>
    <row r="111">
      <c r="A111" s="9" t="inlineStr">
        <is>
          <t>172945-18</t>
        </is>
      </c>
      <c r="B111" s="10" t="inlineStr">
        <is>
          <t>Zenlayer</t>
        </is>
      </c>
      <c r="C111" s="11" t="inlineStr">
        <is>
          <t>91765</t>
        </is>
      </c>
      <c r="D111" s="12" t="inlineStr">
        <is>
          <t>Provider of global software defined network and services created to offer cloud, businesses and users via on-demand SDN platforms. The company's global connection platform consists of bare metal cloud, SD-WAN and edge computing services, enabling clients to deploy and manage IT resources worldwide to globalize their business within minutes.</t>
        </is>
      </c>
      <c r="E111" s="13" t="inlineStr">
        <is>
          <t>Systems and Information Management</t>
        </is>
      </c>
      <c r="F111" s="14" t="inlineStr">
        <is>
          <t>Diamond Bar, CA</t>
        </is>
      </c>
      <c r="G111" s="15" t="inlineStr">
        <is>
          <t>Privately Held (backing)</t>
        </is>
      </c>
      <c r="H111" s="16" t="inlineStr">
        <is>
          <t>Venture Capital-Backed</t>
        </is>
      </c>
      <c r="I111" s="17" t="inlineStr">
        <is>
          <t>F&amp;G Ventures, NSFOCUS Information Technology Co</t>
        </is>
      </c>
      <c r="J111" s="18" t="inlineStr">
        <is>
          <t>www.zenlayer.com</t>
        </is>
      </c>
      <c r="K111" s="19" t="inlineStr">
        <is>
          <t/>
        </is>
      </c>
      <c r="L111" s="20" t="inlineStr">
        <is>
          <t>+1 (800) 858-7986</t>
        </is>
      </c>
      <c r="M111" s="21" t="inlineStr">
        <is>
          <t>Joe Zhu</t>
        </is>
      </c>
      <c r="N111" s="22" t="inlineStr">
        <is>
          <t>Chief Executive Officer &amp; Founder</t>
        </is>
      </c>
      <c r="O111" s="23" t="inlineStr">
        <is>
          <t>joe.zhu@zenlayer.com</t>
        </is>
      </c>
      <c r="P111" s="24" t="inlineStr">
        <is>
          <t>+1 (800) 858-7986</t>
        </is>
      </c>
      <c r="Q111" s="25" t="n">
        <v>2014.0</v>
      </c>
      <c r="R111" s="113">
        <f>HYPERLINK("https://my.pitchbook.com?c=172945-18", "View company online")</f>
      </c>
    </row>
    <row r="112">
      <c r="A112" s="27" t="inlineStr">
        <is>
          <t>56559-88</t>
        </is>
      </c>
      <c r="B112" s="28" t="inlineStr">
        <is>
          <t>Zenith Capital</t>
        </is>
      </c>
      <c r="C112" s="29" t="inlineStr">
        <is>
          <t>T3E 6L1</t>
        </is>
      </c>
      <c r="D112" s="30" t="inlineStr">
        <is>
          <t>Operator of a clinical stage biotechnology company developing epigenetics drugs. The company develops bromodomain (BET) inhibitors for the treatment of cancer and other disorders.</t>
        </is>
      </c>
      <c r="E112" s="31" t="inlineStr">
        <is>
          <t>Drug Discovery</t>
        </is>
      </c>
      <c r="F112" s="32" t="inlineStr">
        <is>
          <t>Calgary, Canada</t>
        </is>
      </c>
      <c r="G112" s="33" t="inlineStr">
        <is>
          <t>Privately Held (backing)</t>
        </is>
      </c>
      <c r="H112" s="34" t="inlineStr">
        <is>
          <t>Venture Capital-Backed</t>
        </is>
      </c>
      <c r="I112" s="35" t="inlineStr">
        <is>
          <t>Citibank, Eastern Capital, NGN Capital, Yorkville Advisors</t>
        </is>
      </c>
      <c r="J112" s="36" t="inlineStr">
        <is>
          <t>www.zenithepigenetics.com</t>
        </is>
      </c>
      <c r="K112" s="37" t="inlineStr">
        <is>
          <t>info@zenithepigenetics.com</t>
        </is>
      </c>
      <c r="L112" s="38" t="inlineStr">
        <is>
          <t>+1 (587) 390-7865</t>
        </is>
      </c>
      <c r="M112" s="39" t="inlineStr">
        <is>
          <t>Brad Cann</t>
        </is>
      </c>
      <c r="N112" s="40" t="inlineStr">
        <is>
          <t>Chief Financial Officer</t>
        </is>
      </c>
      <c r="O112" s="41" t="inlineStr">
        <is>
          <t>brad@resverlogix.com</t>
        </is>
      </c>
      <c r="P112" s="42" t="inlineStr">
        <is>
          <t>+1 (403) 254-9252</t>
        </is>
      </c>
      <c r="Q112" s="43" t="n">
        <v>2013.0</v>
      </c>
      <c r="R112" s="114">
        <f>HYPERLINK("https://my.pitchbook.com?c=56559-88", "View company online")</f>
      </c>
    </row>
    <row r="113">
      <c r="A113" s="9" t="inlineStr">
        <is>
          <t>168347-80</t>
        </is>
      </c>
      <c r="B113" s="10" t="inlineStr">
        <is>
          <t>ZenIQ</t>
        </is>
      </c>
      <c r="C113" s="11" t="inlineStr">
        <is>
          <t>94301</t>
        </is>
      </c>
      <c r="D113" s="12" t="inlineStr">
        <is>
          <t>Provider of an Account-Based Marketing platform. The company provides a marketing system which enables their clients to connect account-centric marketing activities and response from across the enterprise.</t>
        </is>
      </c>
      <c r="E113" s="13" t="inlineStr">
        <is>
          <t>Business/Productivity Software</t>
        </is>
      </c>
      <c r="F113" s="14" t="inlineStr">
        <is>
          <t>Palo Alto, CA</t>
        </is>
      </c>
      <c r="G113" s="15" t="inlineStr">
        <is>
          <t>Privately Held (backing)</t>
        </is>
      </c>
      <c r="H113" s="16" t="inlineStr">
        <is>
          <t>Venture Capital-Backed</t>
        </is>
      </c>
      <c r="I113" s="17" t="inlineStr">
        <is>
          <t>Costanoa Venture Capital</t>
        </is>
      </c>
      <c r="J113" s="18" t="inlineStr">
        <is>
          <t>www.zeniq.io</t>
        </is>
      </c>
      <c r="K113" s="19" t="inlineStr">
        <is>
          <t>info@zeniq.io</t>
        </is>
      </c>
      <c r="L113" s="20" t="inlineStr">
        <is>
          <t>+1 (415) 562-6367</t>
        </is>
      </c>
      <c r="M113" s="21" t="inlineStr">
        <is>
          <t>Srihari Kumar</t>
        </is>
      </c>
      <c r="N113" s="22" t="inlineStr">
        <is>
          <t>Co-Founder &amp; Chief Executive Officer</t>
        </is>
      </c>
      <c r="O113" s="23" t="inlineStr">
        <is>
          <t>srihari@zeniq.io</t>
        </is>
      </c>
      <c r="P113" s="24" t="inlineStr">
        <is>
          <t>+1 (415) 562-6367</t>
        </is>
      </c>
      <c r="Q113" s="25" t="n">
        <v>2015.0</v>
      </c>
      <c r="R113" s="113">
        <f>HYPERLINK("https://my.pitchbook.com?c=168347-80", "View company online")</f>
      </c>
    </row>
    <row r="114">
      <c r="A114" s="27" t="inlineStr">
        <is>
          <t>64270-90</t>
        </is>
      </c>
      <c r="B114" s="28" t="inlineStr">
        <is>
          <t>Zengularity</t>
        </is>
      </c>
      <c r="C114" s="29" t="inlineStr">
        <is>
          <t>75010</t>
        </is>
      </c>
      <c r="D114" s="30" t="inlineStr">
        <is>
          <t>Developer of enterprise applications and digital platforms designed to accelerate the transition to the digital enterprise. The company's enterprise applications and digital platforms use engaging user experiences, infinite scalability and rigorous security, enabling enterprises to connect digital innovation to their existing heritage.</t>
        </is>
      </c>
      <c r="E114" s="31" t="inlineStr">
        <is>
          <t>Software Development Applications</t>
        </is>
      </c>
      <c r="F114" s="32" t="inlineStr">
        <is>
          <t>Paris, France</t>
        </is>
      </c>
      <c r="G114" s="33" t="inlineStr">
        <is>
          <t>Privately Held (backing)</t>
        </is>
      </c>
      <c r="H114" s="34" t="inlineStr">
        <is>
          <t>Venture Capital-Backed</t>
        </is>
      </c>
      <c r="I114" s="35" t="inlineStr">
        <is>
          <t>BNP Paribas Capital Partners, Entrepreneur Venture, Paris Incubateurs</t>
        </is>
      </c>
      <c r="J114" s="36" t="inlineStr">
        <is>
          <t>www.zengularity.com</t>
        </is>
      </c>
      <c r="K114" s="37" t="inlineStr">
        <is>
          <t>contact@zengularity.com</t>
        </is>
      </c>
      <c r="L114" s="38" t="inlineStr">
        <is>
          <t>+33 (0)1 75 57 89 39</t>
        </is>
      </c>
      <c r="M114" s="39" t="inlineStr">
        <is>
          <t>Benjamin Lillo</t>
        </is>
      </c>
      <c r="N114" s="40" t="inlineStr">
        <is>
          <t>Chief Financial Officer</t>
        </is>
      </c>
      <c r="O114" s="41" t="inlineStr">
        <is>
          <t/>
        </is>
      </c>
      <c r="P114" s="42" t="inlineStr">
        <is>
          <t>+33 (0)1 75 57 89 39</t>
        </is>
      </c>
      <c r="Q114" s="43" t="n">
        <v>2004.0</v>
      </c>
      <c r="R114" s="114">
        <f>HYPERLINK("https://my.pitchbook.com?c=64270-90", "View company online")</f>
      </c>
    </row>
    <row r="115">
      <c r="A115" s="9" t="inlineStr">
        <is>
          <t>117512-11</t>
        </is>
      </c>
      <c r="B115" s="10" t="inlineStr">
        <is>
          <t>Zengaming</t>
        </is>
      </c>
      <c r="C115" s="11" t="inlineStr">
        <is>
          <t/>
        </is>
      </c>
      <c r="D115" s="12" t="inlineStr">
        <is>
          <t>Developer of a social network for e-sports gamers. The company develops a online platform and e-sports discovery network enabling players to connect with teams, sponsors and other sports enthusiasts and also create their professional profile and compete with each other.</t>
        </is>
      </c>
      <c r="E115" s="13" t="inlineStr">
        <is>
          <t>Social/Platform Software</t>
        </is>
      </c>
      <c r="F115" s="14" t="inlineStr">
        <is>
          <t>Tel Aviv, Israel</t>
        </is>
      </c>
      <c r="G115" s="15" t="inlineStr">
        <is>
          <t>Privately Held (backing)</t>
        </is>
      </c>
      <c r="H115" s="16" t="inlineStr">
        <is>
          <t>Venture Capital-Backed</t>
        </is>
      </c>
      <c r="I115" s="17" t="inlineStr">
        <is>
          <t>500 Startups, 8200 EISP, Barak Rabinowitz, Crown Resorts, Foundation Capital, iAngels, NFX Guild, Shmueli Ahdut, The Junction</t>
        </is>
      </c>
      <c r="J115" s="18" t="inlineStr">
        <is>
          <t>www.zengaming.com</t>
        </is>
      </c>
      <c r="K115" s="19" t="inlineStr">
        <is>
          <t/>
        </is>
      </c>
      <c r="L115" s="20" t="inlineStr">
        <is>
          <t/>
        </is>
      </c>
      <c r="M115" s="21" t="inlineStr">
        <is>
          <t>Or Preiss</t>
        </is>
      </c>
      <c r="N115" s="22" t="inlineStr">
        <is>
          <t>Co-Founder and CMO</t>
        </is>
      </c>
      <c r="O115" s="23" t="inlineStr">
        <is>
          <t>or@zengaming.co</t>
        </is>
      </c>
      <c r="P115" s="24" t="inlineStr">
        <is>
          <t/>
        </is>
      </c>
      <c r="Q115" s="25" t="n">
        <v>2015.0</v>
      </c>
      <c r="R115" s="113">
        <f>HYPERLINK("https://my.pitchbook.com?c=117512-11", "View company online")</f>
      </c>
    </row>
    <row r="116">
      <c r="A116" s="27" t="inlineStr">
        <is>
          <t>103227-31</t>
        </is>
      </c>
      <c r="B116" s="28" t="inlineStr">
        <is>
          <t>Zenflow</t>
        </is>
      </c>
      <c r="C116" s="29" t="inlineStr">
        <is>
          <t>94080</t>
        </is>
      </c>
      <c r="D116" s="30" t="inlineStr">
        <is>
          <t>Developer of a medical device to treat enlarged prostate. The company engages in the development and sale a medical device which can be used by doctors to treat of benign prostatic hyperplasia.</t>
        </is>
      </c>
      <c r="E116" s="31" t="inlineStr">
        <is>
          <t>Therapeutic Devices</t>
        </is>
      </c>
      <c r="F116" s="32" t="inlineStr">
        <is>
          <t>San Francisco, CA</t>
        </is>
      </c>
      <c r="G116" s="33" t="inlineStr">
        <is>
          <t>Privately Held (backing)</t>
        </is>
      </c>
      <c r="H116" s="34" t="inlineStr">
        <is>
          <t>Venture Capital-Backed</t>
        </is>
      </c>
      <c r="I116" s="35" t="inlineStr">
        <is>
          <t>Astia, David Zhao, Dorm Room Fund, Farzad Nazem, Golden Seeds, IDrive Ventures, Joyo Wijaya, MedTech Innovator, National Collegiate Inventors and Innovators Alliance, National Science Foundation, NewDo Venture, Nicholas Mourlas, Paul Buchheit, Roger Bamford, Stanford Biodesign, StartX, SV Tech Ventures, Varsity Ventures, Vijay Mani, Vikas Gupta, Vincent Lo, Wei Guo, Y Combinator</t>
        </is>
      </c>
      <c r="J116" s="36" t="inlineStr">
        <is>
          <t>www.zenflow.com</t>
        </is>
      </c>
      <c r="K116" s="37" t="inlineStr">
        <is>
          <t>hello@zenflow.com</t>
        </is>
      </c>
      <c r="L116" s="38" t="inlineStr">
        <is>
          <t/>
        </is>
      </c>
      <c r="M116" s="39" t="inlineStr">
        <is>
          <t>Nick Damiano</t>
        </is>
      </c>
      <c r="N116" s="40" t="inlineStr">
        <is>
          <t>Co-Founder &amp; Chief Executive Officer</t>
        </is>
      </c>
      <c r="O116" s="41" t="inlineStr">
        <is>
          <t>nick@zenflow.com</t>
        </is>
      </c>
      <c r="P116" s="42" t="inlineStr">
        <is>
          <t>+1 (917) 821-1105</t>
        </is>
      </c>
      <c r="Q116" s="43" t="n">
        <v>2014.0</v>
      </c>
      <c r="R116" s="114">
        <f>HYPERLINK("https://my.pitchbook.com?c=103227-31", "View company online")</f>
      </c>
    </row>
    <row r="117">
      <c r="A117" s="9" t="inlineStr">
        <is>
          <t>56149-21</t>
        </is>
      </c>
      <c r="B117" s="10" t="inlineStr">
        <is>
          <t>Zenefits</t>
        </is>
      </c>
      <c r="C117" s="11" t="inlineStr">
        <is>
          <t>94107</t>
        </is>
      </c>
      <c r="D117" s="12" t="inlineStr">
        <is>
          <t>Provider of a connected ecosystem of applications designed to integrate all human resources needs for small businesses.The company's platform allows to manage benefits, employee on-boarding and off-boarding, tracking, selection and management of benefits and insurance plans, payroll, direct deposits and taxes, enabling small businesses to simplify and integrate all of their human resources needs and aspects into one dashboard.</t>
        </is>
      </c>
      <c r="E117" s="13" t="inlineStr">
        <is>
          <t>Human Capital Services</t>
        </is>
      </c>
      <c r="F117" s="14" t="inlineStr">
        <is>
          <t>San Francisco, CA</t>
        </is>
      </c>
      <c r="G117" s="15" t="inlineStr">
        <is>
          <t>Privately Held (backing)</t>
        </is>
      </c>
      <c r="H117" s="16" t="inlineStr">
        <is>
          <t>Venture Capital-Backed</t>
        </is>
      </c>
      <c r="I117" s="17" t="inlineStr">
        <is>
          <t>Aaron Levie, Adam Jackson, Alexis Ohanian, Alvin Tse, Andreessen Horowitz, Benjamin (Ben) Narasin, Benjamin Ling, Benjamin Narasin, Bradley Gessler, Brendan Wallace, Charles Cheever, Charles MacInnis, Comcast Ventures, David Petersen, David Sacks, Elad Gil, EPIC Ventures, Fidelity Investments, Foresite Capital Management, Founders Fund, Garry Tan, General Catalyst Partners, Harj Taggar, Hydrazine Capital, Initialized Capital, Insight Venture Partners, IVP, Jared Leto, John Rusenko, Jules Maltz, Justin Kan, Justin Mateen, Khosla Ventures, Link Ventures, Mark Hager, Matt Cutts, Maverick Capital, Otter Rock Capital, Panorama Point Partners, Paul Buchheit, Peregrine Ventures (California), Sohail Prasad, Sound Ventures, SV Angel, Tao Capital Partners, Team in Residence, TPG Growth, Venrock, Y Combinator, Yuri Milner</t>
        </is>
      </c>
      <c r="J117" s="18" t="inlineStr">
        <is>
          <t>www.zenefits.com</t>
        </is>
      </c>
      <c r="K117" s="19" t="inlineStr">
        <is>
          <t>info@zenefits.com</t>
        </is>
      </c>
      <c r="L117" s="20" t="inlineStr">
        <is>
          <t/>
        </is>
      </c>
      <c r="M117" s="21" t="inlineStr">
        <is>
          <t>Viviana Faga</t>
        </is>
      </c>
      <c r="N117" s="22" t="inlineStr">
        <is>
          <t>Chief Marketing Officer</t>
        </is>
      </c>
      <c r="O117" s="23" t="inlineStr">
        <is>
          <t/>
        </is>
      </c>
      <c r="P117" s="24" t="inlineStr">
        <is>
          <t/>
        </is>
      </c>
      <c r="Q117" s="25" t="n">
        <v>2012.0</v>
      </c>
      <c r="R117" s="113">
        <f>HYPERLINK("https://my.pitchbook.com?c=56149-21", "View company online")</f>
      </c>
    </row>
    <row r="118">
      <c r="A118" s="27" t="inlineStr">
        <is>
          <t>98150-68</t>
        </is>
      </c>
      <c r="B118" s="28" t="inlineStr">
        <is>
          <t>Zenedge</t>
        </is>
      </c>
      <c r="C118" s="29" t="inlineStr">
        <is>
          <t>33180</t>
        </is>
      </c>
      <c r="D118" s="30" t="inlineStr">
        <is>
          <t>Provider of web application security and distributed denial-of-service mitigation. The company provides a security platform that helps to secure web sites, web applications and networks against vulnerabilities and Distributed Denial of Service (DDoS) attacks.</t>
        </is>
      </c>
      <c r="E118" s="31" t="inlineStr">
        <is>
          <t>Network Management Software</t>
        </is>
      </c>
      <c r="F118" s="32" t="inlineStr">
        <is>
          <t>Aventura, FL</t>
        </is>
      </c>
      <c r="G118" s="33" t="inlineStr">
        <is>
          <t>Privately Held (backing)</t>
        </is>
      </c>
      <c r="H118" s="34" t="inlineStr">
        <is>
          <t>Venture Capital-Backed</t>
        </is>
      </c>
      <c r="I118" s="35" t="inlineStr">
        <is>
          <t>Andrew Malik, Fred Sorkin, Individual Investor, Pilot Growth Equity, TELUS Ventures, Yehuda Neuberger, Zoho</t>
        </is>
      </c>
      <c r="J118" s="36" t="inlineStr">
        <is>
          <t>www.zenedge.com</t>
        </is>
      </c>
      <c r="K118" s="37" t="inlineStr">
        <is>
          <t>hello@zenedge.com</t>
        </is>
      </c>
      <c r="L118" s="38" t="inlineStr">
        <is>
          <t>+1 (650) 246-0980</t>
        </is>
      </c>
      <c r="M118" s="39" t="inlineStr">
        <is>
          <t>Yuri Frayman</t>
        </is>
      </c>
      <c r="N118" s="40" t="inlineStr">
        <is>
          <t>Co-Founder, President, Chief Executive Officer &amp; Board Member</t>
        </is>
      </c>
      <c r="O118" s="41" t="inlineStr">
        <is>
          <t>yuri@zenedge.com</t>
        </is>
      </c>
      <c r="P118" s="42" t="inlineStr">
        <is>
          <t>+1 (650) 246-0980</t>
        </is>
      </c>
      <c r="Q118" s="43" t="n">
        <v>2014.0</v>
      </c>
      <c r="R118" s="114">
        <f>HYPERLINK("https://my.pitchbook.com?c=98150-68", "View company online")</f>
      </c>
    </row>
    <row r="119">
      <c r="A119" s="9" t="inlineStr">
        <is>
          <t>121074-85</t>
        </is>
      </c>
      <c r="B119" s="10" t="inlineStr">
        <is>
          <t>ZendyHealth</t>
        </is>
      </c>
      <c r="C119" s="11" t="inlineStr">
        <is>
          <t>90015</t>
        </is>
      </c>
      <c r="D119" s="12" t="inlineStr">
        <is>
          <t>Provider of an online marketplace for cosmetic, dental and medical procedures. The company offers a platform to find and book popular cosmetic, dental and medical procedures, such as Botox, laser teeth whitening, and CT / MRI scans.</t>
        </is>
      </c>
      <c r="E119" s="13" t="inlineStr">
        <is>
          <t>Other Healthcare Services</t>
        </is>
      </c>
      <c r="F119" s="14" t="inlineStr">
        <is>
          <t>Los Angeles, CA</t>
        </is>
      </c>
      <c r="G119" s="15" t="inlineStr">
        <is>
          <t>Privately Held (backing)</t>
        </is>
      </c>
      <c r="H119" s="16" t="inlineStr">
        <is>
          <t>Venture Capital-Backed</t>
        </is>
      </c>
      <c r="I119" s="17" t="inlineStr">
        <is>
          <t>500 Startups, Ali Rowghani, Miramar Ventures, StartX, Techstars</t>
        </is>
      </c>
      <c r="J119" s="18" t="inlineStr">
        <is>
          <t>www.zendyhealth.com</t>
        </is>
      </c>
      <c r="K119" s="19" t="inlineStr">
        <is>
          <t>zendyteam@zendyhealth.com</t>
        </is>
      </c>
      <c r="L119" s="20" t="inlineStr">
        <is>
          <t>+1 (855) 699-3639</t>
        </is>
      </c>
      <c r="M119" s="21" t="inlineStr">
        <is>
          <t>Vishal Banthia</t>
        </is>
      </c>
      <c r="N119" s="22" t="inlineStr">
        <is>
          <t>Co-Founder &amp; Chief Medical Officer</t>
        </is>
      </c>
      <c r="O119" s="23" t="inlineStr">
        <is>
          <t/>
        </is>
      </c>
      <c r="P119" s="24" t="inlineStr">
        <is>
          <t>+1 (855) 699-3639</t>
        </is>
      </c>
      <c r="Q119" s="25" t="n">
        <v>2014.0</v>
      </c>
      <c r="R119" s="113">
        <f>HYPERLINK("https://my.pitchbook.com?c=121074-85", "View company online")</f>
      </c>
    </row>
    <row r="120">
      <c r="A120" s="27" t="inlineStr">
        <is>
          <t>58683-16</t>
        </is>
      </c>
      <c r="B120" s="28" t="inlineStr">
        <is>
          <t>Zendrive</t>
        </is>
      </c>
      <c r="C120" s="29" t="inlineStr">
        <is>
          <t>94107</t>
        </is>
      </c>
      <c r="D120" s="30" t="inlineStr">
        <is>
          <t>Provider of driving data utilizing smartphone sensors. The company has developed an application which tracks location, direction, acceleration and speed with the help of smartphone sensors.</t>
        </is>
      </c>
      <c r="E120" s="31" t="inlineStr">
        <is>
          <t>Application Software</t>
        </is>
      </c>
      <c r="F120" s="32" t="inlineStr">
        <is>
          <t>San Francisco, CA</t>
        </is>
      </c>
      <c r="G120" s="33" t="inlineStr">
        <is>
          <t>Privately Held (backing)</t>
        </is>
      </c>
      <c r="H120" s="34" t="inlineStr">
        <is>
          <t>Venture Capital-Backed</t>
        </is>
      </c>
      <c r="I120" s="35" t="inlineStr">
        <is>
          <t>Adrian Aoun, AME Cloud Ventures, Amitt Mahajan, Bill Trenchard, BMW i Ventures, Chris Hulls, Collaborative Fund, Expansion Venture Capital, First Round Capital, Fontinalis Partners, Franklin Montross, Individual Investor, IT-Farm Corporation, Jerry Yang, Konstantin Othmer, Lars Rasmussen, Lee Linden, Loïc Le Meur, Max Levchin, Nick Hammerschlag, Nyca Partners, Othman Laraki, Ryan Melohn, Samuel Lessin, Sherpa Capital, TechLab at Mcity, Thomvest Ventures, Timothy Ferriss, Trucks Venture Capital, Tuspark Ventures, William Tai</t>
        </is>
      </c>
      <c r="J120" s="36" t="inlineStr">
        <is>
          <t>www.zendrive.com</t>
        </is>
      </c>
      <c r="K120" s="37" t="inlineStr">
        <is>
          <t>info@zendrive.com</t>
        </is>
      </c>
      <c r="L120" s="38" t="inlineStr">
        <is>
          <t/>
        </is>
      </c>
      <c r="M120" s="39" t="inlineStr">
        <is>
          <t>Jonathan Matus</t>
        </is>
      </c>
      <c r="N120" s="40" t="inlineStr">
        <is>
          <t>Chief Executive Officer &amp; Co-Founder</t>
        </is>
      </c>
      <c r="O120" s="41" t="inlineStr">
        <is>
          <t>jonathan@zendrive.com</t>
        </is>
      </c>
      <c r="P120" s="42" t="inlineStr">
        <is>
          <t/>
        </is>
      </c>
      <c r="Q120" s="43" t="n">
        <v>2013.0</v>
      </c>
      <c r="R120" s="114">
        <f>HYPERLINK("https://my.pitchbook.com?c=58683-16", "View company online")</f>
      </c>
    </row>
    <row r="121">
      <c r="A121" s="9" t="inlineStr">
        <is>
          <t>107075-44</t>
        </is>
      </c>
      <c r="B121" s="10" t="inlineStr">
        <is>
          <t>Zenbox</t>
        </is>
      </c>
      <c r="C121" s="11" t="inlineStr">
        <is>
          <t>90401</t>
        </is>
      </c>
      <c r="D121" s="12" t="inlineStr">
        <is>
          <t>Provider of bitcoin kiosks. The company offers a machine which acts as an exchange platform for digital currencies by providing access points for anyone to buy and sell bitcoin, pay bills, buy gift cards and buy phone cards.</t>
        </is>
      </c>
      <c r="E121" s="13" t="inlineStr">
        <is>
          <t>Other Financial Services</t>
        </is>
      </c>
      <c r="F121" s="14" t="inlineStr">
        <is>
          <t>Santa Monica, CA</t>
        </is>
      </c>
      <c r="G121" s="15" t="inlineStr">
        <is>
          <t>Privately Held (backing)</t>
        </is>
      </c>
      <c r="H121" s="16" t="inlineStr">
        <is>
          <t>Venture Capital-Backed</t>
        </is>
      </c>
      <c r="I121" s="17" t="inlineStr">
        <is>
          <t>Blockchain Capital, Resolute Ventures</t>
        </is>
      </c>
      <c r="J121" s="18" t="inlineStr">
        <is>
          <t>www.zenbox.us</t>
        </is>
      </c>
      <c r="K121" s="19" t="inlineStr">
        <is>
          <t>contact@zenbox.us</t>
        </is>
      </c>
      <c r="L121" s="20" t="inlineStr">
        <is>
          <t/>
        </is>
      </c>
      <c r="M121" s="21" t="inlineStr">
        <is>
          <t/>
        </is>
      </c>
      <c r="N121" s="22" t="inlineStr">
        <is>
          <t/>
        </is>
      </c>
      <c r="O121" s="23" t="inlineStr">
        <is>
          <t/>
        </is>
      </c>
      <c r="P121" s="24" t="inlineStr">
        <is>
          <t/>
        </is>
      </c>
      <c r="Q121" s="25" t="n">
        <v>2014.0</v>
      </c>
      <c r="R121" s="113">
        <f>HYPERLINK("https://my.pitchbook.com?c=107075-44", "View company online")</f>
      </c>
    </row>
    <row r="122">
      <c r="A122" s="27" t="inlineStr">
        <is>
          <t>52923-97</t>
        </is>
      </c>
      <c r="B122" s="28" t="inlineStr">
        <is>
          <t>Zemanta</t>
        </is>
      </c>
      <c r="C122" s="29" t="inlineStr">
        <is>
          <t>10011</t>
        </is>
      </c>
      <c r="D122" s="30" t="inlineStr">
        <is>
          <t>Provider of online content creation and discovery tools for bloggers. The company offers tools that enable users to discover and find content on the Internet, as well as bring photos, links, tags, reblogs and documents to their blogs.</t>
        </is>
      </c>
      <c r="E122" s="31" t="inlineStr">
        <is>
          <t>Social/Platform Software</t>
        </is>
      </c>
      <c r="F122" s="32" t="inlineStr">
        <is>
          <t>New York, NY</t>
        </is>
      </c>
      <c r="G122" s="33" t="inlineStr">
        <is>
          <t>Privately Held (backing)</t>
        </is>
      </c>
      <c r="H122" s="34" t="inlineStr">
        <is>
          <t>Venture Capital-Backed</t>
        </is>
      </c>
      <c r="I122" s="35" t="inlineStr">
        <is>
          <t>Eden Ventures, LocalGlobe, Mike Edelhart, Robin Klein, Saul Klein, Seedcamp, Social Starts, The Acceleration Group, Union Square Ventures, William Lohse</t>
        </is>
      </c>
      <c r="J122" s="36" t="inlineStr">
        <is>
          <t>www.zemanta.com</t>
        </is>
      </c>
      <c r="K122" s="37" t="inlineStr">
        <is>
          <t>info@zemanta.com</t>
        </is>
      </c>
      <c r="L122" s="38" t="inlineStr">
        <is>
          <t>+1 (503) 766-3622</t>
        </is>
      </c>
      <c r="M122" s="39" t="inlineStr">
        <is>
          <t>Todd Sawicki</t>
        </is>
      </c>
      <c r="N122" s="40" t="inlineStr">
        <is>
          <t>Chief Executive Officer &amp; Board Member</t>
        </is>
      </c>
      <c r="O122" s="41" t="inlineStr">
        <is>
          <t>todd.sawicki@zemanta.com</t>
        </is>
      </c>
      <c r="P122" s="42" t="inlineStr">
        <is>
          <t>+1 (503) 766-3622</t>
        </is>
      </c>
      <c r="Q122" s="43" t="n">
        <v>2007.0</v>
      </c>
      <c r="R122" s="114">
        <f>HYPERLINK("https://my.pitchbook.com?c=52923-97", "View company online")</f>
      </c>
    </row>
    <row r="123">
      <c r="A123" s="9" t="inlineStr">
        <is>
          <t>58423-60</t>
        </is>
      </c>
      <c r="B123" s="10" t="inlineStr">
        <is>
          <t>Zelgor</t>
        </is>
      </c>
      <c r="C123" s="11" t="inlineStr">
        <is>
          <t>02142</t>
        </is>
      </c>
      <c r="D123" s="12" t="inlineStr">
        <is>
          <t>Operator of an online gaming platform. The company provides a location-based gaming application that enables users to find friends and virtually capture them.</t>
        </is>
      </c>
      <c r="E123" s="13" t="inlineStr">
        <is>
          <t>Entertainment Software</t>
        </is>
      </c>
      <c r="F123" s="14" t="inlineStr">
        <is>
          <t>Cambridge, MA</t>
        </is>
      </c>
      <c r="G123" s="15" t="inlineStr">
        <is>
          <t>Privately Held (backing)</t>
        </is>
      </c>
      <c r="H123" s="16" t="inlineStr">
        <is>
          <t>Venture Capital-Backed</t>
        </is>
      </c>
      <c r="I123" s="17" t="inlineStr">
        <is>
          <t/>
        </is>
      </c>
      <c r="J123" s="18" t="inlineStr">
        <is>
          <t>www.zelgor.com</t>
        </is>
      </c>
      <c r="K123" s="19" t="inlineStr">
        <is>
          <t/>
        </is>
      </c>
      <c r="L123" s="20" t="inlineStr">
        <is>
          <t/>
        </is>
      </c>
      <c r="M123" s="21" t="inlineStr">
        <is>
          <t>John Fanning</t>
        </is>
      </c>
      <c r="N123" s="22" t="inlineStr">
        <is>
          <t>Founder &amp; Chief Executive Officer</t>
        </is>
      </c>
      <c r="O123" s="23" t="inlineStr">
        <is>
          <t>johnjr@zelgor.com</t>
        </is>
      </c>
      <c r="P123" s="24" t="inlineStr">
        <is>
          <t/>
        </is>
      </c>
      <c r="Q123" s="25" t="n">
        <v>2011.0</v>
      </c>
      <c r="R123" s="113">
        <f>HYPERLINK("https://my.pitchbook.com?c=58423-60", "View company online")</f>
      </c>
    </row>
    <row r="124">
      <c r="A124" s="27" t="inlineStr">
        <is>
          <t>115406-29</t>
        </is>
      </c>
      <c r="B124" s="28" t="inlineStr">
        <is>
          <t>Zelegent</t>
        </is>
      </c>
      <c r="C124" s="29" t="inlineStr">
        <is>
          <t>92617</t>
        </is>
      </c>
      <c r="D124" s="30" t="inlineStr">
        <is>
          <t>Developer of medical tools for physicians for the treatment of sleep disorders. The company works to develop, manufacture, and commercialize a novel, minimally-invasive, advanced medical device to be used by sleep specialist otolaryngologists to treat snoring. The device is intended to shorten, suspend, and stiffen the patient's soft palate to treat snoring. The clinical technique, Elevoplasty™, is an office-based procedure designed to be less invasive than today's surgical options.</t>
        </is>
      </c>
      <c r="E124" s="31" t="inlineStr">
        <is>
          <t>Diagnostic Equipment</t>
        </is>
      </c>
      <c r="F124" s="32" t="inlineStr">
        <is>
          <t>Irvine, CA</t>
        </is>
      </c>
      <c r="G124" s="33" t="inlineStr">
        <is>
          <t>Privately Held (backing)</t>
        </is>
      </c>
      <c r="H124" s="34" t="inlineStr">
        <is>
          <t>Venture Capital-Backed</t>
        </is>
      </c>
      <c r="I124" s="35" t="inlineStr">
        <is>
          <t>Alphaeon, EvoNexus</t>
        </is>
      </c>
      <c r="J124" s="36" t="inlineStr">
        <is>
          <t>www.zelegent.com</t>
        </is>
      </c>
      <c r="K124" s="37" t="inlineStr">
        <is>
          <t>info@zelegent.com</t>
        </is>
      </c>
      <c r="L124" s="38" t="inlineStr">
        <is>
          <t>+1 (650) 763-8282</t>
        </is>
      </c>
      <c r="M124" s="39" t="inlineStr">
        <is>
          <t>Alexander Arrow</t>
        </is>
      </c>
      <c r="N124" s="40" t="inlineStr">
        <is>
          <t>Chief Executive Officer &amp; Board Member</t>
        </is>
      </c>
      <c r="O124" s="41" t="inlineStr">
        <is>
          <t>alex@zelegent.com</t>
        </is>
      </c>
      <c r="P124" s="42" t="inlineStr">
        <is>
          <t>+1 (650) 763-8282</t>
        </is>
      </c>
      <c r="Q124" s="43" t="n">
        <v>2015.0</v>
      </c>
      <c r="R124" s="114">
        <f>HYPERLINK("https://my.pitchbook.com?c=115406-29", "View company online")</f>
      </c>
    </row>
    <row r="125">
      <c r="A125" s="9" t="inlineStr">
        <is>
          <t>150765-13</t>
        </is>
      </c>
      <c r="B125" s="10" t="inlineStr">
        <is>
          <t>Zekira</t>
        </is>
      </c>
      <c r="C125" s="11" t="inlineStr">
        <is>
          <t/>
        </is>
      </c>
      <c r="D125" s="12" t="inlineStr">
        <is>
          <t>Developer of a file indexing software. The company develops Zekira, a computer file indexing software. The software helps a client to find half-remembered information buried in client’s archives; runs on Macs and PCs; and provides content analysis to identify related documents.</t>
        </is>
      </c>
      <c r="E125" s="13" t="inlineStr">
        <is>
          <t>Automation/Workflow Software</t>
        </is>
      </c>
      <c r="F125" s="14" t="inlineStr">
        <is>
          <t>San Jose, CA</t>
        </is>
      </c>
      <c r="G125" s="15" t="inlineStr">
        <is>
          <t>Privately Held (backing)</t>
        </is>
      </c>
      <c r="H125" s="16" t="inlineStr">
        <is>
          <t>Venture Capital-Backed</t>
        </is>
      </c>
      <c r="I125" s="17" t="inlineStr">
        <is>
          <t>Klein Venture Partners</t>
        </is>
      </c>
      <c r="J125" s="18" t="inlineStr">
        <is>
          <t>zekira.com</t>
        </is>
      </c>
      <c r="K125" s="19" t="inlineStr">
        <is>
          <t>contactus@zekira.com</t>
        </is>
      </c>
      <c r="L125" s="20" t="inlineStr">
        <is>
          <t/>
        </is>
      </c>
      <c r="M125" s="21" t="inlineStr">
        <is>
          <t>Michael Mace</t>
        </is>
      </c>
      <c r="N125" s="22" t="inlineStr">
        <is>
          <t>Chief Executive Officer</t>
        </is>
      </c>
      <c r="O125" s="23" t="inlineStr">
        <is>
          <t>mike@usertesting.com</t>
        </is>
      </c>
      <c r="P125" s="24" t="inlineStr">
        <is>
          <t>+1 (650) 567-5626</t>
        </is>
      </c>
      <c r="Q125" s="25" t="n">
        <v>2011.0</v>
      </c>
      <c r="R125" s="113">
        <f>HYPERLINK("https://my.pitchbook.com?c=150765-13", "View company online")</f>
      </c>
    </row>
    <row r="126">
      <c r="A126" s="27" t="inlineStr">
        <is>
          <t>51251-68</t>
        </is>
      </c>
      <c r="B126" s="28" t="inlineStr">
        <is>
          <t>Zefr</t>
        </is>
      </c>
      <c r="C126" s="29" t="inlineStr">
        <is>
          <t>90291</t>
        </is>
      </c>
      <c r="D126" s="30" t="inlineStr">
        <is>
          <t>Provider of content rights management to movie studios on YouTube. The company allows its users to search, find, watch, discuss and share clips from movies. It also offers a website that offers a collection of movie clips on YouTube.</t>
        </is>
      </c>
      <c r="E126" s="31" t="inlineStr">
        <is>
          <t>Media and Information Services (B2B)</t>
        </is>
      </c>
      <c r="F126" s="32" t="inlineStr">
        <is>
          <t>Los Angeles, CA</t>
        </is>
      </c>
      <c r="G126" s="33" t="inlineStr">
        <is>
          <t>Privately Held (backing)</t>
        </is>
      </c>
      <c r="H126" s="34" t="inlineStr">
        <is>
          <t>Venture Capital-Backed</t>
        </is>
      </c>
      <c r="I126" s="35" t="inlineStr">
        <is>
          <t>Broadway Video, CNF Investments, Felicis Ventures, First Round Capital, Gordon Rubenstein, Individual Investor, IVP, Jeff Kearl, Launchpad LA, MK Capital, Naval Ravikant, Richmond Park Partners, Shasta Ventures, SoftTech VC, Third Wave Digital, Thomas McInerney, US Venture Partners</t>
        </is>
      </c>
      <c r="J126" s="36" t="inlineStr">
        <is>
          <t>www.zefr.com</t>
        </is>
      </c>
      <c r="K126" s="37" t="inlineStr">
        <is>
          <t>info@zefr.com</t>
        </is>
      </c>
      <c r="L126" s="38" t="inlineStr">
        <is>
          <t>+1 (310) 392-3555</t>
        </is>
      </c>
      <c r="M126" s="39" t="inlineStr">
        <is>
          <t>Zacharias James</t>
        </is>
      </c>
      <c r="N126" s="40" t="inlineStr">
        <is>
          <t>Co-Founder, Chief Executive Officer &amp; Board Member</t>
        </is>
      </c>
      <c r="O126" s="41" t="inlineStr">
        <is>
          <t>zach@movieclips.com</t>
        </is>
      </c>
      <c r="P126" s="42" t="inlineStr">
        <is>
          <t>+1 (310) 392-3555</t>
        </is>
      </c>
      <c r="Q126" s="43" t="n">
        <v>2009.0</v>
      </c>
      <c r="R126" s="114">
        <f>HYPERLINK("https://my.pitchbook.com?c=51251-68", "View company online")</f>
      </c>
    </row>
    <row r="127">
      <c r="A127" s="9" t="inlineStr">
        <is>
          <t>125099-65</t>
        </is>
      </c>
      <c r="B127" s="10" t="inlineStr">
        <is>
          <t>ZeeMee</t>
        </is>
      </c>
      <c r="C127" s="11" t="inlineStr">
        <is>
          <t>94040</t>
        </is>
      </c>
      <c r="D127" s="12" t="inlineStr">
        <is>
          <t>Provider of a social media platform that focuses on helping students transition from high school to college by empowering them to share their unique story through video in the application process and connect them through exclusive communities prior to and during their college experience. ZeeMee is the first and only professional social media platform to be exclusively requested by over 200 colleges/universities in their application. ZeeMee offers the opportunity for students to engage with peers once they decide on a school, find roommates, meet others in the programs and use a school-specific chat function. ZeeMee's vision is to provide all students utility services on our platform throughout their college career and beyond.</t>
        </is>
      </c>
      <c r="E127" s="13" t="inlineStr">
        <is>
          <t>Application Software</t>
        </is>
      </c>
      <c r="F127" s="14" t="inlineStr">
        <is>
          <t>Redwood City, CA</t>
        </is>
      </c>
      <c r="G127" s="15" t="inlineStr">
        <is>
          <t>Privately Held (backing)</t>
        </is>
      </c>
      <c r="H127" s="16" t="inlineStr">
        <is>
          <t>Venture Capital-Backed</t>
        </is>
      </c>
      <c r="I127" s="17" t="inlineStr">
        <is>
          <t>BlueRun Ventures, Elixir Capital, Malaysia Venture Capital Management</t>
        </is>
      </c>
      <c r="J127" s="18" t="inlineStr">
        <is>
          <t>www.zeemee.com</t>
        </is>
      </c>
      <c r="K127" s="19" t="inlineStr">
        <is>
          <t>info@zeemee.com</t>
        </is>
      </c>
      <c r="L127" s="20" t="inlineStr">
        <is>
          <t>+1 (307) 620-5281</t>
        </is>
      </c>
      <c r="M127" s="21" t="inlineStr">
        <is>
          <t>Adam Metcalf</t>
        </is>
      </c>
      <c r="N127" s="22" t="inlineStr">
        <is>
          <t>Co-Founder, Chief Product Officer &amp; Board Member</t>
        </is>
      </c>
      <c r="O127" s="23" t="inlineStr">
        <is>
          <t>adam@zeemee.com</t>
        </is>
      </c>
      <c r="P127" s="24" t="inlineStr">
        <is>
          <t>+1 (307) 620-5281</t>
        </is>
      </c>
      <c r="Q127" s="25" t="n">
        <v>2014.0</v>
      </c>
      <c r="R127" s="113">
        <f>HYPERLINK("https://my.pitchbook.com?c=125099-65", "View company online")</f>
      </c>
    </row>
    <row r="128">
      <c r="A128" s="27" t="inlineStr">
        <is>
          <t>56235-52</t>
        </is>
      </c>
      <c r="B128" s="28" t="inlineStr">
        <is>
          <t>Zedo</t>
        </is>
      </c>
      <c r="C128" s="29" t="inlineStr">
        <is>
          <t>94133</t>
        </is>
      </c>
      <c r="D128" s="30" t="inlineStr">
        <is>
          <t>Provider of digital advertising services. The company's platform offers services like, advertising network optimization, media formatting for publishers, advertisement serving and behavioral targeting data which is built into the advertising server.</t>
        </is>
      </c>
      <c r="E128" s="31" t="inlineStr">
        <is>
          <t>Media and Information Services (B2B)</t>
        </is>
      </c>
      <c r="F128" s="32" t="inlineStr">
        <is>
          <t>San Francisco, CA</t>
        </is>
      </c>
      <c r="G128" s="33" t="inlineStr">
        <is>
          <t>Privately Held (backing)</t>
        </is>
      </c>
      <c r="H128" s="34" t="inlineStr">
        <is>
          <t>Venture Capital-Backed</t>
        </is>
      </c>
      <c r="I128" s="35" t="inlineStr">
        <is>
          <t>Anthelion Capital, D.A.Consortium, Esther Dyson, Ramesh Haridas, Russian Hill Ventures, Vencore Capital, WS Investments</t>
        </is>
      </c>
      <c r="J128" s="36" t="inlineStr">
        <is>
          <t>www.zedo.com</t>
        </is>
      </c>
      <c r="K128" s="37" t="inlineStr">
        <is>
          <t/>
        </is>
      </c>
      <c r="L128" s="38" t="inlineStr">
        <is>
          <t>+1 (415) 348-1975</t>
        </is>
      </c>
      <c r="M128" s="39" t="inlineStr">
        <is>
          <t>Roy de Souza</t>
        </is>
      </c>
      <c r="N128" s="40" t="inlineStr">
        <is>
          <t>Chief Executive Officer, Board Member &amp; Co-Founder</t>
        </is>
      </c>
      <c r="O128" s="41" t="inlineStr">
        <is>
          <t>roy@zedo.com</t>
        </is>
      </c>
      <c r="P128" s="42" t="inlineStr">
        <is>
          <t>+1 (415) 348-1975</t>
        </is>
      </c>
      <c r="Q128" s="43" t="n">
        <v>1999.0</v>
      </c>
      <c r="R128" s="114">
        <f>HYPERLINK("https://my.pitchbook.com?c=56235-52", "View company online")</f>
      </c>
    </row>
    <row r="129">
      <c r="A129" s="9" t="inlineStr">
        <is>
          <t>103794-31</t>
        </is>
      </c>
      <c r="B129" s="10" t="inlineStr">
        <is>
          <t>Zeconomy</t>
        </is>
      </c>
      <c r="C129" s="11" t="inlineStr">
        <is>
          <t>91403</t>
        </is>
      </c>
      <c r="D129" s="12" t="inlineStr">
        <is>
          <t>Provider of business-to-business online payment services. The company offers a liquidity marketplace that mimics the capabilities of a business-to-business payment and credit network.</t>
        </is>
      </c>
      <c r="E129" s="13" t="inlineStr">
        <is>
          <t>Financial Software</t>
        </is>
      </c>
      <c r="F129" s="14" t="inlineStr">
        <is>
          <t>Sherman Oaks, CA</t>
        </is>
      </c>
      <c r="G129" s="15" t="inlineStr">
        <is>
          <t>Privately Held (backing)</t>
        </is>
      </c>
      <c r="H129" s="16" t="inlineStr">
        <is>
          <t>Venture Capital-Backed</t>
        </is>
      </c>
      <c r="I129" s="17" t="inlineStr">
        <is>
          <t>New Ground Ventures</t>
        </is>
      </c>
      <c r="J129" s="18" t="inlineStr">
        <is>
          <t>www.zeconomy.com</t>
        </is>
      </c>
      <c r="K129" s="19" t="inlineStr">
        <is>
          <t/>
        </is>
      </c>
      <c r="L129" s="20" t="inlineStr">
        <is>
          <t/>
        </is>
      </c>
      <c r="M129" s="21" t="inlineStr">
        <is>
          <t>David Choi</t>
        </is>
      </c>
      <c r="N129" s="22" t="inlineStr">
        <is>
          <t>Chief Financial Officer &amp; Board Member</t>
        </is>
      </c>
      <c r="O129" s="23" t="inlineStr">
        <is>
          <t>dchoi@zeconomy.com</t>
        </is>
      </c>
      <c r="P129" s="24" t="inlineStr">
        <is>
          <t/>
        </is>
      </c>
      <c r="Q129" s="25" t="n">
        <v>2013.0</v>
      </c>
      <c r="R129" s="113">
        <f>HYPERLINK("https://my.pitchbook.com?c=103794-31", "View company online")</f>
      </c>
    </row>
    <row r="130">
      <c r="A130" s="27" t="inlineStr">
        <is>
          <t>61490-35</t>
        </is>
      </c>
      <c r="B130" s="28" t="inlineStr">
        <is>
          <t>Zebrafish Labs</t>
        </is>
      </c>
      <c r="C130" s="29" t="inlineStr">
        <is>
          <t>94103</t>
        </is>
      </c>
      <c r="D130" s="30" t="inlineStr">
        <is>
          <t>Provider of image processing and delivery services. The company has developed an online platform for users to cache their image archives and manipulate size, cropping and other parameters.</t>
        </is>
      </c>
      <c r="E130" s="31" t="inlineStr">
        <is>
          <t>Social/Platform Software</t>
        </is>
      </c>
      <c r="F130" s="32" t="inlineStr">
        <is>
          <t>San Francisco, CA</t>
        </is>
      </c>
      <c r="G130" s="33" t="inlineStr">
        <is>
          <t>Privately Held (backing)</t>
        </is>
      </c>
      <c r="H130" s="34" t="inlineStr">
        <is>
          <t>Venture Capital-Backed</t>
        </is>
      </c>
      <c r="I130" s="35" t="inlineStr">
        <is>
          <t>Aaron Iba, Christina Brodbeck, CrunchFund, Cuong Do, Dwipal Desai, Hank Vigil, Individual Investor, Jake Lodwick, Kevin Rose, Micah Schaffer, RRE Ventures, Sociedad de Desarrollo de Navarra, Start Fund, SV Angel, Third Kind Venture Capital, Vijay Karunamurthy, Y Combinator</t>
        </is>
      </c>
      <c r="J130" s="36" t="inlineStr">
        <is>
          <t>www.imgix.com</t>
        </is>
      </c>
      <c r="K130" s="37" t="inlineStr">
        <is>
          <t>dmca@imgix.com</t>
        </is>
      </c>
      <c r="L130" s="38" t="inlineStr">
        <is>
          <t>+1 (415) 484-5964</t>
        </is>
      </c>
      <c r="M130" s="39" t="inlineStr">
        <is>
          <t>Christopher Zacharias</t>
        </is>
      </c>
      <c r="N130" s="40" t="inlineStr">
        <is>
          <t>Co-Founder, Chief Executive Officer and Board Member</t>
        </is>
      </c>
      <c r="O130" s="41" t="inlineStr">
        <is>
          <t>cz@imgix.com</t>
        </is>
      </c>
      <c r="P130" s="42" t="inlineStr">
        <is>
          <t>+1 (415) 484-5964</t>
        </is>
      </c>
      <c r="Q130" s="43" t="n">
        <v>2011.0</v>
      </c>
      <c r="R130" s="114">
        <f>HYPERLINK("https://my.pitchbook.com?c=61490-35", "View company online")</f>
      </c>
    </row>
    <row r="131">
      <c r="A131" s="9" t="inlineStr">
        <is>
          <t>104524-30</t>
        </is>
      </c>
      <c r="B131" s="10" t="inlineStr">
        <is>
          <t>Zebra Medical Technologies</t>
        </is>
      </c>
      <c r="C131" s="11" t="inlineStr">
        <is>
          <t>94040</t>
        </is>
      </c>
      <c r="D131" s="12" t="inlineStr">
        <is>
          <t>Developer of a specialized endoscopic system. The company's product, the Zebrascope, is a microendoscopic system that enables in vivo visualization of cellular structure in muscle and connective tissues with broad applications ranging from noninvasive imaging of the skin to improving the treatment of amytrophic lateral sclerosis (ALS).</t>
        </is>
      </c>
      <c r="E131" s="13" t="inlineStr">
        <is>
          <t>Diagnostic Equipment</t>
        </is>
      </c>
      <c r="F131" s="14" t="inlineStr">
        <is>
          <t>Mountain View, CA</t>
        </is>
      </c>
      <c r="G131" s="15" t="inlineStr">
        <is>
          <t>Privately Held (backing)</t>
        </is>
      </c>
      <c r="H131" s="16" t="inlineStr">
        <is>
          <t>Venture Capital-Backed</t>
        </is>
      </c>
      <c r="I131" s="17" t="inlineStr">
        <is>
          <t>Konica Minolta Business Innovation Center</t>
        </is>
      </c>
      <c r="J131" s="18" t="inlineStr">
        <is>
          <t>www.zebramedtech.com</t>
        </is>
      </c>
      <c r="K131" s="19" t="inlineStr">
        <is>
          <t/>
        </is>
      </c>
      <c r="L131" s="20" t="inlineStr">
        <is>
          <t/>
        </is>
      </c>
      <c r="M131" s="21" t="inlineStr">
        <is>
          <t>Gabriel Sanchez</t>
        </is>
      </c>
      <c r="N131" s="22" t="inlineStr">
        <is>
          <t>Co-Founder &amp; Chief Executive Officer</t>
        </is>
      </c>
      <c r="O131" s="23" t="inlineStr">
        <is>
          <t>gabriel@zebramedtech.com</t>
        </is>
      </c>
      <c r="P131" s="24" t="inlineStr">
        <is>
          <t/>
        </is>
      </c>
      <c r="Q131" s="25" t="n">
        <v>2014.0</v>
      </c>
      <c r="R131" s="113">
        <f>HYPERLINK("https://my.pitchbook.com?c=104524-30", "View company online")</f>
      </c>
    </row>
    <row r="132">
      <c r="A132" s="27" t="inlineStr">
        <is>
          <t>173888-65</t>
        </is>
      </c>
      <c r="B132" s="28" t="inlineStr">
        <is>
          <t>Zebit</t>
        </is>
      </c>
      <c r="C132" s="29" t="inlineStr">
        <is>
          <t>92037</t>
        </is>
      </c>
      <c r="D132" s="30" t="inlineStr">
        <is>
          <t>Operator of a financial resources marketplace created to provide better financial options for working Americans. The company's platform offers a no-cost, no-interest and no-penalties financing option for working Americans and military personnel as well as gives access to the Zebit Market, an e-commerce site featuring more than 20,000 name brand items they can buy at competitive prices, enabling its members to pay off their purchases over time, without any interest or hidden fees.</t>
        </is>
      </c>
      <c r="E132" s="31" t="inlineStr">
        <is>
          <t>Consumer Finance</t>
        </is>
      </c>
      <c r="F132" s="32" t="inlineStr">
        <is>
          <t>San Diego, CA</t>
        </is>
      </c>
      <c r="G132" s="33" t="inlineStr">
        <is>
          <t>Privately Held (backing)</t>
        </is>
      </c>
      <c r="H132" s="34" t="inlineStr">
        <is>
          <t>Venture Capital-Backed</t>
        </is>
      </c>
      <c r="I132" s="35" t="inlineStr">
        <is>
          <t>Correlation Ventures, Crosslink Capital, Leapfrog Ventures, Ulu Ventures, Wildcat Venture Partners</t>
        </is>
      </c>
      <c r="J132" s="36" t="inlineStr">
        <is>
          <t>www.zebit.com</t>
        </is>
      </c>
      <c r="K132" s="37" t="inlineStr">
        <is>
          <t>help@zebit.com</t>
        </is>
      </c>
      <c r="L132" s="38" t="inlineStr">
        <is>
          <t>+1 (855) 449-3248</t>
        </is>
      </c>
      <c r="M132" s="39" t="inlineStr">
        <is>
          <t>Marc Schneider</t>
        </is>
      </c>
      <c r="N132" s="40" t="inlineStr">
        <is>
          <t>Co-Founder, President &amp; Chief Operating Officer</t>
        </is>
      </c>
      <c r="O132" s="41" t="inlineStr">
        <is>
          <t>marc@zebit.com</t>
        </is>
      </c>
      <c r="P132" s="42" t="inlineStr">
        <is>
          <t>+1 (855) 449-3248</t>
        </is>
      </c>
      <c r="Q132" s="43" t="n">
        <v>2014.0</v>
      </c>
      <c r="R132" s="114">
        <f>HYPERLINK("https://my.pitchbook.com?c=173888-65", "View company online")</f>
      </c>
    </row>
    <row r="133">
      <c r="A133" s="9" t="inlineStr">
        <is>
          <t>65716-21</t>
        </is>
      </c>
      <c r="B133" s="10" t="inlineStr">
        <is>
          <t>Zealot Networks</t>
        </is>
      </c>
      <c r="C133" s="11" t="inlineStr">
        <is>
          <t>90291</t>
        </is>
      </c>
      <c r="D133" s="12" t="inlineStr">
        <is>
          <t>Provider of a digital media platform. The company is a digital-first media company and growth accelerator that delivers multi-platform revenue, distribution and development opportunities to content creators.</t>
        </is>
      </c>
      <c r="E133" s="13" t="inlineStr">
        <is>
          <t>Media and Information Services (B2B)</t>
        </is>
      </c>
      <c r="F133" s="14" t="inlineStr">
        <is>
          <t>Los Angeles, CA</t>
        </is>
      </c>
      <c r="G133" s="15" t="inlineStr">
        <is>
          <t>Privately Held (backing)</t>
        </is>
      </c>
      <c r="H133" s="16" t="inlineStr">
        <is>
          <t>Venture Capital-Backed</t>
        </is>
      </c>
      <c r="I133" s="17" t="inlineStr">
        <is>
          <t>Amasia, Breakwater Investment Management, Dave Dickman, ITV, Sway Ventures, Venture51</t>
        </is>
      </c>
      <c r="J133" s="18" t="inlineStr">
        <is>
          <t>www.zealotnetworks.com</t>
        </is>
      </c>
      <c r="K133" s="19" t="inlineStr">
        <is>
          <t>contact@zealotnetworks.com</t>
        </is>
      </c>
      <c r="L133" s="20" t="inlineStr">
        <is>
          <t>+1 (424) 785-2997</t>
        </is>
      </c>
      <c r="M133" s="21" t="inlineStr">
        <is>
          <t>Danny Zappin</t>
        </is>
      </c>
      <c r="N133" s="22" t="inlineStr">
        <is>
          <t>Co-Founder, Chief Executive Officer and Chairman</t>
        </is>
      </c>
      <c r="O133" s="23" t="inlineStr">
        <is>
          <t>danny@zealotnetworks.com</t>
        </is>
      </c>
      <c r="P133" s="24" t="inlineStr">
        <is>
          <t>+1 (424) 785-2997</t>
        </is>
      </c>
      <c r="Q133" s="25" t="n">
        <v>2014.0</v>
      </c>
      <c r="R133" s="113">
        <f>HYPERLINK("https://my.pitchbook.com?c=65716-21", "View company online")</f>
      </c>
    </row>
    <row r="134">
      <c r="A134" s="27" t="inlineStr">
        <is>
          <t>159095-44</t>
        </is>
      </c>
      <c r="B134" s="28" t="inlineStr">
        <is>
          <t>Zeality</t>
        </is>
      </c>
      <c r="C134" s="29" t="inlineStr">
        <is>
          <t>94566</t>
        </is>
      </c>
      <c r="D134" s="30" t="inlineStr">
        <is>
          <t>Provider of social engagement and delivery platform of virtual reality and 360° video content. The company provides network delivery platform to distribute and manage premium exclusive content, increase audience engagement and generate brand activation and awareness.</t>
        </is>
      </c>
      <c r="E134" s="31" t="inlineStr">
        <is>
          <t>Social Content</t>
        </is>
      </c>
      <c r="F134" s="32" t="inlineStr">
        <is>
          <t>Pleasanton, CA</t>
        </is>
      </c>
      <c r="G134" s="33" t="inlineStr">
        <is>
          <t>Privately Held (backing)</t>
        </is>
      </c>
      <c r="H134" s="34" t="inlineStr">
        <is>
          <t>Venture Capital-Backed</t>
        </is>
      </c>
      <c r="I134" s="35" t="inlineStr">
        <is>
          <t>Dean Robinson, Jason Khalipa, Paraag Marathe, Rothenberg Ventures, The San Francisco 49ers</t>
        </is>
      </c>
      <c r="J134" s="36" t="inlineStr">
        <is>
          <t>www.zeality.co</t>
        </is>
      </c>
      <c r="K134" s="37" t="inlineStr">
        <is>
          <t>contact@zeality.co</t>
        </is>
      </c>
      <c r="L134" s="38" t="inlineStr">
        <is>
          <t>+1 (925) 548-7779</t>
        </is>
      </c>
      <c r="M134" s="39" t="inlineStr">
        <is>
          <t>Dipak Patel</t>
        </is>
      </c>
      <c r="N134" s="40" t="inlineStr">
        <is>
          <t>Co-Founder &amp; Chief Executive Officer</t>
        </is>
      </c>
      <c r="O134" s="41" t="inlineStr">
        <is>
          <t>dipak@zeality.co</t>
        </is>
      </c>
      <c r="P134" s="42" t="inlineStr">
        <is>
          <t>+1 (925) 548-7779</t>
        </is>
      </c>
      <c r="Q134" s="43" t="n">
        <v>2014.0</v>
      </c>
      <c r="R134" s="114">
        <f>HYPERLINK("https://my.pitchbook.com?c=159095-44", "View company online")</f>
      </c>
    </row>
    <row r="135">
      <c r="A135" s="9" t="inlineStr">
        <is>
          <t>117236-53</t>
        </is>
      </c>
      <c r="B135" s="10" t="inlineStr">
        <is>
          <t>Zeal Learning</t>
        </is>
      </c>
      <c r="C135" s="11" t="inlineStr">
        <is>
          <t>94107</t>
        </is>
      </c>
      <c r="D135" s="12" t="inlineStr">
        <is>
          <t>Operator of a social learning application. The company helps teachers to teach students through a mobile application instead of students having to go to a place to learn.</t>
        </is>
      </c>
      <c r="E135" s="13" t="inlineStr">
        <is>
          <t>Educational Software</t>
        </is>
      </c>
      <c r="F135" s="14" t="inlineStr">
        <is>
          <t>San Francisco, CA</t>
        </is>
      </c>
      <c r="G135" s="15" t="inlineStr">
        <is>
          <t>Privately Held (backing)</t>
        </is>
      </c>
      <c r="H135" s="16" t="inlineStr">
        <is>
          <t>Venture Capital-Backed</t>
        </is>
      </c>
      <c r="I135" s="17" t="inlineStr">
        <is>
          <t>Adam Foroughi, Chicago Ventures, Dave Goldberg, Foundation Capital, Geoff Ralston, John Krystynak, Kapor Capital, Manuel Bronstein, Pat Ryan, Reach Capital, Shawn Carolan, Tim Brady, Tim Ranzetta</t>
        </is>
      </c>
      <c r="J135" s="18" t="inlineStr">
        <is>
          <t>www.zeal.com</t>
        </is>
      </c>
      <c r="K135" s="19" t="inlineStr">
        <is>
          <t/>
        </is>
      </c>
      <c r="L135" s="20" t="inlineStr">
        <is>
          <t>+1 (415) 800-0566</t>
        </is>
      </c>
      <c r="M135" s="21" t="inlineStr">
        <is>
          <t>John Danner</t>
        </is>
      </c>
      <c r="N135" s="22" t="inlineStr">
        <is>
          <t>Co-Founder &amp; Chief Executive Officer</t>
        </is>
      </c>
      <c r="O135" s="23" t="inlineStr">
        <is>
          <t>john@zeal.com</t>
        </is>
      </c>
      <c r="P135" s="24" t="inlineStr">
        <is>
          <t>+1 (415) 800-0566</t>
        </is>
      </c>
      <c r="Q135" s="25" t="n">
        <v>2013.0</v>
      </c>
      <c r="R135" s="113">
        <f>HYPERLINK("https://my.pitchbook.com?c=117236-53", "View company online")</f>
      </c>
    </row>
    <row r="136">
      <c r="A136" s="27" t="inlineStr">
        <is>
          <t>56049-40</t>
        </is>
      </c>
      <c r="B136" s="28" t="inlineStr">
        <is>
          <t>ZeaKal</t>
        </is>
      </c>
      <c r="C136" s="29" t="inlineStr">
        <is>
          <t>92121</t>
        </is>
      </c>
      <c r="D136" s="30" t="inlineStr">
        <is>
          <t>Provider of genetically improved row crops such as corn, soybeans and canola. The company's first generation biotech has vastly improved yields from lower pesticide use.</t>
        </is>
      </c>
      <c r="E136" s="31" t="inlineStr">
        <is>
          <t>Horticulture</t>
        </is>
      </c>
      <c r="F136" s="32" t="inlineStr">
        <is>
          <t>San Diego, CA</t>
        </is>
      </c>
      <c r="G136" s="33" t="inlineStr">
        <is>
          <t>Privately Held (backing)</t>
        </is>
      </c>
      <c r="H136" s="34" t="inlineStr">
        <is>
          <t>Venture Capital-Backed</t>
        </is>
      </c>
      <c r="I136" s="35" t="inlineStr">
        <is>
          <t>Finistere Ventures, Individual Investor, Kapyon Ventures, Middleland Capital, Missouri Soybean Merchandising Council, Two Oceans</t>
        </is>
      </c>
      <c r="J136" s="36" t="inlineStr">
        <is>
          <t>www.zeakal.com</t>
        </is>
      </c>
      <c r="K136" s="37" t="inlineStr">
        <is>
          <t/>
        </is>
      </c>
      <c r="L136" s="38" t="inlineStr">
        <is>
          <t/>
        </is>
      </c>
      <c r="M136" s="39" t="inlineStr">
        <is>
          <t>Greg Bryan</t>
        </is>
      </c>
      <c r="N136" s="40" t="inlineStr">
        <is>
          <t>Chief Technology Officer</t>
        </is>
      </c>
      <c r="O136" s="41" t="inlineStr">
        <is>
          <t/>
        </is>
      </c>
      <c r="P136" s="42" t="inlineStr">
        <is>
          <t/>
        </is>
      </c>
      <c r="Q136" s="43" t="n">
        <v>2010.0</v>
      </c>
      <c r="R136" s="114">
        <f>HYPERLINK("https://my.pitchbook.com?c=56049-40", "View company online")</f>
      </c>
    </row>
    <row r="137">
      <c r="A137" s="9" t="inlineStr">
        <is>
          <t>51158-08</t>
        </is>
      </c>
      <c r="B137" s="10" t="inlineStr">
        <is>
          <t>ZeaChem</t>
        </is>
      </c>
      <c r="C137" s="11" t="inlineStr">
        <is>
          <t>97818</t>
        </is>
      </c>
      <c r="D137" s="12" t="inlineStr">
        <is>
          <t>Developer of a cellulose-based bio-refinery platform designed to produce advanced ethanol, fuels and chemicals. The company's cellulose-based bio-refinery platform develops acetic acid and ethyl acetate which are intermediate chemicals for applications in paints, lacquers and consumer goods, enabling businesses to avail high quality chemicals at a reasonable rate.</t>
        </is>
      </c>
      <c r="E137" s="13" t="inlineStr">
        <is>
          <t>Industrial Chemicals</t>
        </is>
      </c>
      <c r="F137" s="14" t="inlineStr">
        <is>
          <t>Irrigon, OR</t>
        </is>
      </c>
      <c r="G137" s="15" t="inlineStr">
        <is>
          <t>Privately Held (backing)</t>
        </is>
      </c>
      <c r="H137" s="16" t="inlineStr">
        <is>
          <t>Venture Capital-Backed</t>
        </is>
      </c>
      <c r="I137" s="17" t="inlineStr">
        <is>
          <t>Birchmere Ventures, Firelake Capital Management, Globespan Capital Partners, ITOCHU, Leaf Resources(Aus), Macquarie Asset Management, McGowan Capital Group, Mohr Davidow Ventures, Pinnacle Ventures, PrairieGold Venture Partners, Spring Ventures, Sustainable Conversion Ventures, U.S. Department of Energy, Ullas Naik, United States Department of Agriculture, Valero Energy, Western Technology Investment</t>
        </is>
      </c>
      <c r="J137" s="18" t="inlineStr">
        <is>
          <t>www.zeachem.com</t>
        </is>
      </c>
      <c r="K137" s="19" t="inlineStr">
        <is>
          <t>info@zeachem.com</t>
        </is>
      </c>
      <c r="L137" s="20" t="inlineStr">
        <is>
          <t>+1 (541) 481-2789</t>
        </is>
      </c>
      <c r="M137" s="21" t="inlineStr">
        <is>
          <t>Tim Eggeman</t>
        </is>
      </c>
      <c r="N137" s="22" t="inlineStr">
        <is>
          <t>Co-Founder, Chief Executive Officer &amp; Board Member</t>
        </is>
      </c>
      <c r="O137" s="23" t="inlineStr">
        <is>
          <t>time@zeachem.com</t>
        </is>
      </c>
      <c r="P137" s="24" t="inlineStr">
        <is>
          <t>+1 (303) 279-7045</t>
        </is>
      </c>
      <c r="Q137" s="25" t="n">
        <v>2002.0</v>
      </c>
      <c r="R137" s="113">
        <f>HYPERLINK("https://my.pitchbook.com?c=51158-08", "View company online")</f>
      </c>
    </row>
    <row r="138">
      <c r="A138" s="27" t="inlineStr">
        <is>
          <t>148294-72</t>
        </is>
      </c>
      <c r="B138" s="28" t="inlineStr">
        <is>
          <t>ZCash</t>
        </is>
      </c>
      <c r="C138" s="29" t="inlineStr">
        <is>
          <t/>
        </is>
      </c>
      <c r="D138" s="30" t="inlineStr">
        <is>
          <t>Developer of bitcoin technologies designed to set a new standard for privacy through the use of groundbreaking cryptography. The company's bitcoin technologies are used to develop cryptocurrency for anonymous transactions of electronic cash and private payments, enabling consumers for safer transactions.</t>
        </is>
      </c>
      <c r="E138" s="31" t="inlineStr">
        <is>
          <t>Financial Software</t>
        </is>
      </c>
      <c r="F138" s="32" t="inlineStr">
        <is>
          <t>Oakland, CA</t>
        </is>
      </c>
      <c r="G138" s="33" t="inlineStr">
        <is>
          <t>Privately Held (backing)</t>
        </is>
      </c>
      <c r="H138" s="34" t="inlineStr">
        <is>
          <t>Venture Capital-Backed</t>
        </is>
      </c>
      <c r="I138" s="35" t="inlineStr">
        <is>
          <t>Aaron Grieshaber, Adam Ludwin, Alan Fairless, Barry Silbert, Ben Davenport, Branson Bollinger, Brian Cartmell, Charles Songhurst, Charles Songhurst, David Chuen, David Dacus, Devon Gundry, Digital Currency Group, Erik Voorhees, Evolve VC, Fenbushi Capital, Fred Ehrsam, James Nicholas, Jonathan Perlow, London Trust Media, Maple Ventures, Naval Ravikant, Niraj Mehta, Pantera Capital, Paul Veradittakit, Roger Ver, Rop Gonggrijp, Ryan Smith, Sebastian Serrano, ShapeShift, Vlad Zamfir, Xiaolai Li</t>
        </is>
      </c>
      <c r="J138" s="36" t="inlineStr">
        <is>
          <t>www.zerocoin.org</t>
        </is>
      </c>
      <c r="K138" s="37" t="inlineStr">
        <is>
          <t>info@z.cash</t>
        </is>
      </c>
      <c r="L138" s="38" t="inlineStr">
        <is>
          <t/>
        </is>
      </c>
      <c r="M138" s="39" t="inlineStr">
        <is>
          <t>Zooko Wilcox-O'Hearn</t>
        </is>
      </c>
      <c r="N138" s="40" t="inlineStr">
        <is>
          <t>Co-Founder and Chief Executive Officer</t>
        </is>
      </c>
      <c r="O138" s="41" t="inlineStr">
        <is>
          <t>zooko@z.cash</t>
        </is>
      </c>
      <c r="P138" s="42" t="inlineStr">
        <is>
          <t/>
        </is>
      </c>
      <c r="Q138" s="43" t="inlineStr">
        <is>
          <t/>
        </is>
      </c>
      <c r="R138" s="114">
        <f>HYPERLINK("https://my.pitchbook.com?c=148294-72", "View company online")</f>
      </c>
    </row>
    <row r="139">
      <c r="A139" s="9" t="inlineStr">
        <is>
          <t>42212-98</t>
        </is>
      </c>
      <c r="B139" s="10" t="inlineStr">
        <is>
          <t>Zazzle</t>
        </is>
      </c>
      <c r="C139" s="11" t="inlineStr">
        <is>
          <t>94063</t>
        </is>
      </c>
      <c r="D139" s="12" t="inlineStr">
        <is>
          <t>Provider a platform for marketplace custom products. The company's proprietary technology enables individuals, professional artists and brands to create and offer a range of products for customers in various categories, including accessories, art and posters, cards and postage, clothing and miscellaneous products.</t>
        </is>
      </c>
      <c r="E139" s="13" t="inlineStr">
        <is>
          <t>Internet Retail</t>
        </is>
      </c>
      <c r="F139" s="14" t="inlineStr">
        <is>
          <t>Redwood City, CA</t>
        </is>
      </c>
      <c r="G139" s="15" t="inlineStr">
        <is>
          <t>Privately Held (backing)</t>
        </is>
      </c>
      <c r="H139" s="16" t="inlineStr">
        <is>
          <t>Venture Capital-Backed</t>
        </is>
      </c>
      <c r="I139" s="17" t="inlineStr">
        <is>
          <t>Andreessen Horowitz, Kleiner Perkins Caufield &amp; Byers, Northgate Capital, Pinnacle Ventures, Recruit Strategic Partners, Saints Capital, Sherpalo Ventures, Trans Cosmos USA</t>
        </is>
      </c>
      <c r="J139" s="18" t="inlineStr">
        <is>
          <t>www.zazzle.com</t>
        </is>
      </c>
      <c r="K139" s="19" t="inlineStr">
        <is>
          <t/>
        </is>
      </c>
      <c r="L139" s="20" t="inlineStr">
        <is>
          <t>+1 (650) 853-0100</t>
        </is>
      </c>
      <c r="M139" s="21" t="inlineStr">
        <is>
          <t>Robert Beaver</t>
        </is>
      </c>
      <c r="N139" s="22" t="inlineStr">
        <is>
          <t>Co-Founder, Chief Executive Officer, Chairman &amp; President</t>
        </is>
      </c>
      <c r="O139" s="23" t="inlineStr">
        <is>
          <t>robert.beaver@zazzle.com</t>
        </is>
      </c>
      <c r="P139" s="24" t="inlineStr">
        <is>
          <t>+1 (650) 853-0100</t>
        </is>
      </c>
      <c r="Q139" s="25" t="n">
        <v>2005.0</v>
      </c>
      <c r="R139" s="113">
        <f>HYPERLINK("https://my.pitchbook.com?c=42212-98", "View company online")</f>
      </c>
    </row>
    <row r="140">
      <c r="A140" s="27" t="inlineStr">
        <is>
          <t>118617-40</t>
        </is>
      </c>
      <c r="B140" s="28" t="inlineStr">
        <is>
          <t>Zavante Therapeutics</t>
        </is>
      </c>
      <c r="C140" s="29" t="inlineStr">
        <is>
          <t>92121</t>
        </is>
      </c>
      <c r="D140" s="30" t="inlineStr">
        <is>
          <t>Developer of biopharmaceutical therapies to treat multi-drug resistant bacteria. The company is developing and plans to commercialize injectable antibiotics to combat life threatening diseases caused by drug resistant bacteria with minimal medical options available.</t>
        </is>
      </c>
      <c r="E140" s="31" t="inlineStr">
        <is>
          <t>Biotechnology</t>
        </is>
      </c>
      <c r="F140" s="32" t="inlineStr">
        <is>
          <t>San Diego, CA</t>
        </is>
      </c>
      <c r="G140" s="33" t="inlineStr">
        <is>
          <t>Privately Held (backing)</t>
        </is>
      </c>
      <c r="H140" s="34" t="inlineStr">
        <is>
          <t>Venture Capital-Backed</t>
        </is>
      </c>
      <c r="I140" s="35" t="inlineStr">
        <is>
          <t>Aisling Capital, Frazier Healthcare Partners, Longitude Capital</t>
        </is>
      </c>
      <c r="J140" s="36" t="inlineStr">
        <is>
          <t>www.zavante.com</t>
        </is>
      </c>
      <c r="K140" s="37" t="inlineStr">
        <is>
          <t/>
        </is>
      </c>
      <c r="L140" s="38" t="inlineStr">
        <is>
          <t>+1 (858) 705-2365</t>
        </is>
      </c>
      <c r="M140" s="39" t="inlineStr">
        <is>
          <t>Theodore Schroeder</t>
        </is>
      </c>
      <c r="N140" s="40" t="inlineStr">
        <is>
          <t>Co-Founder, Chief Executive Officer, President &amp; Board Member</t>
        </is>
      </c>
      <c r="O140" s="41" t="inlineStr">
        <is>
          <t>ted@zavantetherapeutics.com</t>
        </is>
      </c>
      <c r="P140" s="42" t="inlineStr">
        <is>
          <t>+1 (858) 705-2365</t>
        </is>
      </c>
      <c r="Q140" s="43" t="n">
        <v>2014.0</v>
      </c>
      <c r="R140" s="114">
        <f>HYPERLINK("https://my.pitchbook.com?c=118617-40", "View company online")</f>
      </c>
    </row>
    <row r="141">
      <c r="A141" s="9" t="inlineStr">
        <is>
          <t>158710-33</t>
        </is>
      </c>
      <c r="B141" s="10" t="inlineStr">
        <is>
          <t>Zarget</t>
        </is>
      </c>
      <c r="C141" s="11" t="inlineStr">
        <is>
          <t>91789</t>
        </is>
      </c>
      <c r="D141" s="12" t="inlineStr">
        <is>
          <t>Developer of conversion rate-optimization software. The company provides a conversion rate optimization tool that can be used by marketers, product managers and Web designers for heat-mapping, funnel analysis, A/B testing, split URL testing, live data reporting, and website optimization.</t>
        </is>
      </c>
      <c r="E141" s="13" t="inlineStr">
        <is>
          <t>Business/Productivity Software</t>
        </is>
      </c>
      <c r="F141" s="14" t="inlineStr">
        <is>
          <t>Walnut, CA</t>
        </is>
      </c>
      <c r="G141" s="15" t="inlineStr">
        <is>
          <t>Privately Held (backing)</t>
        </is>
      </c>
      <c r="H141" s="16" t="inlineStr">
        <is>
          <t>Venture Capital-Backed</t>
        </is>
      </c>
      <c r="I141" s="17" t="inlineStr">
        <is>
          <t>Accel, Girish Mathrubootham, Matrix Partners India, Sequoia Capital India</t>
        </is>
      </c>
      <c r="J141" s="18" t="inlineStr">
        <is>
          <t>www.zarget.com</t>
        </is>
      </c>
      <c r="K141" s="19" t="inlineStr">
        <is>
          <t/>
        </is>
      </c>
      <c r="L141" s="20" t="inlineStr">
        <is>
          <t>+1 (866) 282-1591</t>
        </is>
      </c>
      <c r="M141" s="21" t="inlineStr">
        <is>
          <t>Arvind Parthiban</t>
        </is>
      </c>
      <c r="N141" s="22" t="inlineStr">
        <is>
          <t>Chief Executive Officer &amp; Co-Founder</t>
        </is>
      </c>
      <c r="O141" s="23" t="inlineStr">
        <is>
          <t>arvind@zarget.com</t>
        </is>
      </c>
      <c r="P141" s="24" t="inlineStr">
        <is>
          <t>+1 (866) 282-1591</t>
        </is>
      </c>
      <c r="Q141" s="25" t="n">
        <v>2015.0</v>
      </c>
      <c r="R141" s="113">
        <f>HYPERLINK("https://my.pitchbook.com?c=158710-33", "View company online")</f>
      </c>
    </row>
    <row r="142">
      <c r="A142" s="27" t="inlineStr">
        <is>
          <t>104831-74</t>
        </is>
      </c>
      <c r="B142" s="28" t="inlineStr">
        <is>
          <t>Zapty</t>
        </is>
      </c>
      <c r="C142" s="29" t="inlineStr">
        <is>
          <t>94115</t>
        </is>
      </c>
      <c r="D142" s="30" t="inlineStr">
        <is>
          <t>Developer of an online teamwork and project collaboration tool designed to offer seamless collaboration, discussion and document sharing facilities. The company's online teamwork and project collaboration tool helps to maintain personal to-dos, workflows, combines conversations and task management such that users are able to collaborate in real-time including Hangouts for video conferencing, along with central inbox where all activities and feeds are collected and shown, enabling users to organize and track the completion of tasks and projects.</t>
        </is>
      </c>
      <c r="E142" s="31" t="inlineStr">
        <is>
          <t>Automation/Workflow Software</t>
        </is>
      </c>
      <c r="F142" s="32" t="inlineStr">
        <is>
          <t>San Francisco, CA</t>
        </is>
      </c>
      <c r="G142" s="33" t="inlineStr">
        <is>
          <t>Privately Held (backing)</t>
        </is>
      </c>
      <c r="H142" s="34" t="inlineStr">
        <is>
          <t>Venture Capital-Backed</t>
        </is>
      </c>
      <c r="I142" s="35" t="inlineStr">
        <is>
          <t>Ideaspring Capital, Kyron Global Accelerator, Manav Garg</t>
        </is>
      </c>
      <c r="J142" s="36" t="inlineStr">
        <is>
          <t>www.zapty.com</t>
        </is>
      </c>
      <c r="K142" s="37" t="inlineStr">
        <is>
          <t>info@zapty.com</t>
        </is>
      </c>
      <c r="L142" s="38" t="inlineStr">
        <is>
          <t>+1 (415) 830-4595</t>
        </is>
      </c>
      <c r="M142" s="39" t="inlineStr">
        <is>
          <t>Arvind Agarwal</t>
        </is>
      </c>
      <c r="N142" s="40" t="inlineStr">
        <is>
          <t>Co-Founder, Chief Executive Officer &amp; Board Member</t>
        </is>
      </c>
      <c r="O142" s="41" t="inlineStr">
        <is>
          <t>arvind@zapty.com</t>
        </is>
      </c>
      <c r="P142" s="42" t="inlineStr">
        <is>
          <t>+1 (415) 830-4595</t>
        </is>
      </c>
      <c r="Q142" s="43" t="n">
        <v>2014.0</v>
      </c>
      <c r="R142" s="114">
        <f>HYPERLINK("https://my.pitchbook.com?c=104831-74", "View company online")</f>
      </c>
    </row>
    <row r="143">
      <c r="A143" s="9" t="inlineStr">
        <is>
          <t>57243-79</t>
        </is>
      </c>
      <c r="B143" s="10" t="inlineStr">
        <is>
          <t>Zappar</t>
        </is>
      </c>
      <c r="C143" s="11" t="inlineStr">
        <is>
          <t>W4 4PH</t>
        </is>
      </c>
      <c r="D143" s="12" t="inlineStr">
        <is>
          <t>Developer of an augmented reality application created to empower businesses and creatives to build best-in-class augmented reality experiences. The company's online self-service system, ZapWorks offers a set of augmented reality (AR) tools to suit different skill levels, enabling users to design and curate their own AR experiences in a matter of minutes.</t>
        </is>
      </c>
      <c r="E143" s="13" t="inlineStr">
        <is>
          <t>Application Software</t>
        </is>
      </c>
      <c r="F143" s="14" t="inlineStr">
        <is>
          <t>London, United Kingdom</t>
        </is>
      </c>
      <c r="G143" s="15" t="inlineStr">
        <is>
          <t>Privately Held (backing)</t>
        </is>
      </c>
      <c r="H143" s="16" t="inlineStr">
        <is>
          <t>Venture Capital-Backed</t>
        </is>
      </c>
      <c r="I143" s="17" t="inlineStr">
        <is>
          <t>Chrysalis VCT, Hargreave Hale, iDreamSky Technology, Milamber Ventures, You &amp; Mr Jones Brandtech Ventures</t>
        </is>
      </c>
      <c r="J143" s="18" t="inlineStr">
        <is>
          <t>www.zappar.com</t>
        </is>
      </c>
      <c r="K143" s="19" t="inlineStr">
        <is>
          <t>contact@zappar.com</t>
        </is>
      </c>
      <c r="L143" s="20" t="inlineStr">
        <is>
          <t/>
        </is>
      </c>
      <c r="M143" s="21" t="inlineStr">
        <is>
          <t>Jens Caspar Thykier</t>
        </is>
      </c>
      <c r="N143" s="22" t="inlineStr">
        <is>
          <t>Co-Founder, Board Member &amp; Chief Executive Officer</t>
        </is>
      </c>
      <c r="O143" s="23" t="inlineStr">
        <is>
          <t>caspar@zappar.com</t>
        </is>
      </c>
      <c r="P143" s="24" t="inlineStr">
        <is>
          <t/>
        </is>
      </c>
      <c r="Q143" s="25" t="n">
        <v>2011.0</v>
      </c>
      <c r="R143" s="113">
        <f>HYPERLINK("https://my.pitchbook.com?c=57243-79", "View company online")</f>
      </c>
    </row>
    <row r="144">
      <c r="A144" s="27" t="inlineStr">
        <is>
          <t>55509-31</t>
        </is>
      </c>
      <c r="B144" s="28" t="inlineStr">
        <is>
          <t>Zapier</t>
        </is>
      </c>
      <c r="C144" s="29" t="inlineStr">
        <is>
          <t>94086</t>
        </is>
      </c>
      <c r="D144" s="30" t="inlineStr">
        <is>
          <t>Provider of web interface for non technical users to create custom integrations between web applications. The company develops a platform which helps to sync data between web applications.</t>
        </is>
      </c>
      <c r="E144" s="31" t="inlineStr">
        <is>
          <t>Business/Productivity Software</t>
        </is>
      </c>
      <c r="F144" s="32" t="inlineStr">
        <is>
          <t>Sunnyvale, CA</t>
        </is>
      </c>
      <c r="G144" s="33" t="inlineStr">
        <is>
          <t>Privately Held (backing)</t>
        </is>
      </c>
      <c r="H144" s="34" t="inlineStr">
        <is>
          <t>Venture Capital-Backed</t>
        </is>
      </c>
      <c r="I144" s="35" t="inlineStr">
        <is>
          <t>Adventur.es, Bessemer Venture Partners, Draper Fisher Jurvetson, Individual Investor, Kevin Hale, Michael Liou, Y Combinator</t>
        </is>
      </c>
      <c r="J144" s="36" t="inlineStr">
        <is>
          <t>www.zapier.com</t>
        </is>
      </c>
      <c r="K144" s="37" t="inlineStr">
        <is>
          <t>contact@zapier.com</t>
        </is>
      </c>
      <c r="L144" s="38" t="inlineStr">
        <is>
          <t>+1 (877) 381-8743</t>
        </is>
      </c>
      <c r="M144" s="39" t="inlineStr">
        <is>
          <t>Bryan Helmig</t>
        </is>
      </c>
      <c r="N144" s="40" t="inlineStr">
        <is>
          <t>Co-Founder &amp; Chief Technology Officer</t>
        </is>
      </c>
      <c r="O144" s="41" t="inlineStr">
        <is>
          <t>bryan@zapier.com</t>
        </is>
      </c>
      <c r="P144" s="42" t="inlineStr">
        <is>
          <t>+1 (877) 381-8743</t>
        </is>
      </c>
      <c r="Q144" s="43" t="n">
        <v>2011.0</v>
      </c>
      <c r="R144" s="114">
        <f>HYPERLINK("https://my.pitchbook.com?c=55509-31", "View company online")</f>
      </c>
    </row>
    <row r="145">
      <c r="A145" s="9" t="inlineStr">
        <is>
          <t>172260-91</t>
        </is>
      </c>
      <c r="B145" s="10" t="inlineStr">
        <is>
          <t>ZapFraud</t>
        </is>
      </c>
      <c r="C145" s="11" t="inlineStr">
        <is>
          <t>94028</t>
        </is>
      </c>
      <c r="D145" s="12" t="inlineStr">
        <is>
          <t>Provider of structural deception analysis tools designed to identify likely spoof, automatically verifying high-risk emails with senders. The company's structural deception analysis tools detects and defends the user's business email from fraud attacks, protects business assets from deception and fraud, enabling the client to provide defense for employee emails against social engineering fraud.</t>
        </is>
      </c>
      <c r="E145" s="13" t="inlineStr">
        <is>
          <t>Network Management Software</t>
        </is>
      </c>
      <c r="F145" s="14" t="inlineStr">
        <is>
          <t>Portola Valley, CA</t>
        </is>
      </c>
      <c r="G145" s="15" t="inlineStr">
        <is>
          <t>Privately Held (backing)</t>
        </is>
      </c>
      <c r="H145" s="16" t="inlineStr">
        <is>
          <t>Venture Capital-Backed</t>
        </is>
      </c>
      <c r="I145" s="17" t="inlineStr">
        <is>
          <t>SV Tech Ventures</t>
        </is>
      </c>
      <c r="J145" s="18" t="inlineStr">
        <is>
          <t>www.zapfraud.com</t>
        </is>
      </c>
      <c r="K145" s="19" t="inlineStr">
        <is>
          <t>info@zapfraud.com</t>
        </is>
      </c>
      <c r="L145" s="20" t="inlineStr">
        <is>
          <t/>
        </is>
      </c>
      <c r="M145" s="21" t="inlineStr">
        <is>
          <t>Aaron Emigh</t>
        </is>
      </c>
      <c r="N145" s="22" t="inlineStr">
        <is>
          <t>Interim Chief Executive Officer</t>
        </is>
      </c>
      <c r="O145" s="23" t="inlineStr">
        <is>
          <t/>
        </is>
      </c>
      <c r="P145" s="24" t="inlineStr">
        <is>
          <t/>
        </is>
      </c>
      <c r="Q145" s="25" t="n">
        <v>2014.0</v>
      </c>
      <c r="R145" s="113">
        <f>HYPERLINK("https://my.pitchbook.com?c=172260-91", "View company online")</f>
      </c>
    </row>
    <row r="146">
      <c r="A146" s="27" t="inlineStr">
        <is>
          <t>173074-51</t>
        </is>
      </c>
      <c r="B146" s="28" t="inlineStr">
        <is>
          <t>Zapflow</t>
        </is>
      </c>
      <c r="C146" s="29" t="inlineStr">
        <is>
          <t>02600</t>
        </is>
      </c>
      <c r="D146" s="30" t="inlineStr">
        <is>
          <t>Provider of an online deal flow management platform intended to keep track of incoming deals of its various clients. The company's online platform supports decision making with a shared dashboard and forwards further information for potential investment targets through a cloud database, enabling investment professionals to save time and make optimal decisions about funding.</t>
        </is>
      </c>
      <c r="E146" s="31" t="inlineStr">
        <is>
          <t>Database Software</t>
        </is>
      </c>
      <c r="F146" s="32" t="inlineStr">
        <is>
          <t>Espoo, Finland</t>
        </is>
      </c>
      <c r="G146" s="33" t="inlineStr">
        <is>
          <t>Privately Held (backing)</t>
        </is>
      </c>
      <c r="H146" s="34" t="inlineStr">
        <is>
          <t>Venture Capital-Backed</t>
        </is>
      </c>
      <c r="I146" s="35" t="inlineStr">
        <is>
          <t>Gorilla Ventures, Winter Backwoods</t>
        </is>
      </c>
      <c r="J146" s="36" t="inlineStr">
        <is>
          <t>www.zapflow.com</t>
        </is>
      </c>
      <c r="K146" s="37" t="inlineStr">
        <is>
          <t/>
        </is>
      </c>
      <c r="L146" s="38" t="inlineStr">
        <is>
          <t>+358 (0)50 556 0940</t>
        </is>
      </c>
      <c r="M146" s="39" t="inlineStr">
        <is>
          <t>Mikko Pirinen</t>
        </is>
      </c>
      <c r="N146" s="40" t="inlineStr">
        <is>
          <t>Co-Founder &amp; Chairman</t>
        </is>
      </c>
      <c r="O146" s="41" t="inlineStr">
        <is>
          <t>mikko@zapflow.com</t>
        </is>
      </c>
      <c r="P146" s="42" t="inlineStr">
        <is>
          <t>+358 (0)50 556 0940</t>
        </is>
      </c>
      <c r="Q146" s="43" t="n">
        <v>2016.0</v>
      </c>
      <c r="R146" s="114">
        <f>HYPERLINK("https://my.pitchbook.com?c=173074-51", "View company online")</f>
      </c>
    </row>
    <row r="147">
      <c r="A147" s="9" t="inlineStr">
        <is>
          <t>54093-61</t>
        </is>
      </c>
      <c r="B147" s="10" t="inlineStr">
        <is>
          <t>Zanbato</t>
        </is>
      </c>
      <c r="C147" s="11" t="inlineStr">
        <is>
          <t>94043</t>
        </is>
      </c>
      <c r="D147" s="12" t="inlineStr">
        <is>
          <t>Provider of an online marketplace designed to connect buyers and sellers of infrastructure investments and projects. The company's marketplace offers an integrated solution for private placement origination, distribution, due diligence, execution, and compliance, enabling investors to access a selection of fund managers rigorously screened for relevance to peer-identified criteria.</t>
        </is>
      </c>
      <c r="E147" s="13" t="inlineStr">
        <is>
          <t>Information Services (B2C)</t>
        </is>
      </c>
      <c r="F147" s="14" t="inlineStr">
        <is>
          <t>Mountain View, CA</t>
        </is>
      </c>
      <c r="G147" s="15" t="inlineStr">
        <is>
          <t>Privately Held (backing)</t>
        </is>
      </c>
      <c r="H147" s="16" t="inlineStr">
        <is>
          <t>Venture Capital-Backed</t>
        </is>
      </c>
      <c r="I147" s="17" t="inlineStr">
        <is>
          <t>Alberta Investment Management, Apartment Investment and Management (17 Multifamily Properties), Blumberg Capital, Euromoney Institutional Investor, Formation 8, Individual Investor, Silicon Valley Association of Startup Entrepreneurs, SparkLabs Global Ventures, Sway Ventures, Webb Investment Network</t>
        </is>
      </c>
      <c r="J147" s="18" t="inlineStr">
        <is>
          <t>www.zanbato.com</t>
        </is>
      </c>
      <c r="K147" s="19" t="inlineStr">
        <is>
          <t>info@zanbato.com</t>
        </is>
      </c>
      <c r="L147" s="20" t="inlineStr">
        <is>
          <t>+1 (650) 557-2333</t>
        </is>
      </c>
      <c r="M147" s="21" t="inlineStr">
        <is>
          <t>Knut Nicolai Sand</t>
        </is>
      </c>
      <c r="N147" s="22" t="inlineStr">
        <is>
          <t>Co-Founder, Chief Executive Officer &amp; Board Member</t>
        </is>
      </c>
      <c r="O147" s="23" t="inlineStr">
        <is>
          <t>nico@zanbato.com</t>
        </is>
      </c>
      <c r="P147" s="24" t="inlineStr">
        <is>
          <t>+1 (650) 557-2333</t>
        </is>
      </c>
      <c r="Q147" s="25" t="n">
        <v>2010.0</v>
      </c>
      <c r="R147" s="113">
        <f>HYPERLINK("https://my.pitchbook.com?c=54093-61", "View company online")</f>
      </c>
    </row>
    <row r="148">
      <c r="A148" s="27" t="inlineStr">
        <is>
          <t>112695-67</t>
        </is>
      </c>
      <c r="B148" s="28" t="inlineStr">
        <is>
          <t>Zami Life</t>
        </is>
      </c>
      <c r="C148" s="29" t="inlineStr">
        <is>
          <t>94107</t>
        </is>
      </c>
      <c r="D148" s="30" t="inlineStr">
        <is>
          <t>Developer of designed stools created to offer better posture. The company's designed stools gives optimal curve for spine, enabling users to enhance posture, core stability and circulation.</t>
        </is>
      </c>
      <c r="E148" s="31" t="inlineStr">
        <is>
          <t>Other Healthcare</t>
        </is>
      </c>
      <c r="F148" s="32" t="inlineStr">
        <is>
          <t>San Francisco, CA</t>
        </is>
      </c>
      <c r="G148" s="33" t="inlineStr">
        <is>
          <t>Privately Held (backing)</t>
        </is>
      </c>
      <c r="H148" s="34" t="inlineStr">
        <is>
          <t>Venture Capital-Backed</t>
        </is>
      </c>
      <c r="I148" s="35" t="inlineStr">
        <is>
          <t>AllMobile Fund</t>
        </is>
      </c>
      <c r="J148" s="36" t="inlineStr">
        <is>
          <t>www.zamilife.com</t>
        </is>
      </c>
      <c r="K148" s="37" t="inlineStr">
        <is>
          <t>info@zamilife.com</t>
        </is>
      </c>
      <c r="L148" s="38" t="inlineStr">
        <is>
          <t/>
        </is>
      </c>
      <c r="M148" s="39" t="inlineStr">
        <is>
          <t>Piet Loon</t>
        </is>
      </c>
      <c r="N148" s="40" t="inlineStr">
        <is>
          <t>Chief Medical Officer, Orthopedic Surgeon &amp; Co-Founder</t>
        </is>
      </c>
      <c r="O148" s="41" t="inlineStr">
        <is>
          <t>pvanloon@zamilife.com</t>
        </is>
      </c>
      <c r="P148" s="42" t="inlineStr">
        <is>
          <t>+31 (0)62 951 1689</t>
        </is>
      </c>
      <c r="Q148" s="43" t="n">
        <v>2014.0</v>
      </c>
      <c r="R148" s="114">
        <f>HYPERLINK("https://my.pitchbook.com?c=112695-67", "View company online")</f>
      </c>
    </row>
    <row r="149">
      <c r="A149" s="9" t="inlineStr">
        <is>
          <t>103738-42</t>
        </is>
      </c>
      <c r="B149" s="10" t="inlineStr">
        <is>
          <t>Zaloni</t>
        </is>
      </c>
      <c r="C149" s="11" t="inlineStr">
        <is>
          <t>27709</t>
        </is>
      </c>
      <c r="D149" s="12" t="inlineStr">
        <is>
          <t>Provider of enterprise data lake management software and services. The company provides big data and Hadoop based software platforms Bedrock and Mica that helps businesses to mange their data and improves the data visibility, governance and reliability.</t>
        </is>
      </c>
      <c r="E149" s="13" t="inlineStr">
        <is>
          <t>Other IT Services</t>
        </is>
      </c>
      <c r="F149" s="14" t="inlineStr">
        <is>
          <t>Durham, NC</t>
        </is>
      </c>
      <c r="G149" s="15" t="inlineStr">
        <is>
          <t>Privately Held (backing)</t>
        </is>
      </c>
      <c r="H149" s="16" t="inlineStr">
        <is>
          <t>Venture Capital-Backed</t>
        </is>
      </c>
      <c r="I149" s="17" t="inlineStr">
        <is>
          <t>Baird Capital, Sierra Ventures</t>
        </is>
      </c>
      <c r="J149" s="18" t="inlineStr">
        <is>
          <t>www.zaloni.com</t>
        </is>
      </c>
      <c r="K149" s="19" t="inlineStr">
        <is>
          <t>info@zaloni.com</t>
        </is>
      </c>
      <c r="L149" s="20" t="inlineStr">
        <is>
          <t>+1 (919) 323-4050</t>
        </is>
      </c>
      <c r="M149" s="21" t="inlineStr">
        <is>
          <t>Daniel Edelson</t>
        </is>
      </c>
      <c r="N149" s="22" t="inlineStr">
        <is>
          <t>Chief Financial Officer</t>
        </is>
      </c>
      <c r="O149" s="23" t="inlineStr">
        <is>
          <t>dedelson@zaloni.com</t>
        </is>
      </c>
      <c r="P149" s="24" t="inlineStr">
        <is>
          <t>+1 (919) 323-4050</t>
        </is>
      </c>
      <c r="Q149" s="25" t="n">
        <v>2007.0</v>
      </c>
      <c r="R149" s="113">
        <f>HYPERLINK("https://my.pitchbook.com?c=103738-42", "View company online")</f>
      </c>
    </row>
    <row r="150">
      <c r="A150" s="27" t="inlineStr">
        <is>
          <t>54388-54</t>
        </is>
      </c>
      <c r="B150" s="28" t="inlineStr">
        <is>
          <t>Zagster</t>
        </is>
      </c>
      <c r="C150" s="29" t="inlineStr">
        <is>
          <t>02141</t>
        </is>
      </c>
      <c r="D150" s="30" t="inlineStr">
        <is>
          <t>Provider of software tools to develop and launch bike-sharing deployments. The company offers fleet-management software, carbon offset credit software and a mobile application that monitors carbon footprints from various forms of transportation.</t>
        </is>
      </c>
      <c r="E150" s="31" t="inlineStr">
        <is>
          <t>Other Transportation</t>
        </is>
      </c>
      <c r="F150" s="32" t="inlineStr">
        <is>
          <t>Cambridge, MA</t>
        </is>
      </c>
      <c r="G150" s="33" t="inlineStr">
        <is>
          <t>Privately Held (backing)</t>
        </is>
      </c>
      <c r="H150" s="34" t="inlineStr">
        <is>
          <t>Venture Capital-Backed</t>
        </is>
      </c>
      <c r="I150" s="35" t="inlineStr">
        <is>
          <t>Baiada Institute of Entrepreneurship, Bantam Group, Ben Franklin Technology Partners of Southeastern Pennsylvania, Bob Mason, Clean Energy Venture Group, Daniel Gilmartin, David Chang, Doug Hurd, Edison Partners, Fontinalis Partners, Green D Ventures, Investors' Circle, J. Adam Pegues, Jason Henrichs, Jay Batson, Jean Hammond, Joe Caruso, John Landry, Joshua Summers, Katie Rae, Launch Angels, LaunchCapital, Launchpad Venture Group, New Dominion Angels, Otter Consulting, Right Side Capital Management, Semyon Dukach, Stephen Killeen, Steve Kaufmann, Techstars, Walter Doyle, William Herman</t>
        </is>
      </c>
      <c r="J150" s="36" t="inlineStr">
        <is>
          <t>www.zagster.com</t>
        </is>
      </c>
      <c r="K150" s="37" t="inlineStr">
        <is>
          <t/>
        </is>
      </c>
      <c r="L150" s="38" t="inlineStr">
        <is>
          <t>+1 (844) 924-7837</t>
        </is>
      </c>
      <c r="M150" s="39" t="inlineStr">
        <is>
          <t>Timothy Ericson</t>
        </is>
      </c>
      <c r="N150" s="40" t="inlineStr">
        <is>
          <t>Chief Executive Officer &amp; Co-Founder</t>
        </is>
      </c>
      <c r="O150" s="41" t="inlineStr">
        <is>
          <t/>
        </is>
      </c>
      <c r="P150" s="42" t="inlineStr">
        <is>
          <t>+1 (844) 924-7837</t>
        </is>
      </c>
      <c r="Q150" s="43" t="n">
        <v>2007.0</v>
      </c>
      <c r="R150" s="114">
        <f>HYPERLINK("https://my.pitchbook.com?c=54388-54", "View company online")</f>
      </c>
    </row>
    <row r="151">
      <c r="A151" s="9" t="inlineStr">
        <is>
          <t>55436-50</t>
        </is>
      </c>
      <c r="B151" s="10" t="inlineStr">
        <is>
          <t>Zadara Storage</t>
        </is>
      </c>
      <c r="C151" s="11" t="inlineStr">
        <is>
          <t>92618</t>
        </is>
      </c>
      <c r="D151" s="12" t="inlineStr">
        <is>
          <t>Provider of an enterprise class storage platform designed to offer scalable, elastic, cost-effective enterprise storage-as-a-service for public and private cloud. The company's enterprise class storage platform offers Virtual Private Storage Arrays (VSPA), a commodity server and software combo, that combines innovative software with standard hardware to create truly private Cloud storage along with personalized drives, CPUs and memory, enabling businesses to float secure and elastic private cloud storage, with pay per use.</t>
        </is>
      </c>
      <c r="E151" s="13" t="inlineStr">
        <is>
          <t>Network Management Software</t>
        </is>
      </c>
      <c r="F151" s="14" t="inlineStr">
        <is>
          <t>Irvine, CA</t>
        </is>
      </c>
      <c r="G151" s="15" t="inlineStr">
        <is>
          <t>Privately Held (backing)</t>
        </is>
      </c>
      <c r="H151" s="16" t="inlineStr">
        <is>
          <t>Venture Capital-Backed</t>
        </is>
      </c>
      <c r="I151" s="17" t="inlineStr">
        <is>
          <t>Genesis Partners, Platinum Partners, Toshiba</t>
        </is>
      </c>
      <c r="J151" s="18" t="inlineStr">
        <is>
          <t>www.zadarastorage.com</t>
        </is>
      </c>
      <c r="K151" s="19" t="inlineStr">
        <is>
          <t/>
        </is>
      </c>
      <c r="L151" s="20" t="inlineStr">
        <is>
          <t>+1 (949) 251-0360</t>
        </is>
      </c>
      <c r="M151" s="21" t="inlineStr">
        <is>
          <t>Nelson Nahum</t>
        </is>
      </c>
      <c r="N151" s="22" t="inlineStr">
        <is>
          <t>Co-Founder, Chief Executive Officer &amp; Board Member</t>
        </is>
      </c>
      <c r="O151" s="23" t="inlineStr">
        <is>
          <t>nelson@zadarastorage.com</t>
        </is>
      </c>
      <c r="P151" s="24" t="inlineStr">
        <is>
          <t>+1 (949) 251-0360</t>
        </is>
      </c>
      <c r="Q151" s="25" t="n">
        <v>2011.0</v>
      </c>
      <c r="R151" s="113">
        <f>HYPERLINK("https://my.pitchbook.com?c=55436-50", "View company online")</f>
      </c>
    </row>
    <row r="152">
      <c r="A152" s="27" t="inlineStr">
        <is>
          <t>113038-93</t>
        </is>
      </c>
      <c r="B152" s="28" t="inlineStr">
        <is>
          <t>Yup (Mobile Tutoring Service)</t>
        </is>
      </c>
      <c r="C152" s="29" t="inlineStr">
        <is>
          <t>94107</t>
        </is>
      </c>
      <c r="D152" s="30" t="inlineStr">
        <is>
          <t>Provider of mobile tutoring services for high school and college students. The company offers a mobile marketplace enabling students seeking help with their math problems to be matched with tutors who can guide them through the process and teach users how to solve them.</t>
        </is>
      </c>
      <c r="E152" s="31" t="inlineStr">
        <is>
          <t>Educational Software</t>
        </is>
      </c>
      <c r="F152" s="32" t="inlineStr">
        <is>
          <t>San Francisco, CA</t>
        </is>
      </c>
      <c r="G152" s="33" t="inlineStr">
        <is>
          <t>Privately Held (backing)</t>
        </is>
      </c>
      <c r="H152" s="34" t="inlineStr">
        <is>
          <t>Venture Capital-Backed</t>
        </is>
      </c>
      <c r="I152" s="35" t="inlineStr">
        <is>
          <t>Collaborative Fund, Floodgate Fund, Formation 8, HOF Capital (New York), Index Ventures (UK), Rising Tide Fund, Sesame Ventures, Sherpa Capital, Slow Ventures, Soma Capital, StartX</t>
        </is>
      </c>
      <c r="J152" s="36" t="inlineStr">
        <is>
          <t>www.yup.com</t>
        </is>
      </c>
      <c r="K152" s="37" t="inlineStr">
        <is>
          <t>support@yup.com</t>
        </is>
      </c>
      <c r="L152" s="38" t="inlineStr">
        <is>
          <t/>
        </is>
      </c>
      <c r="M152" s="39" t="inlineStr">
        <is>
          <t>Naguib Sawiris</t>
        </is>
      </c>
      <c r="N152" s="40" t="inlineStr">
        <is>
          <t>Founder &amp; Chief Executive Officer</t>
        </is>
      </c>
      <c r="O152" s="41" t="inlineStr">
        <is>
          <t>naguib@mathcrunch.com</t>
        </is>
      </c>
      <c r="P152" s="42" t="inlineStr">
        <is>
          <t/>
        </is>
      </c>
      <c r="Q152" s="43" t="n">
        <v>2014.0</v>
      </c>
      <c r="R152" s="114">
        <f>HYPERLINK("https://my.pitchbook.com?c=113038-93", "View company online")</f>
      </c>
    </row>
    <row r="153">
      <c r="A153" s="9" t="inlineStr">
        <is>
          <t>117642-97</t>
        </is>
      </c>
      <c r="B153" s="10" t="inlineStr">
        <is>
          <t>Yuneec</t>
        </is>
      </c>
      <c r="C153" s="11" t="inlineStr">
        <is>
          <t>24568</t>
        </is>
      </c>
      <c r="D153" s="12" t="inlineStr">
        <is>
          <t>Manufacturer of remote-controlled aircraft designed to conduct aerial photography. The company's remote-controlled aircraft range from manned aircraft, electric drones and audio controlled helicopters to micro-copters, enabling people to capture a broader picture and see live video of places from above.</t>
        </is>
      </c>
      <c r="E153" s="13" t="inlineStr">
        <is>
          <t>Electronics (B2C)</t>
        </is>
      </c>
      <c r="F153" s="14" t="inlineStr">
        <is>
          <t>Kaltenkirchen, Germany</t>
        </is>
      </c>
      <c r="G153" s="15" t="inlineStr">
        <is>
          <t>Privately Held (backing)</t>
        </is>
      </c>
      <c r="H153" s="16" t="inlineStr">
        <is>
          <t>Venture Capital-Backed</t>
        </is>
      </c>
      <c r="I153" s="17" t="inlineStr">
        <is>
          <t>Intel Capital</t>
        </is>
      </c>
      <c r="J153" s="18" t="inlineStr">
        <is>
          <t>us.yuneec.com</t>
        </is>
      </c>
      <c r="K153" s="19" t="inlineStr">
        <is>
          <t>eucs@yuneec.com</t>
        </is>
      </c>
      <c r="L153" s="20" t="inlineStr">
        <is>
          <t>+49 (0)41 9193 2620</t>
        </is>
      </c>
      <c r="M153" s="21" t="inlineStr">
        <is>
          <t>Charles Zhang</t>
        </is>
      </c>
      <c r="N153" s="22" t="inlineStr">
        <is>
          <t>Chief Executive Officer</t>
        </is>
      </c>
      <c r="O153" s="23" t="inlineStr">
        <is>
          <t>charles@yuneec.com</t>
        </is>
      </c>
      <c r="P153" s="24" t="inlineStr">
        <is>
          <t>+49 (0)41 9193 2620</t>
        </is>
      </c>
      <c r="Q153" s="25" t="n">
        <v>1999.0</v>
      </c>
      <c r="R153" s="113">
        <f>HYPERLINK("https://my.pitchbook.com?c=117642-97", "View company online")</f>
      </c>
    </row>
    <row r="154">
      <c r="A154" s="27" t="inlineStr">
        <is>
          <t>51547-24</t>
        </is>
      </c>
      <c r="B154" s="28" t="inlineStr">
        <is>
          <t>Yummly</t>
        </is>
      </c>
      <c r="C154" s="29" t="inlineStr">
        <is>
          <t>94063</t>
        </is>
      </c>
      <c r="D154" s="30" t="inlineStr">
        <is>
          <t>Provider of a digital recipe platform designed to make it easier for foodies to find and share recipes. The company's digital recipe platform uses patented technology and proprietary data to understand food and taste and provides recipe recommendations to handy tools and helpful videos, enabling users to improve life in the kitchen by finding the perfect recipes for every occasion.</t>
        </is>
      </c>
      <c r="E154" s="31" t="inlineStr">
        <is>
          <t>Social/Platform Software</t>
        </is>
      </c>
      <c r="F154" s="32" t="inlineStr">
        <is>
          <t>Redwood City, CA</t>
        </is>
      </c>
      <c r="G154" s="33" t="inlineStr">
        <is>
          <t>Privately Held (backing)</t>
        </is>
      </c>
      <c r="H154" s="34" t="inlineStr">
        <is>
          <t>Venture Capital-Backed</t>
        </is>
      </c>
      <c r="I154" s="35" t="inlineStr">
        <is>
          <t>Bauer Venture Partners, Bessemer Venture Partners, First Round Capital, Harrison Metal Capital, Individual Investor, Intel Capital, Jeffrey Jordan, Joshua Kopelman, Marcia Hooper, Physic Ventures, The Harvard Common Press, Unilever Ventures, William C. Cobb</t>
        </is>
      </c>
      <c r="J154" s="36" t="inlineStr">
        <is>
          <t>www.yummly.com</t>
        </is>
      </c>
      <c r="K154" s="37" t="inlineStr">
        <is>
          <t/>
        </is>
      </c>
      <c r="L154" s="38" t="inlineStr">
        <is>
          <t>+1 (650) 648-3463</t>
        </is>
      </c>
      <c r="M154" s="39" t="inlineStr">
        <is>
          <t>Vadim Geshel</t>
        </is>
      </c>
      <c r="N154" s="40" t="inlineStr">
        <is>
          <t>Co-Founder &amp; Chief Technology Officer</t>
        </is>
      </c>
      <c r="O154" s="41" t="inlineStr">
        <is>
          <t>vadim.geshel@yummly.com</t>
        </is>
      </c>
      <c r="P154" s="42" t="inlineStr">
        <is>
          <t>+1 (650) 648-3463</t>
        </is>
      </c>
      <c r="Q154" s="43" t="n">
        <v>2009.0</v>
      </c>
      <c r="R154" s="114">
        <f>HYPERLINK("https://my.pitchbook.com?c=51547-24", "View company online")</f>
      </c>
    </row>
    <row r="155">
      <c r="A155" s="9" t="inlineStr">
        <is>
          <t>51687-91</t>
        </is>
      </c>
      <c r="B155" s="10" t="inlineStr">
        <is>
          <t>Yulex</t>
        </is>
      </c>
      <c r="C155" s="11" t="inlineStr">
        <is>
          <t>85040</t>
        </is>
      </c>
      <c r="D155" s="12" t="inlineStr">
        <is>
          <t>Developer of guayule-based natural rubber emulsions for a range of markets and applications. The company offers industrial products, such as green energy for electrical power and biofuels and biomaterials, such as rubber and resin, renewable construction materials, and specialty chemicals. Its products have applications in apparel, consumer, dental, energy, industrial, inks and paints, medical and sexual health, personal care and sealants and adhesives markets.</t>
        </is>
      </c>
      <c r="E155" s="13" t="inlineStr">
        <is>
          <t>Industrial Chemicals</t>
        </is>
      </c>
      <c r="F155" s="14" t="inlineStr">
        <is>
          <t>Phoenix, AZ</t>
        </is>
      </c>
      <c r="G155" s="15" t="inlineStr">
        <is>
          <t>Privately Held (backing)</t>
        </is>
      </c>
      <c r="H155" s="16" t="inlineStr">
        <is>
          <t>Venture Capital-Backed</t>
        </is>
      </c>
      <c r="I155" s="17" t="inlineStr">
        <is>
          <t>Ansell, Argonaut Private Equity, U.S. Department of Energy, United States Department of Agriculture</t>
        </is>
      </c>
      <c r="J155" s="18" t="inlineStr">
        <is>
          <t>www.yulex.com</t>
        </is>
      </c>
      <c r="K155" s="19" t="inlineStr">
        <is>
          <t/>
        </is>
      </c>
      <c r="L155" s="20" t="inlineStr">
        <is>
          <t>+1 (888) 310-2202</t>
        </is>
      </c>
      <c r="M155" s="21" t="inlineStr">
        <is>
          <t>Jeffrey Martin</t>
        </is>
      </c>
      <c r="N155" s="22" t="inlineStr">
        <is>
          <t>President, Chief Executive Officer and Board Member</t>
        </is>
      </c>
      <c r="O155" s="23" t="inlineStr">
        <is>
          <t>jmartin@yulex.com</t>
        </is>
      </c>
      <c r="P155" s="24" t="inlineStr">
        <is>
          <t>+1 (888) 310-2202 x858</t>
        </is>
      </c>
      <c r="Q155" s="25" t="n">
        <v>2000.0</v>
      </c>
      <c r="R155" s="113">
        <f>HYPERLINK("https://my.pitchbook.com?c=51687-91", "View company online")</f>
      </c>
    </row>
    <row r="156">
      <c r="A156" s="27" t="inlineStr">
        <is>
          <t>161125-75</t>
        </is>
      </c>
      <c r="B156" s="28" t="inlineStr">
        <is>
          <t>YugaByte</t>
        </is>
      </c>
      <c r="C156" s="29" t="inlineStr">
        <is>
          <t>94024</t>
        </is>
      </c>
      <c r="D156" s="30" t="inlineStr">
        <is>
          <t>Developer and provider of cloud infrastructure services. The company is currently operating under stealth mode and focuses on distributed systems, cloud and devops.</t>
        </is>
      </c>
      <c r="E156" s="31" t="inlineStr">
        <is>
          <t>Application Software</t>
        </is>
      </c>
      <c r="F156" s="32" t="inlineStr">
        <is>
          <t>Los Altos, CA</t>
        </is>
      </c>
      <c r="G156" s="33" t="inlineStr">
        <is>
          <t>Privately Held (backing)</t>
        </is>
      </c>
      <c r="H156" s="34" t="inlineStr">
        <is>
          <t>Venture Capital-Backed</t>
        </is>
      </c>
      <c r="I156" s="35" t="inlineStr">
        <is>
          <t/>
        </is>
      </c>
      <c r="J156" s="36" t="inlineStr">
        <is>
          <t>www.yugabyte.com</t>
        </is>
      </c>
      <c r="K156" s="37" t="inlineStr">
        <is>
          <t/>
        </is>
      </c>
      <c r="L156" s="38" t="inlineStr">
        <is>
          <t/>
        </is>
      </c>
      <c r="M156" s="39" t="inlineStr">
        <is>
          <t>Kannan Muthukkaruppan</t>
        </is>
      </c>
      <c r="N156" s="40" t="inlineStr">
        <is>
          <t>Co-Founder &amp; Chief Executive Officer</t>
        </is>
      </c>
      <c r="O156" s="41" t="inlineStr">
        <is>
          <t>kannan@yugabyte.com</t>
        </is>
      </c>
      <c r="P156" s="42" t="inlineStr">
        <is>
          <t/>
        </is>
      </c>
      <c r="Q156" s="43" t="n">
        <v>2016.0</v>
      </c>
      <c r="R156" s="114">
        <f>HYPERLINK("https://my.pitchbook.com?c=161125-75", "View company online")</f>
      </c>
    </row>
    <row r="157">
      <c r="A157" s="9" t="inlineStr">
        <is>
          <t>57124-90</t>
        </is>
      </c>
      <c r="B157" s="10" t="inlineStr">
        <is>
          <t>Yubico</t>
        </is>
      </c>
      <c r="C157" s="11" t="inlineStr">
        <is>
          <t>94301</t>
        </is>
      </c>
      <c r="D157" s="12" t="inlineStr">
        <is>
          <t>Provider of authentication and encryption hardware designed to make secure online identities truly ubiquitous. The company's products deliver strong hardware protection, with a simple touch, across any number of IT systems and online services as well as provides ultra-portable hardware security module that protects sensitive data inside standard servers, enabling internet users to have one single and secure key for securing access across from any device to any number of services.</t>
        </is>
      </c>
      <c r="E157" s="13" t="inlineStr">
        <is>
          <t>Network Management Software</t>
        </is>
      </c>
      <c r="F157" s="14" t="inlineStr">
        <is>
          <t>Palo Alto, CA</t>
        </is>
      </c>
      <c r="G157" s="15" t="inlineStr">
        <is>
          <t>Privately Held (backing)</t>
        </is>
      </c>
      <c r="H157" s="16" t="inlineStr">
        <is>
          <t>Venture Capital-Backed</t>
        </is>
      </c>
      <c r="I157" s="17" t="inlineStr">
        <is>
          <t>Bure Equity, David Cheriton, Marc Benioff, New Enterprise Associates, Ori Eisen, Provider Venture Partners, Sherpalo Ventures, Simon Josefsson, Stockholm Innovation &amp; Growth, The Valley Fund, Veckans Affärer</t>
        </is>
      </c>
      <c r="J157" s="18" t="inlineStr">
        <is>
          <t>www.yubico.com</t>
        </is>
      </c>
      <c r="K157" s="19" t="inlineStr">
        <is>
          <t>info@yubico.com</t>
        </is>
      </c>
      <c r="L157" s="20" t="inlineStr">
        <is>
          <t>+1 (650) 285-0088</t>
        </is>
      </c>
      <c r="M157" s="21" t="inlineStr">
        <is>
          <t>Mattias Danielsson</t>
        </is>
      </c>
      <c r="N157" s="22" t="inlineStr">
        <is>
          <t>Chief Financial Officer (Sweden)</t>
        </is>
      </c>
      <c r="O157" s="23" t="inlineStr">
        <is>
          <t>mattias.danielsson@yubico.com</t>
        </is>
      </c>
      <c r="P157" s="24" t="inlineStr">
        <is>
          <t>+46 (0)84 11 30 00</t>
        </is>
      </c>
      <c r="Q157" s="25" t="n">
        <v>2007.0</v>
      </c>
      <c r="R157" s="113">
        <f>HYPERLINK("https://my.pitchbook.com?c=57124-90", "View company online")</f>
      </c>
    </row>
    <row r="158">
      <c r="A158" s="27" t="inlineStr">
        <is>
          <t>117357-58</t>
        </is>
      </c>
      <c r="B158" s="28" t="inlineStr">
        <is>
          <t>Yttro</t>
        </is>
      </c>
      <c r="C158" s="29" t="inlineStr">
        <is>
          <t>94040</t>
        </is>
      </c>
      <c r="D158" s="30" t="inlineStr">
        <is>
          <t>Developer of a mobile game discovery platform designed to offer mobile expedition. The company's mobile game discovery platform offers application exposure without the drawbacks of advertising, enabling consumers to explore and discover game applications by upgrading their online browsing into an exploratory mobile expedition.</t>
        </is>
      </c>
      <c r="E158" s="31" t="inlineStr">
        <is>
          <t>Application Software</t>
        </is>
      </c>
      <c r="F158" s="32" t="inlineStr">
        <is>
          <t>Mountain View, CA</t>
        </is>
      </c>
      <c r="G158" s="33" t="inlineStr">
        <is>
          <t>Privately Held (backing)</t>
        </is>
      </c>
      <c r="H158" s="34" t="inlineStr">
        <is>
          <t>Venture Capital-Backed</t>
        </is>
      </c>
      <c r="I158" s="35" t="inlineStr">
        <is>
          <t>Amino Capital</t>
        </is>
      </c>
      <c r="J158" s="36" t="inlineStr">
        <is>
          <t>www.yttromobile.com</t>
        </is>
      </c>
      <c r="K158" s="37" t="inlineStr">
        <is>
          <t/>
        </is>
      </c>
      <c r="L158" s="38" t="inlineStr">
        <is>
          <t/>
        </is>
      </c>
      <c r="M158" s="39" t="inlineStr">
        <is>
          <t>Xiaoxu Ma</t>
        </is>
      </c>
      <c r="N158" s="40" t="inlineStr">
        <is>
          <t>Founder &amp; Chief Executive Officer</t>
        </is>
      </c>
      <c r="O158" s="41" t="inlineStr">
        <is>
          <t>xiaoxuma@yttromobile.com</t>
        </is>
      </c>
      <c r="P158" s="42" t="inlineStr">
        <is>
          <t/>
        </is>
      </c>
      <c r="Q158" s="43" t="n">
        <v>2014.0</v>
      </c>
      <c r="R158" s="114">
        <f>HYPERLINK("https://my.pitchbook.com?c=117357-58", "View company online")</f>
      </c>
    </row>
    <row r="159">
      <c r="A159" s="9" t="inlineStr">
        <is>
          <t>124659-46</t>
        </is>
      </c>
      <c r="B159" s="10" t="inlineStr">
        <is>
          <t>Ysance</t>
        </is>
      </c>
      <c r="C159" s="11" t="inlineStr">
        <is>
          <t>94103</t>
        </is>
      </c>
      <c r="D159" s="12" t="inlineStr">
        <is>
          <t>Owner and operator of a cloud and big data consulting firm. The company offers a a digital platform that helps enterprises in their digital transformation including design, implementation and operation of various digital platforms.</t>
        </is>
      </c>
      <c r="E159" s="13" t="inlineStr">
        <is>
          <t>Automation/Workflow Software</t>
        </is>
      </c>
      <c r="F159" s="14" t="inlineStr">
        <is>
          <t>San Francisco, CA</t>
        </is>
      </c>
      <c r="G159" s="15" t="inlineStr">
        <is>
          <t>Privately Held (backing)</t>
        </is>
      </c>
      <c r="H159" s="16" t="inlineStr">
        <is>
          <t>Venture Capital-Backed</t>
        </is>
      </c>
      <c r="I159" s="17" t="inlineStr">
        <is>
          <t>Creadev</t>
        </is>
      </c>
      <c r="J159" s="18" t="inlineStr">
        <is>
          <t>www.ysance.com</t>
        </is>
      </c>
      <c r="K159" s="19" t="inlineStr">
        <is>
          <t>contact@ysance.com</t>
        </is>
      </c>
      <c r="L159" s="20" t="inlineStr">
        <is>
          <t>+1 (415) 952-9369</t>
        </is>
      </c>
      <c r="M159" s="21" t="inlineStr">
        <is>
          <t>Charlotte Letourmy</t>
        </is>
      </c>
      <c r="N159" s="22" t="inlineStr">
        <is>
          <t>Chief Financial Officer</t>
        </is>
      </c>
      <c r="O159" s="23" t="inlineStr">
        <is>
          <t>charlotte.letourmy@ysance.com</t>
        </is>
      </c>
      <c r="P159" s="24" t="inlineStr">
        <is>
          <t>+33 (0)1 43 36 23 17</t>
        </is>
      </c>
      <c r="Q159" s="25" t="n">
        <v>2005.0</v>
      </c>
      <c r="R159" s="113">
        <f>HYPERLINK("https://my.pitchbook.com?c=124659-46", "View company online")</f>
      </c>
    </row>
    <row r="160">
      <c r="A160" s="27" t="inlineStr">
        <is>
          <t>56146-33</t>
        </is>
      </c>
      <c r="B160" s="28" t="inlineStr">
        <is>
          <t>Yozio</t>
        </is>
      </c>
      <c r="C160" s="29" t="inlineStr">
        <is>
          <t>94108</t>
        </is>
      </c>
      <c r="D160" s="30" t="inlineStr">
        <is>
          <t>Provider of growth tools for mobile applications. The company offers mobile conversion tracking software for social sharing and marketing campaigns, viral tuning products and analytics platform for various mobile applications.</t>
        </is>
      </c>
      <c r="E160" s="31" t="inlineStr">
        <is>
          <t>Application Software</t>
        </is>
      </c>
      <c r="F160" s="32" t="inlineStr">
        <is>
          <t>San Francisco, CA</t>
        </is>
      </c>
      <c r="G160" s="33" t="inlineStr">
        <is>
          <t>Privately Held (backing)</t>
        </is>
      </c>
      <c r="H160" s="34" t="inlineStr">
        <is>
          <t>Venture Capital-Backed</t>
        </is>
      </c>
      <c r="I160" s="35" t="inlineStr">
        <is>
          <t>AME Cloud Ventures, Ashvin Patel, Cynthia Padnos, Eric Reis, Eric Ries, Farzad Nazem, Foundation Capital, Illuminate Ventures, Jerry Yang, Kal Vepuri, Maynard Webb, Morado Venture Partners, Sean Ellis, Tsingyuan Ventures, Webb Investment Network</t>
        </is>
      </c>
      <c r="J160" s="36" t="inlineStr">
        <is>
          <t>www.yozio.com</t>
        </is>
      </c>
      <c r="K160" s="37" t="inlineStr">
        <is>
          <t/>
        </is>
      </c>
      <c r="L160" s="38" t="inlineStr">
        <is>
          <t/>
        </is>
      </c>
      <c r="M160" s="39" t="inlineStr">
        <is>
          <t>Lei Sun</t>
        </is>
      </c>
      <c r="N160" s="40" t="inlineStr">
        <is>
          <t>Chief Executive Officer &amp; Co-Founder</t>
        </is>
      </c>
      <c r="O160" s="41" t="inlineStr">
        <is>
          <t>lei@yozio.com</t>
        </is>
      </c>
      <c r="P160" s="42" t="inlineStr">
        <is>
          <t/>
        </is>
      </c>
      <c r="Q160" s="43" t="n">
        <v>2012.0</v>
      </c>
      <c r="R160" s="114">
        <f>HYPERLINK("https://my.pitchbook.com?c=56146-33", "View company online")</f>
      </c>
    </row>
    <row r="161">
      <c r="A161" s="9" t="inlineStr">
        <is>
          <t>57920-41</t>
        </is>
      </c>
      <c r="B161" s="10" t="inlineStr">
        <is>
          <t>YouWeb</t>
        </is>
      </c>
      <c r="C161" s="11" t="inlineStr">
        <is>
          <t>94105</t>
        </is>
      </c>
      <c r="D161" s="12" t="inlineStr">
        <is>
          <t>Provider of a platform for incubation programs. The company offers incubator programs for startups which helps them to get traction with product, market and investors.</t>
        </is>
      </c>
      <c r="E161" s="13" t="inlineStr">
        <is>
          <t>Other Financial Services</t>
        </is>
      </c>
      <c r="F161" s="14" t="inlineStr">
        <is>
          <t>San Francisco, CA</t>
        </is>
      </c>
      <c r="G161" s="15" t="inlineStr">
        <is>
          <t>Privately Held (backing)</t>
        </is>
      </c>
      <c r="H161" s="16" t="inlineStr">
        <is>
          <t>Venture Capital-Backed</t>
        </is>
      </c>
      <c r="I161" s="17" t="inlineStr">
        <is>
          <t>Brett Wander, Dave Roux, David Whorton, Individual Investor, Peter Relan, Praful Shah, Soma Somasegar, Tugboat Ventures, Winston Cho</t>
        </is>
      </c>
      <c r="J161" s="18" t="inlineStr">
        <is>
          <t>www.youwebinc.com</t>
        </is>
      </c>
      <c r="K161" s="19" t="inlineStr">
        <is>
          <t>sfcampus@studio9plus.com</t>
        </is>
      </c>
      <c r="L161" s="20" t="inlineStr">
        <is>
          <t/>
        </is>
      </c>
      <c r="M161" s="21" t="inlineStr">
        <is>
          <t>Peter Relan</t>
        </is>
      </c>
      <c r="N161" s="22" t="inlineStr">
        <is>
          <t>Co-Founder &amp; Chief Mentor</t>
        </is>
      </c>
      <c r="O161" s="23" t="inlineStr">
        <is>
          <t>peter@gotitapp.co</t>
        </is>
      </c>
      <c r="P161" s="24" t="inlineStr">
        <is>
          <t/>
        </is>
      </c>
      <c r="Q161" s="25" t="n">
        <v>2007.0</v>
      </c>
      <c r="R161" s="113">
        <f>HYPERLINK("https://my.pitchbook.com?c=57920-41", "View company online")</f>
      </c>
    </row>
    <row r="162">
      <c r="A162" s="27" t="inlineStr">
        <is>
          <t>103465-45</t>
        </is>
      </c>
      <c r="B162" s="28" t="inlineStr">
        <is>
          <t>YouthsToday.com</t>
        </is>
      </c>
      <c r="C162" s="29" t="inlineStr">
        <is>
          <t>58100</t>
        </is>
      </c>
      <c r="D162" s="30" t="inlineStr">
        <is>
          <t>Provider of a youth-development platform. The company offers an online sponsoring platform that connects youth who want to participate in events with sponsors and event organizers.</t>
        </is>
      </c>
      <c r="E162" s="31" t="inlineStr">
        <is>
          <t>Social/Platform Software</t>
        </is>
      </c>
      <c r="F162" s="32" t="inlineStr">
        <is>
          <t>Kuala Lumpur, Malaysia</t>
        </is>
      </c>
      <c r="G162" s="33" t="inlineStr">
        <is>
          <t>Privately Held (backing)</t>
        </is>
      </c>
      <c r="H162" s="34" t="inlineStr">
        <is>
          <t>Venture Capital-Backed</t>
        </is>
      </c>
      <c r="I162" s="35" t="inlineStr">
        <is>
          <t>Cradle Fund, Gobi Ventures, Malaysia Venture Capital Management</t>
        </is>
      </c>
      <c r="J162" s="36" t="inlineStr">
        <is>
          <t>www.youthstoday.com</t>
        </is>
      </c>
      <c r="K162" s="37" t="inlineStr">
        <is>
          <t/>
        </is>
      </c>
      <c r="L162" s="38" t="inlineStr">
        <is>
          <t>+60 (0)3 7988 0805</t>
        </is>
      </c>
      <c r="M162" s="39" t="inlineStr">
        <is>
          <t>Jazz Mei</t>
        </is>
      </c>
      <c r="N162" s="40" t="inlineStr">
        <is>
          <t>Chief Executive Officer &amp; Founder</t>
        </is>
      </c>
      <c r="O162" s="41" t="inlineStr">
        <is>
          <t>jazz@youthstoday.com</t>
        </is>
      </c>
      <c r="P162" s="42" t="inlineStr">
        <is>
          <t>+60 (0)3 7988 0805</t>
        </is>
      </c>
      <c r="Q162" s="43" t="n">
        <v>2009.0</v>
      </c>
      <c r="R162" s="114">
        <f>HYPERLINK("https://my.pitchbook.com?c=103465-45", "View company online")</f>
      </c>
    </row>
    <row r="163">
      <c r="A163" s="9" t="inlineStr">
        <is>
          <t>154901-98</t>
        </is>
      </c>
      <c r="B163" s="10" t="inlineStr">
        <is>
          <t>YouSolar</t>
        </is>
      </c>
      <c r="C163" s="11" t="inlineStr">
        <is>
          <t/>
        </is>
      </c>
      <c r="D163" s="12" t="inlineStr">
        <is>
          <t>Developer of rooftop solar-power systems. The company is the developer of residential solar power units that can be installed on a rooftop. When combined with local power grids, it can provide a hybrid power system that does not have to be net metered, as it takes power from the grid, but does not send it to the grid.</t>
        </is>
      </c>
      <c r="E163" s="13" t="inlineStr">
        <is>
          <t>Alternative Energy Equipment</t>
        </is>
      </c>
      <c r="F163" s="14" t="inlineStr">
        <is>
          <t>Emeryville, CA</t>
        </is>
      </c>
      <c r="G163" s="15" t="inlineStr">
        <is>
          <t>Privately Held (backing)</t>
        </is>
      </c>
      <c r="H163" s="16" t="inlineStr">
        <is>
          <t>Venture Capital-Backed</t>
        </is>
      </c>
      <c r="I163" s="17" t="inlineStr">
        <is>
          <t>Eric Gimon, J. Anthony Terrell, Keiretsu Forum, Michael Allman, Paul Droege, Safal Joshi</t>
        </is>
      </c>
      <c r="J163" s="18" t="inlineStr">
        <is>
          <t>www.yousolar.com</t>
        </is>
      </c>
      <c r="K163" s="19" t="inlineStr">
        <is>
          <t/>
        </is>
      </c>
      <c r="L163" s="20" t="inlineStr">
        <is>
          <t/>
        </is>
      </c>
      <c r="M163" s="21" t="inlineStr">
        <is>
          <t>Arnold Leitner</t>
        </is>
      </c>
      <c r="N163" s="22" t="inlineStr">
        <is>
          <t>Founder, Chief Executive Officer, President &amp; Chief Technology Officer</t>
        </is>
      </c>
      <c r="O163" s="23" t="inlineStr">
        <is>
          <t>arnold.leitner@yousolar.com</t>
        </is>
      </c>
      <c r="P163" s="24" t="inlineStr">
        <is>
          <t>+1 (917) 364-4266</t>
        </is>
      </c>
      <c r="Q163" s="25" t="n">
        <v>2013.0</v>
      </c>
      <c r="R163" s="113">
        <f>HYPERLINK("https://my.pitchbook.com?c=154901-98", "View company online")</f>
      </c>
    </row>
    <row r="164">
      <c r="A164" s="27" t="inlineStr">
        <is>
          <t>54271-18</t>
        </is>
      </c>
      <c r="B164" s="28" t="inlineStr">
        <is>
          <t>YourMechanic</t>
        </is>
      </c>
      <c r="C164" s="29" t="inlineStr">
        <is>
          <t>94040</t>
        </is>
      </c>
      <c r="D164" s="30" t="inlineStr">
        <is>
          <t>Provider of mobile car repair services. The company provides a platform which focuses on car repair and maintenance needs.</t>
        </is>
      </c>
      <c r="E164" s="31" t="inlineStr">
        <is>
          <t>Other Commercial Services</t>
        </is>
      </c>
      <c r="F164" s="32" t="inlineStr">
        <is>
          <t>Mountain View, CA</t>
        </is>
      </c>
      <c r="G164" s="33" t="inlineStr">
        <is>
          <t>Privately Held (backing)</t>
        </is>
      </c>
      <c r="H164" s="34" t="inlineStr">
        <is>
          <t>Venture Capital-Backed</t>
        </is>
      </c>
      <c r="I164" s="35" t="inlineStr">
        <is>
          <t>A-Grade Investments, Alexander Goldstein, American Family Mutual Insurance Company, American Family Ventures, Andreessen Horowitz, Ashton Kutcher, CrunchFund, Dan Martell, Data Point Capital, Dave Lerner, David Gilboa, David Shen, Draper Fisher Jurvetson, Great Oaks Venture Capital, Greylock Partners, Hector Hulian, Hone Capital, Hubrix Ventures, Jared Kopf, Jawed Karim, Jean-Francois Clavier, Jeffrey Jordan, Jeremy Wenokur, Joshua Baer, Joshua Schachter, Justin Waldron, Kevin Freedman, Kevin Henrikson, LaunchCapital, Lerer Hippeau Ventures, Marc Bell Capital Partners, Mark Friedgan, Matt Mullenweg, Michael Arrington, Paige Craig, Paul Sethi, PG Ventures, Promus Ventures, Rany Raviv, Richard Boyle, Richmond View Ventures, Rob Wang, Robert Wang, SAIC Capital, Sam Angus, Scott Kosch, Seth Goldstein, Silicon Valley Bank, SoftBank Capital, SoftTech VC, Start Fund, SV Angel, Verizon Ventures, Y Combinator, Yuri Milner</t>
        </is>
      </c>
      <c r="J164" s="36" t="inlineStr">
        <is>
          <t>www.yourmechanic.com</t>
        </is>
      </c>
      <c r="K164" s="37" t="inlineStr">
        <is>
          <t>hi@yourmechanic.com</t>
        </is>
      </c>
      <c r="L164" s="38" t="inlineStr">
        <is>
          <t>+1 (888) 379-9658</t>
        </is>
      </c>
      <c r="M164" s="39" t="inlineStr">
        <is>
          <t>Abhas Agrawal</t>
        </is>
      </c>
      <c r="N164" s="40" t="inlineStr">
        <is>
          <t>Co-Founder, Chief Executive Officer &amp; Board Member</t>
        </is>
      </c>
      <c r="O164" s="41" t="inlineStr">
        <is>
          <t/>
        </is>
      </c>
      <c r="P164" s="42" t="inlineStr">
        <is>
          <t>+1 (800) 701-6230</t>
        </is>
      </c>
      <c r="Q164" s="43" t="inlineStr">
        <is>
          <t/>
        </is>
      </c>
      <c r="R164" s="114">
        <f>HYPERLINK("https://my.pitchbook.com?c=54271-18", "View company online")</f>
      </c>
    </row>
    <row r="165">
      <c r="A165" s="9" t="inlineStr">
        <is>
          <t>169046-47</t>
        </is>
      </c>
      <c r="B165" s="10" t="inlineStr">
        <is>
          <t>Youplus</t>
        </is>
      </c>
      <c r="C165" s="11" t="inlineStr">
        <is>
          <t/>
        </is>
      </c>
      <c r="D165" s="12" t="inlineStr">
        <is>
          <t>Provider of a mobile application for local businesses. The company locates products and services from local businesses and provides their information to the application users to visit them.</t>
        </is>
      </c>
      <c r="E165" s="13" t="inlineStr">
        <is>
          <t>Application Software</t>
        </is>
      </c>
      <c r="F165" s="14" t="inlineStr">
        <is>
          <t>Mountain View, CA</t>
        </is>
      </c>
      <c r="G165" s="15" t="inlineStr">
        <is>
          <t>Privately Held (backing)</t>
        </is>
      </c>
      <c r="H165" s="16" t="inlineStr">
        <is>
          <t>Venture Capital-Backed</t>
        </is>
      </c>
      <c r="I165" s="17" t="inlineStr">
        <is>
          <t>DN Capital, Freestyle Capital, Rocketship.vc</t>
        </is>
      </c>
      <c r="J165" s="18" t="inlineStr">
        <is>
          <t>www.youplusindia.com</t>
        </is>
      </c>
      <c r="K165" s="19" t="inlineStr">
        <is>
          <t/>
        </is>
      </c>
      <c r="L165" s="20" t="inlineStr">
        <is>
          <t>+1 (408) 398-2376</t>
        </is>
      </c>
      <c r="M165" s="21" t="inlineStr">
        <is>
          <t>Shaukat Shamim</t>
        </is>
      </c>
      <c r="N165" s="22" t="inlineStr">
        <is>
          <t>Founder &amp; Chief Executive Officer</t>
        </is>
      </c>
      <c r="O165" s="23" t="inlineStr">
        <is>
          <t>shaukat@tie.org</t>
        </is>
      </c>
      <c r="P165" s="24" t="inlineStr">
        <is>
          <t>+1 (408) 398-2376</t>
        </is>
      </c>
      <c r="Q165" s="25" t="n">
        <v>2013.0</v>
      </c>
      <c r="R165" s="113">
        <f>HYPERLINK("https://my.pitchbook.com?c=169046-47", "View company online")</f>
      </c>
    </row>
    <row r="166">
      <c r="A166" s="27" t="inlineStr">
        <is>
          <t>60576-85</t>
        </is>
      </c>
      <c r="B166" s="28" t="inlineStr">
        <is>
          <t>YouNoodle</t>
        </is>
      </c>
      <c r="C166" s="29" t="inlineStr">
        <is>
          <t>94103</t>
        </is>
      </c>
      <c r="D166" s="30" t="inlineStr">
        <is>
          <t>Developer of decision making technologies and software for startups. The company connects corporations with startups through corporate startup innovation programs globally across enterprises, governments, universities, foundations and accelerators.</t>
        </is>
      </c>
      <c r="E166" s="31" t="inlineStr">
        <is>
          <t>Other Commercial Services</t>
        </is>
      </c>
      <c r="F166" s="32" t="inlineStr">
        <is>
          <t>San Francisco, CA</t>
        </is>
      </c>
      <c r="G166" s="33" t="inlineStr">
        <is>
          <t>Privately Held (backing)</t>
        </is>
      </c>
      <c r="H166" s="34" t="inlineStr">
        <is>
          <t>Venture Capital-Backed</t>
        </is>
      </c>
      <c r="I166" s="35" t="inlineStr">
        <is>
          <t>Amicus Group, Andy White, Founders Fund, Individual Investor, James Hong, Lars-Henrik Friis Molin, Max Levchin, Small World Group, VTF Capital</t>
        </is>
      </c>
      <c r="J166" s="36" t="inlineStr">
        <is>
          <t>www.younoodle.com</t>
        </is>
      </c>
      <c r="K166" s="37" t="inlineStr">
        <is>
          <t>info@younoodle.com</t>
        </is>
      </c>
      <c r="L166" s="38" t="inlineStr">
        <is>
          <t>+1 (415) 495-1062</t>
        </is>
      </c>
      <c r="M166" s="39" t="inlineStr">
        <is>
          <t>Torsten Kolind</t>
        </is>
      </c>
      <c r="N166" s="40" t="inlineStr">
        <is>
          <t>Chief Executive Officer &amp; Co-Founder</t>
        </is>
      </c>
      <c r="O166" s="41" t="inlineStr">
        <is>
          <t>torsten@younoodle.com</t>
        </is>
      </c>
      <c r="P166" s="42" t="inlineStr">
        <is>
          <t>+1 (415) 495-1062</t>
        </is>
      </c>
      <c r="Q166" s="43" t="n">
        <v>2010.0</v>
      </c>
      <c r="R166" s="114">
        <f>HYPERLINK("https://my.pitchbook.com?c=60576-85", "View company online")</f>
      </c>
    </row>
    <row r="167">
      <c r="A167" s="9" t="inlineStr">
        <is>
          <t>55966-51</t>
        </is>
      </c>
      <c r="B167" s="10" t="inlineStr">
        <is>
          <t>Younity</t>
        </is>
      </c>
      <c r="C167" s="11" t="inlineStr">
        <is>
          <t>92024</t>
        </is>
      </c>
      <c r="D167" s="12" t="inlineStr">
        <is>
          <t>Provider of a personal cloud service designed to change the way a user streams, accesses, and shares their files and documents. The company's cloud service offers a free platform that works via peer-to-peer unification of content across computers, enabling users to share or stream their music, playlists and video and access their photos and documents from anywhere in the world, without having to manage anything or store files online.</t>
        </is>
      </c>
      <c r="E167" s="13" t="inlineStr">
        <is>
          <t>Information Services (B2C)</t>
        </is>
      </c>
      <c r="F167" s="14" t="inlineStr">
        <is>
          <t>Encinitas, CA</t>
        </is>
      </c>
      <c r="G167" s="15" t="inlineStr">
        <is>
          <t>Privately Held (backing)</t>
        </is>
      </c>
      <c r="H167" s="16" t="inlineStr">
        <is>
          <t>Venture Capital-Backed</t>
        </is>
      </c>
      <c r="I167" s="17" t="inlineStr">
        <is>
          <t>Brian Lee, Colle Capital Partners, Crosslink Capital, Draper Associates, G. Bradford Jones, Gramercy, Greg Arrese, Individual Investor, Kamran Pourzanjani, Knight &amp; Bishop, Lowercase Capital, Mark Kolokotrones, Marker, Mucker Capital, Oakview Group, PROfounders Capital, Tekton Ventures, The Gramercy Fund, Thomas Turney, ToysRUs</t>
        </is>
      </c>
      <c r="J167" s="18" t="inlineStr">
        <is>
          <t>www.getyounity.com</t>
        </is>
      </c>
      <c r="K167" s="19" t="inlineStr">
        <is>
          <t>info@getyounity.com</t>
        </is>
      </c>
      <c r="L167" s="20" t="inlineStr">
        <is>
          <t>+1 (714) 875-3745</t>
        </is>
      </c>
      <c r="M167" s="21" t="inlineStr">
        <is>
          <t>Erik Caso</t>
        </is>
      </c>
      <c r="N167" s="22" t="inlineStr">
        <is>
          <t>Chief Executive Officer &amp; Co-Founder</t>
        </is>
      </c>
      <c r="O167" s="23" t="inlineStr">
        <is>
          <t>erik@getyounity.com</t>
        </is>
      </c>
      <c r="P167" s="24" t="inlineStr">
        <is>
          <t>+1 (714) 875-3745</t>
        </is>
      </c>
      <c r="Q167" s="25" t="n">
        <v>2010.0</v>
      </c>
      <c r="R167" s="113">
        <f>HYPERLINK("https://my.pitchbook.com?c=55966-51", "View company online")</f>
      </c>
    </row>
    <row r="168">
      <c r="A168" s="27" t="inlineStr">
        <is>
          <t>169027-03</t>
        </is>
      </c>
      <c r="B168" s="28" t="inlineStr">
        <is>
          <t>Youngry</t>
        </is>
      </c>
      <c r="C168" s="29" t="inlineStr">
        <is>
          <t>92660</t>
        </is>
      </c>
      <c r="D168" s="30" t="inlineStr">
        <is>
          <t>Provider of information for entrepreneurs and business creators. The company is a next generation media content operator, which provides news content, distribution of original video programming and organizes events for entrepreneur and business creator.</t>
        </is>
      </c>
      <c r="E168" s="31" t="inlineStr">
        <is>
          <t>Information Services (B2C)</t>
        </is>
      </c>
      <c r="F168" s="32" t="inlineStr">
        <is>
          <t>Newport Beach, CA</t>
        </is>
      </c>
      <c r="G168" s="33" t="inlineStr">
        <is>
          <t>Privately Held (backing)</t>
        </is>
      </c>
      <c r="H168" s="34" t="inlineStr">
        <is>
          <t>Venture Capital-Backed</t>
        </is>
      </c>
      <c r="I168" s="35" t="inlineStr">
        <is>
          <t>Hashtag One</t>
        </is>
      </c>
      <c r="J168" s="36" t="inlineStr">
        <is>
          <t>www.youngry.com</t>
        </is>
      </c>
      <c r="K168" s="37" t="inlineStr">
        <is>
          <t>info@youngry.com</t>
        </is>
      </c>
      <c r="L168" s="38" t="inlineStr">
        <is>
          <t/>
        </is>
      </c>
      <c r="M168" s="39" t="inlineStr">
        <is>
          <t>Ash Kumra</t>
        </is>
      </c>
      <c r="N168" s="40" t="inlineStr">
        <is>
          <t>Chief Executive Officer &amp; Co-Founder</t>
        </is>
      </c>
      <c r="O168" s="41" t="inlineStr">
        <is>
          <t>ash@youngry.com</t>
        </is>
      </c>
      <c r="P168" s="42" t="inlineStr">
        <is>
          <t/>
        </is>
      </c>
      <c r="Q168" s="43" t="n">
        <v>2016.0</v>
      </c>
      <c r="R168" s="114">
        <f>HYPERLINK("https://my.pitchbook.com?c=169027-03", "View company online")</f>
      </c>
    </row>
    <row r="169">
      <c r="A169" s="9" t="inlineStr">
        <is>
          <t>51709-69</t>
        </is>
      </c>
      <c r="B169" s="10" t="inlineStr">
        <is>
          <t>YouMail</t>
        </is>
      </c>
      <c r="C169" s="11" t="inlineStr">
        <is>
          <t>92606</t>
        </is>
      </c>
      <c r="D169" s="12" t="inlineStr">
        <is>
          <t>Provider of cell phone voicemail service that allows users to express their personality. The company also provides users with access to cell phone voicemail on the Web and e-mail to share voicemails and save them.</t>
        </is>
      </c>
      <c r="E169" s="13" t="inlineStr">
        <is>
          <t>Social/Platform Software</t>
        </is>
      </c>
      <c r="F169" s="14" t="inlineStr">
        <is>
          <t>Irvine, CA</t>
        </is>
      </c>
      <c r="G169" s="15" t="inlineStr">
        <is>
          <t>Privately Held (backing)</t>
        </is>
      </c>
      <c r="H169" s="16" t="inlineStr">
        <is>
          <t>Venture Capital-Backed</t>
        </is>
      </c>
      <c r="I169" s="17" t="inlineStr">
        <is>
          <t>CrunchFund, Individual Investor, Tech Coast Angels, VantagePoint Capital Partners, Vencore Capital, Wavemaker Partners</t>
        </is>
      </c>
      <c r="J169" s="18" t="inlineStr">
        <is>
          <t>www.youmail.com</t>
        </is>
      </c>
      <c r="K169" s="19" t="inlineStr">
        <is>
          <t>sales@youmail.com</t>
        </is>
      </c>
      <c r="L169" s="20" t="inlineStr">
        <is>
          <t>+1 (800) 374-0013</t>
        </is>
      </c>
      <c r="M169" s="21" t="inlineStr">
        <is>
          <t>Tom Saftig</t>
        </is>
      </c>
      <c r="N169" s="22" t="inlineStr">
        <is>
          <t>Chief Financial Officer</t>
        </is>
      </c>
      <c r="O169" s="23" t="inlineStr">
        <is>
          <t/>
        </is>
      </c>
      <c r="P169" s="24" t="inlineStr">
        <is>
          <t>+1 (619) 339-9889</t>
        </is>
      </c>
      <c r="Q169" s="25" t="n">
        <v>2006.0</v>
      </c>
      <c r="R169" s="113">
        <f>HYPERLINK("https://my.pitchbook.com?c=51709-69", "View company online")</f>
      </c>
    </row>
    <row r="170">
      <c r="A170" s="27" t="inlineStr">
        <is>
          <t>58446-91</t>
        </is>
      </c>
      <c r="B170" s="28" t="inlineStr">
        <is>
          <t>Youdazzle</t>
        </is>
      </c>
      <c r="C170" s="29" t="inlineStr">
        <is>
          <t>94030</t>
        </is>
      </c>
      <c r="D170" s="30" t="inlineStr">
        <is>
          <t>Developer of an online file sharing and Web meetings platform. The company offers a platform to share files, for two or more people to simultaneously surf the Web, work together, shop together as well as provides Web shopping and Web conferencing tools for businesses and individuals to host virtual shopping parties, shopping webinars and online sales events.</t>
        </is>
      </c>
      <c r="E170" s="31" t="inlineStr">
        <is>
          <t>Business/Productivity Software</t>
        </is>
      </c>
      <c r="F170" s="32" t="inlineStr">
        <is>
          <t>Millbrae, CA</t>
        </is>
      </c>
      <c r="G170" s="33" t="inlineStr">
        <is>
          <t>Privately Held (backing)</t>
        </is>
      </c>
      <c r="H170" s="34" t="inlineStr">
        <is>
          <t>Venture Capital-Backed</t>
        </is>
      </c>
      <c r="I170" s="35" t="inlineStr">
        <is>
          <t>David Wanek, Embarcadero Ventures, Evan Goldberg, Highway1, Julia Popowitz, Larry Bowman, Lohner Investments, Meyer Malka, Western Technology Investment</t>
        </is>
      </c>
      <c r="J170" s="36" t="inlineStr">
        <is>
          <t>www.meet.fm</t>
        </is>
      </c>
      <c r="K170" s="37" t="inlineStr">
        <is>
          <t>info@meet.fm</t>
        </is>
      </c>
      <c r="L170" s="38" t="inlineStr">
        <is>
          <t/>
        </is>
      </c>
      <c r="M170" s="39" t="inlineStr">
        <is>
          <t>Cary Cole</t>
        </is>
      </c>
      <c r="N170" s="40" t="inlineStr">
        <is>
          <t>Co-Founder &amp; Chief Executive Officer</t>
        </is>
      </c>
      <c r="O170" s="41" t="inlineStr">
        <is>
          <t>cary@meet.fm</t>
        </is>
      </c>
      <c r="P170" s="42" t="inlineStr">
        <is>
          <t>+1 (888) 265-5220</t>
        </is>
      </c>
      <c r="Q170" s="43" t="n">
        <v>2010.0</v>
      </c>
      <c r="R170" s="114">
        <f>HYPERLINK("https://my.pitchbook.com?c=58446-91", "View company online")</f>
      </c>
    </row>
    <row r="171">
      <c r="A171" s="9" t="inlineStr">
        <is>
          <t>54814-24</t>
        </is>
      </c>
      <c r="B171" s="10" t="inlineStr">
        <is>
          <t>YouCaring</t>
        </is>
      </c>
      <c r="C171" s="11" t="inlineStr">
        <is>
          <t>94108</t>
        </is>
      </c>
      <c r="D171" s="12" t="inlineStr">
        <is>
          <t>Operator of a fundraising platform. The company offers an online platform enabling individuals and business organizations to raise funds for medical expenses, tuition assistance, adoption and other purposes.</t>
        </is>
      </c>
      <c r="E171" s="13" t="inlineStr">
        <is>
          <t>Social/Platform Software</t>
        </is>
      </c>
      <c r="F171" s="14" t="inlineStr">
        <is>
          <t>San Francisco, CA</t>
        </is>
      </c>
      <c r="G171" s="15" t="inlineStr">
        <is>
          <t>Privately Held (backing)</t>
        </is>
      </c>
      <c r="H171" s="16" t="inlineStr">
        <is>
          <t>Venture Capital-Backed</t>
        </is>
      </c>
      <c r="I171" s="17" t="inlineStr">
        <is>
          <t>Alpine Investors</t>
        </is>
      </c>
      <c r="J171" s="18" t="inlineStr">
        <is>
          <t>www.youcaring.com</t>
        </is>
      </c>
      <c r="K171" s="19" t="inlineStr">
        <is>
          <t>help@youcaring.com</t>
        </is>
      </c>
      <c r="L171" s="20" t="inlineStr">
        <is>
          <t>+1 (415) 834-5792</t>
        </is>
      </c>
      <c r="M171" s="21" t="inlineStr">
        <is>
          <t>Brock Ketcher</t>
        </is>
      </c>
      <c r="N171" s="22" t="inlineStr">
        <is>
          <t>Co-Founder</t>
        </is>
      </c>
      <c r="O171" s="23" t="inlineStr">
        <is>
          <t>brock@youcaring.com</t>
        </is>
      </c>
      <c r="P171" s="24" t="inlineStr">
        <is>
          <t>+1 (415) 834-5792</t>
        </is>
      </c>
      <c r="Q171" s="25" t="n">
        <v>2011.0</v>
      </c>
      <c r="R171" s="113">
        <f>HYPERLINK("https://my.pitchbook.com?c=54814-24", "View company online")</f>
      </c>
    </row>
    <row r="172">
      <c r="A172" s="27" t="inlineStr">
        <is>
          <t>106911-46</t>
        </is>
      </c>
      <c r="B172" s="28" t="inlineStr">
        <is>
          <t>YouBloom</t>
        </is>
      </c>
      <c r="C172" s="29" t="inlineStr">
        <is>
          <t/>
        </is>
      </c>
      <c r="D172" s="30" t="inlineStr">
        <is>
          <t>Operater of a social network that connects music lovers with artists. The company enables its members to browse and listen to music; and find artists and friends.</t>
        </is>
      </c>
      <c r="E172" s="31" t="inlineStr">
        <is>
          <t>Media and Information Services (B2B)</t>
        </is>
      </c>
      <c r="F172" s="32" t="inlineStr">
        <is>
          <t>Dublin, Ireland</t>
        </is>
      </c>
      <c r="G172" s="33" t="inlineStr">
        <is>
          <t>Privately Held (backing)</t>
        </is>
      </c>
      <c r="H172" s="34" t="inlineStr">
        <is>
          <t>Venture Capital-Backed</t>
        </is>
      </c>
      <c r="I172" s="35" t="inlineStr">
        <is>
          <t>Irish Venture Capital Association</t>
        </is>
      </c>
      <c r="J172" s="36" t="inlineStr">
        <is>
          <t>www.youbloom.com</t>
        </is>
      </c>
      <c r="K172" s="37" t="inlineStr">
        <is>
          <t/>
        </is>
      </c>
      <c r="L172" s="38" t="inlineStr">
        <is>
          <t/>
        </is>
      </c>
      <c r="M172" s="39" t="inlineStr">
        <is>
          <t>Phil Harrington</t>
        </is>
      </c>
      <c r="N172" s="40" t="inlineStr">
        <is>
          <t>Chief Executive Officer &amp; Founder</t>
        </is>
      </c>
      <c r="O172" s="41" t="inlineStr">
        <is>
          <t>philh@youbloom.com</t>
        </is>
      </c>
      <c r="P172" s="42" t="inlineStr">
        <is>
          <t>+1 (323) 841-1400</t>
        </is>
      </c>
      <c r="Q172" s="43" t="n">
        <v>2009.0</v>
      </c>
      <c r="R172" s="114">
        <f>HYPERLINK("https://my.pitchbook.com?c=106911-46", "View company online")</f>
      </c>
    </row>
    <row r="173">
      <c r="A173" s="9" t="inlineStr">
        <is>
          <t>54733-69</t>
        </is>
      </c>
      <c r="B173" s="10" t="inlineStr">
        <is>
          <t>YouAPPi</t>
        </is>
      </c>
      <c r="C173" s="11" t="inlineStr">
        <is>
          <t>94111</t>
        </is>
      </c>
      <c r="D173" s="12" t="inlineStr">
        <is>
          <t>Provider of mobile user acquisition platform. The company provides OneRun platform that combines the power of machine learning with predictive algorithms, and cohort technology to analyze the mobile content consumption patterns, converting data into profitable users.</t>
        </is>
      </c>
      <c r="E173" s="13" t="inlineStr">
        <is>
          <t>Media and Information Services (B2B)</t>
        </is>
      </c>
      <c r="F173" s="14" t="inlineStr">
        <is>
          <t>San Francisco, CA</t>
        </is>
      </c>
      <c r="G173" s="15" t="inlineStr">
        <is>
          <t>Privately Held (backing)</t>
        </is>
      </c>
      <c r="H173" s="16" t="inlineStr">
        <is>
          <t>Venture Capital-Backed</t>
        </is>
      </c>
      <c r="I173" s="17" t="inlineStr">
        <is>
          <t>2B Angels, Altair Capital, Click Ventures, Digital Future, Emery Capital, Flint Capital, Glilot Capital Partners, Global Brain, Hawk Ventures, Individual Investor</t>
        </is>
      </c>
      <c r="J173" s="18" t="inlineStr">
        <is>
          <t>www.youappi.com</t>
        </is>
      </c>
      <c r="K173" s="19" t="inlineStr">
        <is>
          <t>contact@youappi.com</t>
        </is>
      </c>
      <c r="L173" s="20" t="inlineStr">
        <is>
          <t>+1 (415) 989-2900</t>
        </is>
      </c>
      <c r="M173" s="21" t="inlineStr">
        <is>
          <t>Moshe Vaknin</t>
        </is>
      </c>
      <c r="N173" s="22" t="inlineStr">
        <is>
          <t>Chief Executive Officer &amp; Co-Founder</t>
        </is>
      </c>
      <c r="O173" s="23" t="inlineStr">
        <is>
          <t>moshe@youappi.com</t>
        </is>
      </c>
      <c r="P173" s="24" t="inlineStr">
        <is>
          <t>+972 (0)77 551 6892</t>
        </is>
      </c>
      <c r="Q173" s="25" t="n">
        <v>2011.0</v>
      </c>
      <c r="R173" s="113">
        <f>HYPERLINK("https://my.pitchbook.com?c=54733-69", "View company online")</f>
      </c>
    </row>
    <row r="174">
      <c r="A174" s="27" t="inlineStr">
        <is>
          <t>63724-42</t>
        </is>
      </c>
      <c r="B174" s="28" t="inlineStr">
        <is>
          <t>You There</t>
        </is>
      </c>
      <c r="C174" s="29" t="inlineStr">
        <is>
          <t>94114</t>
        </is>
      </c>
      <c r="D174" s="30" t="inlineStr">
        <is>
          <t>Developer of software products.</t>
        </is>
      </c>
      <c r="E174" s="31" t="inlineStr">
        <is>
          <t>Application Software</t>
        </is>
      </c>
      <c r="F174" s="32" t="inlineStr">
        <is>
          <t>San Francisco, CA</t>
        </is>
      </c>
      <c r="G174" s="33" t="inlineStr">
        <is>
          <t>Privately Held (backing)</t>
        </is>
      </c>
      <c r="H174" s="34" t="inlineStr">
        <is>
          <t>Venture Capital-Backed</t>
        </is>
      </c>
      <c r="I174" s="35" t="inlineStr">
        <is>
          <t>Y Combinator</t>
        </is>
      </c>
      <c r="J174" s="36" t="inlineStr">
        <is>
          <t/>
        </is>
      </c>
      <c r="K174" s="37" t="inlineStr">
        <is>
          <t/>
        </is>
      </c>
      <c r="L174" s="38" t="inlineStr">
        <is>
          <t>+1 (803) 608-1733</t>
        </is>
      </c>
      <c r="M174" s="39" t="inlineStr">
        <is>
          <t>Aston Motes</t>
        </is>
      </c>
      <c r="N174" s="40" t="inlineStr">
        <is>
          <t>Chief Executive Officer &amp; Founder</t>
        </is>
      </c>
      <c r="O174" s="41" t="inlineStr">
        <is>
          <t/>
        </is>
      </c>
      <c r="P174" s="42" t="inlineStr">
        <is>
          <t>+1 (803) 608-1733</t>
        </is>
      </c>
      <c r="Q174" s="43" t="n">
        <v>2012.0</v>
      </c>
      <c r="R174" s="114">
        <f>HYPERLINK("https://my.pitchbook.com?c=63724-42", "View company online")</f>
      </c>
    </row>
    <row r="175">
      <c r="A175" s="9" t="inlineStr">
        <is>
          <t>53702-92</t>
        </is>
      </c>
      <c r="B175" s="10" t="inlineStr">
        <is>
          <t>YottaMark</t>
        </is>
      </c>
      <c r="C175" s="11" t="inlineStr">
        <is>
          <t>94065</t>
        </is>
      </c>
      <c r="D175" s="12" t="inlineStr">
        <is>
          <t>Provider of fresh food traceability and supply-chain insights platform. The company offers HarvestMark, a cloud-based food-traceability platform that enables fresh food buyers and sellers to trace meat and seafood products back to the harvest.</t>
        </is>
      </c>
      <c r="E175" s="13" t="inlineStr">
        <is>
          <t>Business/Productivity Software</t>
        </is>
      </c>
      <c r="F175" s="14" t="inlineStr">
        <is>
          <t>Redwood City, CA</t>
        </is>
      </c>
      <c r="G175" s="15" t="inlineStr">
        <is>
          <t>Privately Held (backing)</t>
        </is>
      </c>
      <c r="H175" s="16" t="inlineStr">
        <is>
          <t>Venture Capital-Backed</t>
        </is>
      </c>
      <c r="I175" s="17" t="inlineStr">
        <is>
          <t>ATA Ventures, Granite Ventures, Thomvest International Limited, Westbury Partners</t>
        </is>
      </c>
      <c r="J175" s="18" t="inlineStr">
        <is>
          <t>www.yottamark.com</t>
        </is>
      </c>
      <c r="K175" s="19" t="inlineStr">
        <is>
          <t>info@yottamark.com</t>
        </is>
      </c>
      <c r="L175" s="20" t="inlineStr">
        <is>
          <t>+1 (650) 264-6200</t>
        </is>
      </c>
      <c r="M175" s="21" t="inlineStr">
        <is>
          <t>Elliott Grant</t>
        </is>
      </c>
      <c r="N175" s="22" t="inlineStr">
        <is>
          <t>Chief Technology Officer, Board Member &amp; Founder</t>
        </is>
      </c>
      <c r="O175" s="23" t="inlineStr">
        <is>
          <t/>
        </is>
      </c>
      <c r="P175" s="24" t="inlineStr">
        <is>
          <t/>
        </is>
      </c>
      <c r="Q175" s="25" t="n">
        <v>2005.0</v>
      </c>
      <c r="R175" s="113">
        <f>HYPERLINK("https://my.pitchbook.com?c=53702-92", "View company online")</f>
      </c>
    </row>
    <row r="176">
      <c r="A176" s="27" t="inlineStr">
        <is>
          <t>162308-26</t>
        </is>
      </c>
      <c r="B176" s="28" t="inlineStr">
        <is>
          <t>YotaScale</t>
        </is>
      </c>
      <c r="C176" s="29" t="inlineStr">
        <is>
          <t>94025</t>
        </is>
      </c>
      <c r="D176" s="30" t="inlineStr">
        <is>
          <t>Provider of a platform for cloud computing. The company provides an enterprise-grade systems management platform for cloud computing.</t>
        </is>
      </c>
      <c r="E176" s="31" t="inlineStr">
        <is>
          <t>Business/Productivity Software</t>
        </is>
      </c>
      <c r="F176" s="32" t="inlineStr">
        <is>
          <t>Menlo Park, CA</t>
        </is>
      </c>
      <c r="G176" s="33" t="inlineStr">
        <is>
          <t>Privately Held (backing)</t>
        </is>
      </c>
      <c r="H176" s="34" t="inlineStr">
        <is>
          <t>Venture Capital-Backed</t>
        </is>
      </c>
      <c r="I176" s="35" t="inlineStr">
        <is>
          <t>Alchemist Accelerator, Engineering Capital, Jocelyn Goldfein, NewDo Venture, Pelion Venture Partners, Robert Dykes, Timothy Chou</t>
        </is>
      </c>
      <c r="J176" s="36" t="inlineStr">
        <is>
          <t>www.yotascale.com</t>
        </is>
      </c>
      <c r="K176" s="37" t="inlineStr">
        <is>
          <t>info@yotascale.com</t>
        </is>
      </c>
      <c r="L176" s="38" t="inlineStr">
        <is>
          <t>+1 (650) 746-4539</t>
        </is>
      </c>
      <c r="M176" s="39" t="inlineStr">
        <is>
          <t>Asim Razzaq</t>
        </is>
      </c>
      <c r="N176" s="40" t="inlineStr">
        <is>
          <t>Co-Founder &amp; Chief Executive Officer</t>
        </is>
      </c>
      <c r="O176" s="41" t="inlineStr">
        <is>
          <t>asim.razzaq@yotascale.com</t>
        </is>
      </c>
      <c r="P176" s="42" t="inlineStr">
        <is>
          <t>+1 (650) 746-4539</t>
        </is>
      </c>
      <c r="Q176" s="43" t="n">
        <v>2015.0</v>
      </c>
      <c r="R176" s="114">
        <f>HYPERLINK("https://my.pitchbook.com?c=162308-26", "View company online")</f>
      </c>
    </row>
    <row r="177">
      <c r="A177" s="9" t="inlineStr">
        <is>
          <t>54991-81</t>
        </is>
      </c>
      <c r="B177" s="10" t="inlineStr">
        <is>
          <t>Yosko</t>
        </is>
      </c>
      <c r="C177" s="11" t="inlineStr">
        <is>
          <t>90048</t>
        </is>
      </c>
      <c r="D177" s="12" t="inlineStr">
        <is>
          <t>Developer of a mobile patient care application designed to improve transitions of care and reduce preventable medical errors. The company's mobile patient care application interfaces with the hospitals' electronic health records systems to provide on-the-go access to patient records, enabling users to experience a smooth and safe patient care coordination on a single platform.</t>
        </is>
      </c>
      <c r="E177" s="13" t="inlineStr">
        <is>
          <t>Medical Records Systems</t>
        </is>
      </c>
      <c r="F177" s="14" t="inlineStr">
        <is>
          <t>Los Angeles, CA</t>
        </is>
      </c>
      <c r="G177" s="15" t="inlineStr">
        <is>
          <t>Privately Held (backing)</t>
        </is>
      </c>
      <c r="H177" s="16" t="inlineStr">
        <is>
          <t>Venture Capital-Backed</t>
        </is>
      </c>
      <c r="I177" s="17" t="inlineStr">
        <is>
          <t>Healthbox, Right Side Capital Management, Sprint Accelerator, Techstars</t>
        </is>
      </c>
      <c r="J177" s="18" t="inlineStr">
        <is>
          <t>www.yosko.com</t>
        </is>
      </c>
      <c r="K177" s="19" t="inlineStr">
        <is>
          <t>info@yosko.com</t>
        </is>
      </c>
      <c r="L177" s="20" t="inlineStr">
        <is>
          <t>+1 (866) 379-6756</t>
        </is>
      </c>
      <c r="M177" s="21" t="inlineStr">
        <is>
          <t>Andriana Nikolova</t>
        </is>
      </c>
      <c r="N177" s="22" t="inlineStr">
        <is>
          <t>Co-Founder &amp; Chief Executive Officer</t>
        </is>
      </c>
      <c r="O177" s="23" t="inlineStr">
        <is>
          <t>andriana@yosko.com</t>
        </is>
      </c>
      <c r="P177" s="24" t="inlineStr">
        <is>
          <t>+1 (866) 379-6756</t>
        </is>
      </c>
      <c r="Q177" s="25" t="n">
        <v>2012.0</v>
      </c>
      <c r="R177" s="113">
        <f>HYPERLINK("https://my.pitchbook.com?c=54991-81", "View company online")</f>
      </c>
    </row>
    <row r="178">
      <c r="A178" s="27" t="inlineStr">
        <is>
          <t>111254-95</t>
        </is>
      </c>
      <c r="B178" s="28" t="inlineStr">
        <is>
          <t>YoShirt</t>
        </is>
      </c>
      <c r="C178" s="29" t="inlineStr">
        <is>
          <t>90023</t>
        </is>
      </c>
      <c r="D178" s="30" t="inlineStr">
        <is>
          <t>Provider of an application for cloth designing. The company offers a platform that allows users to use photos, stickers, fonts, and other various tools to design garments via a mobile device and purchase just one unit at a time through a stream-lined supply chain.</t>
        </is>
      </c>
      <c r="E178" s="31" t="inlineStr">
        <is>
          <t>Application Software</t>
        </is>
      </c>
      <c r="F178" s="32" t="inlineStr">
        <is>
          <t>Los Angeles, CA</t>
        </is>
      </c>
      <c r="G178" s="33" t="inlineStr">
        <is>
          <t>Privately Held (backing)</t>
        </is>
      </c>
      <c r="H178" s="34" t="inlineStr">
        <is>
          <t>Venture Capital-Backed</t>
        </is>
      </c>
      <c r="I178" s="35" t="inlineStr">
        <is>
          <t>Alex Ok, Anthony Longo, Arjun Sethi, Kevin O'Conner, Kleiner Perkins Caufield &amp; Byers, KPCB Edge, Mesa Ventures, Pritzker Group Venture Capital, Resolute Ventures</t>
        </is>
      </c>
      <c r="J178" s="36" t="inlineStr">
        <is>
          <t>www.yoshirt.com</t>
        </is>
      </c>
      <c r="K178" s="37" t="inlineStr">
        <is>
          <t>help@yoshirt.com</t>
        </is>
      </c>
      <c r="L178" s="38" t="inlineStr">
        <is>
          <t>+1 (800) 952-5210</t>
        </is>
      </c>
      <c r="M178" s="39" t="inlineStr">
        <is>
          <t>Ben Williamson</t>
        </is>
      </c>
      <c r="N178" s="40" t="inlineStr">
        <is>
          <t>Chief Executive Officer &amp; Co-Founder</t>
        </is>
      </c>
      <c r="O178" s="41" t="inlineStr">
        <is>
          <t>ben@yoshirt.com</t>
        </is>
      </c>
      <c r="P178" s="42" t="inlineStr">
        <is>
          <t>+1 (800) 952-5210</t>
        </is>
      </c>
      <c r="Q178" s="43" t="n">
        <v>2014.0</v>
      </c>
      <c r="R178" s="114">
        <f>HYPERLINK("https://my.pitchbook.com?c=111254-95", "View company online")</f>
      </c>
    </row>
    <row r="179">
      <c r="A179" s="9" t="inlineStr">
        <is>
          <t>117408-70</t>
        </is>
      </c>
      <c r="B179" s="10" t="inlineStr">
        <is>
          <t>YONO Labs</t>
        </is>
      </c>
      <c r="C179" s="11" t="inlineStr">
        <is>
          <t>94040</t>
        </is>
      </c>
      <c r="D179" s="12" t="inlineStr">
        <is>
          <t>Provider of wearable earbud designed to measure basal body temperature, which may be used in predicting ovulation. The company's wearable earbud is a silicone-encased earpiece which is worn all night to measure core body temperature by using machine learning algorithms to plot a monthly fertility chart to predict one's fertile window, enabling women to have natural family planning and hormonal health monitoring simple.</t>
        </is>
      </c>
      <c r="E179" s="13" t="inlineStr">
        <is>
          <t>Monitoring Equipment</t>
        </is>
      </c>
      <c r="F179" s="14" t="inlineStr">
        <is>
          <t>Mountain View, CA</t>
        </is>
      </c>
      <c r="G179" s="15" t="inlineStr">
        <is>
          <t>Privately Held (backing)</t>
        </is>
      </c>
      <c r="H179" s="16" t="inlineStr">
        <is>
          <t>Venture Capital-Backed</t>
        </is>
      </c>
      <c r="I179" s="17" t="inlineStr">
        <is>
          <t>Amino Capital, Lab360 Hardware Incubator</t>
        </is>
      </c>
      <c r="J179" s="18" t="inlineStr">
        <is>
          <t>www.yonolabs.com</t>
        </is>
      </c>
      <c r="K179" s="19" t="inlineStr">
        <is>
          <t/>
        </is>
      </c>
      <c r="L179" s="20" t="inlineStr">
        <is>
          <t/>
        </is>
      </c>
      <c r="M179" s="21" t="inlineStr">
        <is>
          <t>Vanessa Xi</t>
        </is>
      </c>
      <c r="N179" s="22" t="inlineStr">
        <is>
          <t>Founder &amp; Chief Executive Officer</t>
        </is>
      </c>
      <c r="O179" s="23" t="inlineStr">
        <is>
          <t/>
        </is>
      </c>
      <c r="P179" s="24" t="inlineStr">
        <is>
          <t/>
        </is>
      </c>
      <c r="Q179" s="25" t="n">
        <v>2014.0</v>
      </c>
      <c r="R179" s="113">
        <f>HYPERLINK("https://my.pitchbook.com?c=117408-70", "View company online")</f>
      </c>
    </row>
    <row r="180">
      <c r="A180" s="27" t="inlineStr">
        <is>
          <t>99994-78</t>
        </is>
      </c>
      <c r="B180" s="28" t="inlineStr">
        <is>
          <t>Yolia Health</t>
        </is>
      </c>
      <c r="C180" s="29" t="inlineStr">
        <is>
          <t>92101</t>
        </is>
      </c>
      <c r="D180" s="30" t="inlineStr">
        <is>
          <t>Developer of biomedical devices for the eye-care sector. The company offers non-invasive treatments for presbyopia, a normal age-related condition that includes blurred vision when reading or doing close work.</t>
        </is>
      </c>
      <c r="E180" s="31" t="inlineStr">
        <is>
          <t>Other Devices and Supplies</t>
        </is>
      </c>
      <c r="F180" s="32" t="inlineStr">
        <is>
          <t>San Diego, CA</t>
        </is>
      </c>
      <c r="G180" s="33" t="inlineStr">
        <is>
          <t>Privately Held (backing)</t>
        </is>
      </c>
      <c r="H180" s="34" t="inlineStr">
        <is>
          <t>Venture Capital-Backed</t>
        </is>
      </c>
      <c r="I180" s="35" t="inlineStr">
        <is>
          <t>Angel Ventures, Arizona Commerce Authority, BioAccel, Endeavor Global, Fusion Ventures, JLabs, MIT Venture Mentoring Service</t>
        </is>
      </c>
      <c r="J180" s="36" t="inlineStr">
        <is>
          <t>www.yolia.com</t>
        </is>
      </c>
      <c r="K180" s="37" t="inlineStr">
        <is>
          <t>info@yolia.com</t>
        </is>
      </c>
      <c r="L180" s="38" t="inlineStr">
        <is>
          <t>+1 (619) 202-4810</t>
        </is>
      </c>
      <c r="M180" s="39" t="inlineStr">
        <is>
          <t>Eduardo Pons</t>
        </is>
      </c>
      <c r="N180" s="40" t="inlineStr">
        <is>
          <t>Chief Operating Officer</t>
        </is>
      </c>
      <c r="O180" s="41" t="inlineStr">
        <is>
          <t>eduardo.osio@yolia.com</t>
        </is>
      </c>
      <c r="P180" s="42" t="inlineStr">
        <is>
          <t>+1 (619) 202-4810</t>
        </is>
      </c>
      <c r="Q180" s="43" t="n">
        <v>2004.0</v>
      </c>
      <c r="R180" s="114">
        <f>HYPERLINK("https://my.pitchbook.com?c=99994-78", "View company online")</f>
      </c>
    </row>
    <row r="181">
      <c r="A181" s="9" t="inlineStr">
        <is>
          <t>52629-58</t>
        </is>
      </c>
      <c r="B181" s="10" t="inlineStr">
        <is>
          <t>Yola</t>
        </is>
      </c>
      <c r="C181" s="11" t="inlineStr">
        <is>
          <t>94133</t>
        </is>
      </c>
      <c r="D181" s="12" t="inlineStr">
        <is>
          <t>Operator of a website builder and website hosting company. The company allows users to build web sites and to incorporate widgets without knowing HTML. It integrates e-commerce and blog software and acts as a domain registrar.</t>
        </is>
      </c>
      <c r="E181" s="13" t="inlineStr">
        <is>
          <t>Social/Platform Software</t>
        </is>
      </c>
      <c r="F181" s="14" t="inlineStr">
        <is>
          <t>San Francisco, CA</t>
        </is>
      </c>
      <c r="G181" s="15" t="inlineStr">
        <is>
          <t>Privately Held (backing)</t>
        </is>
      </c>
      <c r="H181" s="16" t="inlineStr">
        <is>
          <t>Venture Capital-Backed</t>
        </is>
      </c>
      <c r="I181" s="17" t="inlineStr">
        <is>
          <t>Columbus Venture Capital, Reinet Investments</t>
        </is>
      </c>
      <c r="J181" s="18" t="inlineStr">
        <is>
          <t>www.yola.com</t>
        </is>
      </c>
      <c r="K181" s="19" t="inlineStr">
        <is>
          <t/>
        </is>
      </c>
      <c r="L181" s="20" t="inlineStr">
        <is>
          <t>+1 (866) 764-0701</t>
        </is>
      </c>
      <c r="M181" s="21" t="inlineStr">
        <is>
          <t>Trevor Harries-Jones</t>
        </is>
      </c>
      <c r="N181" s="22" t="inlineStr">
        <is>
          <t>Co-Founder, Co-Chief Executive Officer &amp; Board Member</t>
        </is>
      </c>
      <c r="O181" s="23" t="inlineStr">
        <is>
          <t>trevor@yola.com</t>
        </is>
      </c>
      <c r="P181" s="24" t="inlineStr">
        <is>
          <t>+1 (866) 764-0701</t>
        </is>
      </c>
      <c r="Q181" s="25" t="n">
        <v>2007.0</v>
      </c>
      <c r="R181" s="113">
        <f>HYPERLINK("https://my.pitchbook.com?c=52629-58", "View company online")</f>
      </c>
    </row>
    <row r="182">
      <c r="A182" s="27" t="inlineStr">
        <is>
          <t>109216-27</t>
        </is>
      </c>
      <c r="B182" s="28" t="inlineStr">
        <is>
          <t>Yoi</t>
        </is>
      </c>
      <c r="C182" s="29" t="inlineStr">
        <is>
          <t>90064</t>
        </is>
      </c>
      <c r="D182" s="30" t="inlineStr">
        <is>
          <t>Developer of an employee success platform designed to improve human performance in the workplace. The company's employee success platform combines behavioral science and decision-making algorithms to drive workforce performance and engagement, enabling enterprises to accelerate new employees ramp to productivity, while boosting engagement and retention.</t>
        </is>
      </c>
      <c r="E182" s="31" t="inlineStr">
        <is>
          <t>Business/Productivity Software</t>
        </is>
      </c>
      <c r="F182" s="32" t="inlineStr">
        <is>
          <t>Los Angeles, CA</t>
        </is>
      </c>
      <c r="G182" s="33" t="inlineStr">
        <is>
          <t>Privately Held (backing)</t>
        </is>
      </c>
      <c r="H182" s="34" t="inlineStr">
        <is>
          <t>Venture Capital-Backed</t>
        </is>
      </c>
      <c r="I182" s="35" t="inlineStr">
        <is>
          <t>10X Capital Management, Andy White, AngelList, Anthony Hsieh, Bradley Keywell, Cornerstone OnDemand, Dave Morin, Double M Partners, Innovation Group, Karlin Ventures, Keith Ferrazzi, Learn Capital, Millennium Trust Company, RRE Ventures, Slow Ventures, TYLT Ventures, VTF Capital, Wavemaker Partners</t>
        </is>
      </c>
      <c r="J182" s="36" t="inlineStr">
        <is>
          <t>www.yoicorp.com</t>
        </is>
      </c>
      <c r="K182" s="37" t="inlineStr">
        <is>
          <t>info@yoicorp.com</t>
        </is>
      </c>
      <c r="L182" s="38" t="inlineStr">
        <is>
          <t>+1 (855) 964-3677</t>
        </is>
      </c>
      <c r="M182" s="39" t="inlineStr">
        <is>
          <t>Robert Jordan</t>
        </is>
      </c>
      <c r="N182" s="40" t="inlineStr">
        <is>
          <t>Chief Executive Officer &amp; Board Member</t>
        </is>
      </c>
      <c r="O182" s="41" t="inlineStr">
        <is>
          <t>rjordan@yoicorp.com</t>
        </is>
      </c>
      <c r="P182" s="42" t="inlineStr">
        <is>
          <t>+1 (855) 964-3677</t>
        </is>
      </c>
      <c r="Q182" s="43" t="n">
        <v>2013.0</v>
      </c>
      <c r="R182" s="114">
        <f>HYPERLINK("https://my.pitchbook.com?c=109216-27", "View company online")</f>
      </c>
    </row>
    <row r="183">
      <c r="A183" s="9" t="inlineStr">
        <is>
          <t>54460-54</t>
        </is>
      </c>
      <c r="B183" s="10" t="inlineStr">
        <is>
          <t>Yogome</t>
        </is>
      </c>
      <c r="C183" s="11" t="inlineStr">
        <is>
          <t/>
        </is>
      </c>
      <c r="D183" s="12" t="inlineStr">
        <is>
          <t>Developer of educational games for kids designed to build the most engaging bilingual portfolio of games. The company's educational games allow kids of age 5 to 11 years learn and practice math, languages, recycling and the environment, nutrition, discover science, geography and history, enabling them to learn in a fun way.</t>
        </is>
      </c>
      <c r="E183" s="13" t="inlineStr">
        <is>
          <t>Entertainment Software</t>
        </is>
      </c>
      <c r="F183" s="14" t="inlineStr">
        <is>
          <t>Mexico City, Mexico</t>
        </is>
      </c>
      <c r="G183" s="15" t="inlineStr">
        <is>
          <t>Privately Held (backing)</t>
        </is>
      </c>
      <c r="H183" s="16" t="inlineStr">
        <is>
          <t>Venture Capital-Backed</t>
        </is>
      </c>
      <c r="I183" s="17" t="inlineStr">
        <is>
          <t>500 Startups, Benjamin Joffe, David McClure, Elliot Loh, Endeavor Global, John McIntire, Juan Salaverria, Maneesh Arora, Mario Valle, Mexican.vc Ventures, Seaya Ventures, Topaz Capital, Variv Capital</t>
        </is>
      </c>
      <c r="J183" s="18" t="inlineStr">
        <is>
          <t>www.yogome.com</t>
        </is>
      </c>
      <c r="K183" s="19" t="inlineStr">
        <is>
          <t/>
        </is>
      </c>
      <c r="L183" s="20" t="inlineStr">
        <is>
          <t/>
        </is>
      </c>
      <c r="M183" s="21" t="inlineStr">
        <is>
          <t>Manolo Diaz</t>
        </is>
      </c>
      <c r="N183" s="22" t="inlineStr">
        <is>
          <t>Chief Executive Officer, Game Developer &amp; Co-Founder</t>
        </is>
      </c>
      <c r="O183" s="23" t="inlineStr">
        <is>
          <t>manolo@yogome.com</t>
        </is>
      </c>
      <c r="P183" s="24" t="inlineStr">
        <is>
          <t/>
        </is>
      </c>
      <c r="Q183" s="25" t="n">
        <v>2011.0</v>
      </c>
      <c r="R183" s="113">
        <f>HYPERLINK("https://my.pitchbook.com?c=54460-54", "View company online")</f>
      </c>
    </row>
    <row r="184">
      <c r="A184" s="27" t="inlineStr">
        <is>
          <t>98502-49</t>
        </is>
      </c>
      <c r="B184" s="28" t="inlineStr">
        <is>
          <t>Yogatrail</t>
        </is>
      </c>
      <c r="C184" s="29" t="inlineStr">
        <is>
          <t>94119</t>
        </is>
      </c>
      <c r="D184" s="30" t="inlineStr">
        <is>
          <t>Provider of a platform designed to connect yoga practitioners with their instructors. The company's platform provides timely information about yoga events and happenings in a particular area to the yoga community, enabling yoga teachers to communicate with their students and keep them in the loop about classes, workshops, news and events.</t>
        </is>
      </c>
      <c r="E184" s="31" t="inlineStr">
        <is>
          <t>Social/Platform Software</t>
        </is>
      </c>
      <c r="F184" s="32" t="inlineStr">
        <is>
          <t>San Francisco, CA</t>
        </is>
      </c>
      <c r="G184" s="33" t="inlineStr">
        <is>
          <t>Privately Held (backing)</t>
        </is>
      </c>
      <c r="H184" s="34" t="inlineStr">
        <is>
          <t>Venture Capital-Backed</t>
        </is>
      </c>
      <c r="I184" s="35" t="inlineStr">
        <is>
          <t>500 Startups, David McClure, Expara IDM Ventures, Khailee Ng, Sven Ernst</t>
        </is>
      </c>
      <c r="J184" s="36" t="inlineStr">
        <is>
          <t>www.yogatrail.com</t>
        </is>
      </c>
      <c r="K184" s="37" t="inlineStr">
        <is>
          <t>mail@yogatrail.com</t>
        </is>
      </c>
      <c r="L184" s="38" t="inlineStr">
        <is>
          <t/>
        </is>
      </c>
      <c r="M184" s="39" t="inlineStr">
        <is>
          <t>Alex Klein</t>
        </is>
      </c>
      <c r="N184" s="40" t="inlineStr">
        <is>
          <t>Co-Founder, Chief Executive Officer &amp; Business</t>
        </is>
      </c>
      <c r="O184" s="41" t="inlineStr">
        <is>
          <t>alex.klein@yogatrail.com</t>
        </is>
      </c>
      <c r="P184" s="42" t="inlineStr">
        <is>
          <t/>
        </is>
      </c>
      <c r="Q184" s="43" t="n">
        <v>2013.0</v>
      </c>
      <c r="R184" s="114">
        <f>HYPERLINK("https://my.pitchbook.com?c=98502-49", "View company online")</f>
      </c>
    </row>
    <row r="185">
      <c r="A185" s="9" t="inlineStr">
        <is>
          <t>54720-01</t>
        </is>
      </c>
      <c r="B185" s="10" t="inlineStr">
        <is>
          <t>Yodo1</t>
        </is>
      </c>
      <c r="C185" s="11" t="inlineStr">
        <is>
          <t>100020</t>
        </is>
      </c>
      <c r="D185" s="12" t="inlineStr">
        <is>
          <t>Provider of an online publishing and mobile game developing platform. The company provides a full-service publishing platform that helps mobile game developers to launch their titles in China's mobile gaming market.</t>
        </is>
      </c>
      <c r="E185" s="13" t="inlineStr">
        <is>
          <t>Entertainment Software</t>
        </is>
      </c>
      <c r="F185" s="14" t="inlineStr">
        <is>
          <t>Beijing, China</t>
        </is>
      </c>
      <c r="G185" s="15" t="inlineStr">
        <is>
          <t>Privately Held (backing)</t>
        </is>
      </c>
      <c r="H185" s="16" t="inlineStr">
        <is>
          <t>Venture Capital-Backed</t>
        </is>
      </c>
      <c r="I185" s="17" t="inlineStr">
        <is>
          <t>Changyou Fund, GGV Capital, Individual Investor, Iris Capital Management, Pavillion Capital, RTM Asia, Singtel Innov8, Zhi Tan</t>
        </is>
      </c>
      <c r="J185" s="18" t="inlineStr">
        <is>
          <t>www.yodo1.com</t>
        </is>
      </c>
      <c r="K185" s="19" t="inlineStr">
        <is>
          <t>info@yodo1.com</t>
        </is>
      </c>
      <c r="L185" s="20" t="inlineStr">
        <is>
          <t>+86 (0)25 5899 1568</t>
        </is>
      </c>
      <c r="M185" s="21" t="inlineStr">
        <is>
          <t>Henry Fong</t>
        </is>
      </c>
      <c r="N185" s="22" t="inlineStr">
        <is>
          <t>Co-Founder and Chief Executive Officer</t>
        </is>
      </c>
      <c r="O185" s="23" t="inlineStr">
        <is>
          <t>henryfong@yodo1.com</t>
        </is>
      </c>
      <c r="P185" s="24" t="inlineStr">
        <is>
          <t>+86 (0)25 5899 1568</t>
        </is>
      </c>
      <c r="Q185" s="25" t="n">
        <v>2011.0</v>
      </c>
      <c r="R185" s="113">
        <f>HYPERLINK("https://my.pitchbook.com?c=54720-01", "View company online")</f>
      </c>
    </row>
    <row r="186">
      <c r="A186" s="27" t="inlineStr">
        <is>
          <t>120810-70</t>
        </is>
      </c>
      <c r="B186" s="28" t="inlineStr">
        <is>
          <t>Yodas</t>
        </is>
      </c>
      <c r="C186" s="29" t="inlineStr">
        <is>
          <t>94041</t>
        </is>
      </c>
      <c r="D186" s="30" t="inlineStr">
        <is>
          <t>Developer of an online discovery engine designed to analyse all the startups on the basis of their team pedigree, expertise, growth rate, business success, financial stability and technology. The company's online discovery engine offers a professional graph which provides information about products and projects, unfolds the human story behind product creation and leads to new opportunities for hiring, team creation, consulting and recruiting, enabling software developers, product managers and designers to analyse all startup companies.</t>
        </is>
      </c>
      <c r="E186" s="31" t="inlineStr">
        <is>
          <t>Social Content</t>
        </is>
      </c>
      <c r="F186" s="32" t="inlineStr">
        <is>
          <t>Mountain View, CA</t>
        </is>
      </c>
      <c r="G186" s="33" t="inlineStr">
        <is>
          <t>Privately Held (backing)</t>
        </is>
      </c>
      <c r="H186" s="34" t="inlineStr">
        <is>
          <t>Venture Capital-Backed</t>
        </is>
      </c>
      <c r="I186" s="35" t="inlineStr">
        <is>
          <t>Elevator Fund, HillsVen Capital, NFX Guild, SignalFire</t>
        </is>
      </c>
      <c r="J186" s="36" t="inlineStr">
        <is>
          <t>www.yodas.com</t>
        </is>
      </c>
      <c r="K186" s="37" t="inlineStr">
        <is>
          <t>tos@yodas.com</t>
        </is>
      </c>
      <c r="L186" s="38" t="inlineStr">
        <is>
          <t/>
        </is>
      </c>
      <c r="M186" s="39" t="inlineStr">
        <is>
          <t>Ran Tavory</t>
        </is>
      </c>
      <c r="N186" s="40" t="inlineStr">
        <is>
          <t>Co-Founder &amp; Chief Technology Officer</t>
        </is>
      </c>
      <c r="O186" s="41" t="inlineStr">
        <is>
          <t>ran@yodas.com</t>
        </is>
      </c>
      <c r="P186" s="42" t="inlineStr">
        <is>
          <t/>
        </is>
      </c>
      <c r="Q186" s="43" t="n">
        <v>2014.0</v>
      </c>
      <c r="R186" s="114">
        <f>HYPERLINK("https://my.pitchbook.com?c=120810-70", "View company online")</f>
      </c>
    </row>
    <row r="187">
      <c r="A187" s="9" t="inlineStr">
        <is>
          <t>89964-64</t>
        </is>
      </c>
      <c r="B187" s="10" t="inlineStr">
        <is>
          <t>YoAmo Media</t>
        </is>
      </c>
      <c r="C187" s="11" t="inlineStr">
        <is>
          <t>94010</t>
        </is>
      </c>
      <c r="D187" s="12" t="inlineStr">
        <is>
          <t>Provider of an omni-channel to connect with the Latin Woman.</t>
        </is>
      </c>
      <c r="E187" s="13" t="inlineStr">
        <is>
          <t>Social/Platform Software</t>
        </is>
      </c>
      <c r="F187" s="14" t="inlineStr">
        <is>
          <t>Burlingame, CA</t>
        </is>
      </c>
      <c r="G187" s="15" t="inlineStr">
        <is>
          <t>Privately Held (backing)</t>
        </is>
      </c>
      <c r="H187" s="16" t="inlineStr">
        <is>
          <t>Venture Capital-Backed</t>
        </is>
      </c>
      <c r="I187" s="17" t="inlineStr">
        <is>
          <t>500 Startups, Bhupen Shah, DILA Capital, Michael Liou, Sherman Ting, Sumit Gupta, Tandem Capital, Vikrant Bhargava</t>
        </is>
      </c>
      <c r="J187" s="18" t="inlineStr">
        <is>
          <t>www.yoamoloszapatos.com</t>
        </is>
      </c>
      <c r="K187" s="19" t="inlineStr">
        <is>
          <t/>
        </is>
      </c>
      <c r="L187" s="20" t="inlineStr">
        <is>
          <t/>
        </is>
      </c>
      <c r="M187" s="21" t="inlineStr">
        <is>
          <t>Felipe Servin</t>
        </is>
      </c>
      <c r="N187" s="22" t="inlineStr">
        <is>
          <t>Co-Founder, Chief Executive Officer &amp; Chairman</t>
        </is>
      </c>
      <c r="O187" s="23" t="inlineStr">
        <is>
          <t>founders@shoelovers.co</t>
        </is>
      </c>
      <c r="P187" s="24" t="inlineStr">
        <is>
          <t>+1 (415) 800-3551</t>
        </is>
      </c>
      <c r="Q187" s="25" t="n">
        <v>2013.0</v>
      </c>
      <c r="R187" s="113">
        <f>HYPERLINK("https://my.pitchbook.com?c=89964-64", "View company online")</f>
      </c>
    </row>
    <row r="188">
      <c r="A188" s="27" t="inlineStr">
        <is>
          <t>64094-95</t>
        </is>
      </c>
      <c r="B188" s="28" t="inlineStr">
        <is>
          <t>Yo App</t>
        </is>
      </c>
      <c r="C188" s="29" t="inlineStr">
        <is>
          <t>411057</t>
        </is>
      </c>
      <c r="D188" s="30" t="inlineStr">
        <is>
          <t>Developer of single-tap, zero-character communication application. The company provides a social platform enabling users to receive updates, messages and advertisements from surrounding users and businesses, through microblogs and chats.</t>
        </is>
      </c>
      <c r="E188" s="31" t="inlineStr">
        <is>
          <t>Social/Platform Software</t>
        </is>
      </c>
      <c r="F188" s="32" t="inlineStr">
        <is>
          <t>Pune, India</t>
        </is>
      </c>
      <c r="G188" s="33" t="inlineStr">
        <is>
          <t>Privately Held (backing)</t>
        </is>
      </c>
      <c r="H188" s="34" t="inlineStr">
        <is>
          <t>Venture Capital-Backed</t>
        </is>
      </c>
      <c r="I188" s="35" t="inlineStr">
        <is>
          <t>Betaworks, Ed Baker, Pete Cashmore, Pitney Bowes, Singulariteam, Slow Ventures, Vic Lee</t>
        </is>
      </c>
      <c r="J188" s="36" t="inlineStr">
        <is>
          <t>www.yo-app.com</t>
        </is>
      </c>
      <c r="K188" s="37" t="inlineStr">
        <is>
          <t/>
        </is>
      </c>
      <c r="L188" s="38" t="inlineStr">
        <is>
          <t>+91 (0)97 3024 6928</t>
        </is>
      </c>
      <c r="M188" s="39" t="inlineStr">
        <is>
          <t>Or Arbel</t>
        </is>
      </c>
      <c r="N188" s="40" t="inlineStr">
        <is>
          <t>Co-Founder &amp; Co-Chief Executive Officer</t>
        </is>
      </c>
      <c r="O188" s="41" t="inlineStr">
        <is>
          <t/>
        </is>
      </c>
      <c r="P188" s="42" t="inlineStr">
        <is>
          <t>+91 (0)97 3024 6928</t>
        </is>
      </c>
      <c r="Q188" s="43" t="n">
        <v>2014.0</v>
      </c>
      <c r="R188" s="114">
        <f>HYPERLINK("https://my.pitchbook.com?c=64094-95", "View company online")</f>
      </c>
    </row>
    <row r="189">
      <c r="A189" s="9" t="inlineStr">
        <is>
          <t>55899-55</t>
        </is>
      </c>
      <c r="B189" s="10" t="inlineStr">
        <is>
          <t>Yiftee</t>
        </is>
      </c>
      <c r="C189" s="11" t="inlineStr">
        <is>
          <t>94025</t>
        </is>
      </c>
      <c r="D189" s="12" t="inlineStr">
        <is>
          <t>Provider of online gifting services. The company's mobile application allows people to send gifts among friends, families and colleagues through email, mobile and social media.</t>
        </is>
      </c>
      <c r="E189" s="13" t="inlineStr">
        <is>
          <t>Application Software</t>
        </is>
      </c>
      <c r="F189" s="14" t="inlineStr">
        <is>
          <t>Menlo Park, CA</t>
        </is>
      </c>
      <c r="G189" s="15" t="inlineStr">
        <is>
          <t>Privately Held (backing)</t>
        </is>
      </c>
      <c r="H189" s="16" t="inlineStr">
        <is>
          <t>Venture Capital-Backed</t>
        </is>
      </c>
      <c r="I189" s="17" t="inlineStr">
        <is>
          <t>Asset Management Ventures, Burt Sugarman, Franklin Johnson, Jillian Manus, Mary Hart, Mike Levinthal, Mohr Davidow Ventures, Oakhouse Partners, Scott Cook, Transpacific Industries Group</t>
        </is>
      </c>
      <c r="J189" s="18" t="inlineStr">
        <is>
          <t>www.yiftee.com</t>
        </is>
      </c>
      <c r="K189" s="19" t="inlineStr">
        <is>
          <t>info@yiftee.com</t>
        </is>
      </c>
      <c r="L189" s="20" t="inlineStr">
        <is>
          <t>+1 (650) 564-4438</t>
        </is>
      </c>
      <c r="M189" s="21" t="inlineStr">
        <is>
          <t>Donna Novitsky</t>
        </is>
      </c>
      <c r="N189" s="22" t="inlineStr">
        <is>
          <t>Chief Executive Officer &amp; Co-Founder</t>
        </is>
      </c>
      <c r="O189" s="23" t="inlineStr">
        <is>
          <t>donna@yiftee.com</t>
        </is>
      </c>
      <c r="P189" s="24" t="inlineStr">
        <is>
          <t>+1 (650) 564-4438</t>
        </is>
      </c>
      <c r="Q189" s="25" t="n">
        <v>2011.0</v>
      </c>
      <c r="R189" s="113">
        <f>HYPERLINK("https://my.pitchbook.com?c=55899-55", "View company online")</f>
      </c>
    </row>
    <row r="190">
      <c r="A190" s="27" t="inlineStr">
        <is>
          <t>53914-42</t>
        </is>
      </c>
      <c r="B190" s="28" t="inlineStr">
        <is>
          <t>Yieldbot</t>
        </is>
      </c>
      <c r="C190" s="29" t="inlineStr">
        <is>
          <t>10010</t>
        </is>
      </c>
      <c r="D190" s="30" t="inlineStr">
        <is>
          <t>Provider of an online advertising platform. The company collects visitor data, mines it and then serves advertisements to the visitor that are actionable based on the rules-based engine it has created.</t>
        </is>
      </c>
      <c r="E190" s="31" t="inlineStr">
        <is>
          <t>Media and Information Services (B2B)</t>
        </is>
      </c>
      <c r="F190" s="32" t="inlineStr">
        <is>
          <t>New York, NY</t>
        </is>
      </c>
      <c r="G190" s="33" t="inlineStr">
        <is>
          <t>Privately Held (backing)</t>
        </is>
      </c>
      <c r="H190" s="34" t="inlineStr">
        <is>
          <t>Venture Capital-Backed</t>
        </is>
      </c>
      <c r="I190" s="35" t="inlineStr">
        <is>
          <t>Betaworks, BoxGroup, Cathie Black, City National Bank, Converge Venture Partners, David Tisch, Howard Lindzon, Individual Investor, Jerry Neumann, KBS Ventures, Lindzon Capital Partners, NAV.VC, Neu Venture Capital, RRE Ventures, SJF Ventures, Staley Capital Management</t>
        </is>
      </c>
      <c r="J190" s="36" t="inlineStr">
        <is>
          <t>www.yieldbot.com</t>
        </is>
      </c>
      <c r="K190" s="37" t="inlineStr">
        <is>
          <t>info@yieldbot.com</t>
        </is>
      </c>
      <c r="L190" s="38" t="inlineStr">
        <is>
          <t/>
        </is>
      </c>
      <c r="M190" s="39" t="inlineStr">
        <is>
          <t>Jonathan Mendez</t>
        </is>
      </c>
      <c r="N190" s="40" t="inlineStr">
        <is>
          <t>Chief Executive Officer &amp; Co-Founder</t>
        </is>
      </c>
      <c r="O190" s="41" t="inlineStr">
        <is>
          <t>jmendez@yieldbot.com</t>
        </is>
      </c>
      <c r="P190" s="42" t="inlineStr">
        <is>
          <t/>
        </is>
      </c>
      <c r="Q190" s="43" t="n">
        <v>2009.0</v>
      </c>
      <c r="R190" s="114">
        <f>HYPERLINK("https://my.pitchbook.com?c=53914-42", "View company online")</f>
      </c>
    </row>
    <row r="191">
      <c r="A191" s="9" t="inlineStr">
        <is>
          <t>161267-68</t>
        </is>
      </c>
      <c r="B191" s="10" t="inlineStr">
        <is>
          <t>Yewno</t>
        </is>
      </c>
      <c r="C191" s="11" t="inlineStr">
        <is>
          <t>94063</t>
        </is>
      </c>
      <c r="D191" s="12" t="inlineStr">
        <is>
          <t>Developer of a knowledge discovery platform that enables connections between concepts and content. The company has developed an inference and discovery engine that uses advanced computational semantics, graph theory and machine learning to make associations between concepts and keeps users updated with the latest knowledge or concept inferences relevant to them.</t>
        </is>
      </c>
      <c r="E191" s="13" t="inlineStr">
        <is>
          <t>Database Software</t>
        </is>
      </c>
      <c r="F191" s="14" t="inlineStr">
        <is>
          <t>Redwood City, CA</t>
        </is>
      </c>
      <c r="G191" s="15" t="inlineStr">
        <is>
          <t>Privately Held (backing)</t>
        </is>
      </c>
      <c r="H191" s="16" t="inlineStr">
        <is>
          <t>Venture Capital-Backed</t>
        </is>
      </c>
      <c r="I191" s="17" t="inlineStr">
        <is>
          <t>Desmond Shum, Pacific Capital (Luxembourg)</t>
        </is>
      </c>
      <c r="J191" s="18" t="inlineStr">
        <is>
          <t>www.yewno.com</t>
        </is>
      </c>
      <c r="K191" s="19" t="inlineStr">
        <is>
          <t>hello@yewno.com</t>
        </is>
      </c>
      <c r="L191" s="20" t="inlineStr">
        <is>
          <t/>
        </is>
      </c>
      <c r="M191" s="21" t="inlineStr">
        <is>
          <t>Ruggero Gramatica</t>
        </is>
      </c>
      <c r="N191" s="22" t="inlineStr">
        <is>
          <t>Co-Founder &amp; Chief Executive Officer</t>
        </is>
      </c>
      <c r="O191" s="23" t="inlineStr">
        <is>
          <t>ruggero@yewno.com</t>
        </is>
      </c>
      <c r="P191" s="24" t="inlineStr">
        <is>
          <t/>
        </is>
      </c>
      <c r="Q191" s="25" t="n">
        <v>2014.0</v>
      </c>
      <c r="R191" s="113">
        <f>HYPERLINK("https://my.pitchbook.com?c=161267-68", "View company online")</f>
      </c>
    </row>
    <row r="192">
      <c r="A192" s="27" t="inlineStr">
        <is>
          <t>55676-71</t>
        </is>
      </c>
      <c r="B192" s="28" t="inlineStr">
        <is>
          <t>Yeti (discovery app)</t>
        </is>
      </c>
      <c r="C192" s="29" t="inlineStr">
        <is>
          <t>90405</t>
        </is>
      </c>
      <c r="D192" s="30" t="inlineStr">
        <is>
          <t>Provider of an online platform for social and professional connections. The company is a provider of an online and mobile platform which helps users to connect with other users based on common interest in pre-existing communities such as those within neighborhoods, affinity groups, universities, non-profits, businesses and brands.</t>
        </is>
      </c>
      <c r="E192" s="31" t="inlineStr">
        <is>
          <t>Social Content</t>
        </is>
      </c>
      <c r="F192" s="32" t="inlineStr">
        <is>
          <t>Santa Monica, CA</t>
        </is>
      </c>
      <c r="G192" s="33" t="inlineStr">
        <is>
          <t>Privately Held (backing)</t>
        </is>
      </c>
      <c r="H192" s="34" t="inlineStr">
        <is>
          <t>Venture Capital-Backed</t>
        </is>
      </c>
      <c r="I192" s="35" t="inlineStr">
        <is>
          <t>Edgewater Ventures, JA Partners</t>
        </is>
      </c>
      <c r="J192" s="36" t="inlineStr">
        <is>
          <t>www.yeti.ai</t>
        </is>
      </c>
      <c r="K192" s="37" t="inlineStr">
        <is>
          <t>hello@yeti.ai</t>
        </is>
      </c>
      <c r="L192" s="38" t="inlineStr">
        <is>
          <t/>
        </is>
      </c>
      <c r="M192" s="39" t="inlineStr">
        <is>
          <t>Alex Capecelatro</t>
        </is>
      </c>
      <c r="N192" s="40" t="inlineStr">
        <is>
          <t>Strategic Advisor &amp; Co-Founder</t>
        </is>
      </c>
      <c r="O192" s="41" t="inlineStr">
        <is>
          <t/>
        </is>
      </c>
      <c r="P192" s="42" t="inlineStr">
        <is>
          <t>+1 (845) 216-4836</t>
        </is>
      </c>
      <c r="Q192" s="43" t="n">
        <v>2011.0</v>
      </c>
      <c r="R192" s="114">
        <f>HYPERLINK("https://my.pitchbook.com?c=55676-71", "View company online")</f>
      </c>
    </row>
    <row r="193">
      <c r="A193" s="9" t="inlineStr">
        <is>
          <t>52876-99</t>
        </is>
      </c>
      <c r="B193" s="10" t="inlineStr">
        <is>
          <t>Yesware</t>
        </is>
      </c>
      <c r="C193" s="11" t="inlineStr">
        <is>
          <t>02111</t>
        </is>
      </c>
      <c r="D193" s="12" t="inlineStr">
        <is>
          <t>Provider of an email tracking platform designed to connect businesses with prospects and track customer engagement. The company's email tracking platform is an e-mail tracking analytics, customized templates and customer-relationship management integration to enhance sales productivity, enabling users to run multi-channel sales campaigns using phone calls, social selling, email, drip campaigns and other custom outreach in real time.</t>
        </is>
      </c>
      <c r="E193" s="13" t="inlineStr">
        <is>
          <t>Business/Productivity Software</t>
        </is>
      </c>
      <c r="F193" s="14" t="inlineStr">
        <is>
          <t>Boston, MA</t>
        </is>
      </c>
      <c r="G193" s="15" t="inlineStr">
        <is>
          <t>Privately Held (backing)</t>
        </is>
      </c>
      <c r="H193" s="16" t="inlineStr">
        <is>
          <t>Venture Capital-Backed</t>
        </is>
      </c>
      <c r="I193" s="17" t="inlineStr">
        <is>
          <t>Battery Ventures, Foundry Group, Golden Venture Partners, GV, IDG Ventures USA, Shea Ventures, Sway Ventures, William Herman</t>
        </is>
      </c>
      <c r="J193" s="18" t="inlineStr">
        <is>
          <t>www.yesware.com</t>
        </is>
      </c>
      <c r="K193" s="19" t="inlineStr">
        <is>
          <t>info@yesware.com</t>
        </is>
      </c>
      <c r="L193" s="20" t="inlineStr">
        <is>
          <t>+1 (855) 937-9273</t>
        </is>
      </c>
      <c r="M193" s="21" t="inlineStr">
        <is>
          <t>Matthew Bellows</t>
        </is>
      </c>
      <c r="N193" s="22" t="inlineStr">
        <is>
          <t>Co-Founder, Chief Executive Officer &amp; Board Member</t>
        </is>
      </c>
      <c r="O193" s="23" t="inlineStr">
        <is>
          <t>matthew@yesware.com</t>
        </is>
      </c>
      <c r="P193" s="24" t="inlineStr">
        <is>
          <t>+1 (855) 937-9273</t>
        </is>
      </c>
      <c r="Q193" s="25" t="n">
        <v>2010.0</v>
      </c>
      <c r="R193" s="113">
        <f>HYPERLINK("https://my.pitchbook.com?c=52876-99", "View company online")</f>
      </c>
    </row>
    <row r="194">
      <c r="A194" s="27" t="inlineStr">
        <is>
          <t>53344-45</t>
        </is>
      </c>
      <c r="B194" s="28" t="inlineStr">
        <is>
          <t>YesVideo</t>
        </is>
      </c>
      <c r="C194" s="29" t="inlineStr">
        <is>
          <t>95051</t>
        </is>
      </c>
      <c r="D194" s="30" t="inlineStr">
        <is>
          <t>Provider of a digital video imaging platform. The company transforms consumer and professional video content into digital formats for viewing, organizing, editing, sharing and archiving.</t>
        </is>
      </c>
      <c r="E194" s="31" t="inlineStr">
        <is>
          <t>Multimedia and Design Software</t>
        </is>
      </c>
      <c r="F194" s="32" t="inlineStr">
        <is>
          <t>Santa Clara, CA</t>
        </is>
      </c>
      <c r="G194" s="33" t="inlineStr">
        <is>
          <t>Privately Held (backing)</t>
        </is>
      </c>
      <c r="H194" s="34" t="inlineStr">
        <is>
          <t>Venture Capital-Backed</t>
        </is>
      </c>
      <c r="I194" s="35" t="inlineStr">
        <is>
          <t>Andy Choi, Band of Angels, CampVentures, Current Ventures, East Gate Capital Management, Incubic Management, KLM Capital Group, Kodak Venture Group, Lauder Partners</t>
        </is>
      </c>
      <c r="J194" s="36" t="inlineStr">
        <is>
          <t>www.yesvideo.com</t>
        </is>
      </c>
      <c r="K194" s="37" t="inlineStr">
        <is>
          <t/>
        </is>
      </c>
      <c r="L194" s="38" t="inlineStr">
        <is>
          <t>+1 (866) 493-7383</t>
        </is>
      </c>
      <c r="M194" s="39" t="inlineStr">
        <is>
          <t>Mike Fales</t>
        </is>
      </c>
      <c r="N194" s="40" t="inlineStr">
        <is>
          <t>Vice President, Finance &amp; Controller</t>
        </is>
      </c>
      <c r="O194" s="41" t="inlineStr">
        <is>
          <t>mfales@yesvideo.com</t>
        </is>
      </c>
      <c r="P194" s="42" t="inlineStr">
        <is>
          <t>+1 (866) 493-7383</t>
        </is>
      </c>
      <c r="Q194" s="43" t="n">
        <v>1999.0</v>
      </c>
      <c r="R194" s="114">
        <f>HYPERLINK("https://my.pitchbook.com?c=53344-45", "View company online")</f>
      </c>
    </row>
    <row r="195">
      <c r="A195" s="9" t="inlineStr">
        <is>
          <t>111021-58</t>
        </is>
      </c>
      <c r="B195" s="10" t="inlineStr">
        <is>
          <t>YesPath</t>
        </is>
      </c>
      <c r="C195" s="11" t="inlineStr">
        <is>
          <t>94104</t>
        </is>
      </c>
      <c r="D195" s="12" t="inlineStr">
        <is>
          <t>Provider of account engagement platform designed to nurture relationships and wins deals. The company's account engagement platform helps enterprises to organize their business content, enabling buyers to cut through the noise of advertising and make smart decisions.</t>
        </is>
      </c>
      <c r="E195" s="13" t="inlineStr">
        <is>
          <t>Social/Platform Software</t>
        </is>
      </c>
      <c r="F195" s="14" t="inlineStr">
        <is>
          <t>San Francisco, CA</t>
        </is>
      </c>
      <c r="G195" s="15" t="inlineStr">
        <is>
          <t>Privately Held (backing)</t>
        </is>
      </c>
      <c r="H195" s="16" t="inlineStr">
        <is>
          <t>Venture Capital-Backed</t>
        </is>
      </c>
      <c r="I195" s="17" t="inlineStr">
        <is>
          <t>Bloomberg Beta, Storm Ventures, Wing Venture Partners</t>
        </is>
      </c>
      <c r="J195" s="18" t="inlineStr">
        <is>
          <t>www.yespath.com</t>
        </is>
      </c>
      <c r="K195" s="19" t="inlineStr">
        <is>
          <t/>
        </is>
      </c>
      <c r="L195" s="20" t="inlineStr">
        <is>
          <t/>
        </is>
      </c>
      <c r="M195" s="21" t="inlineStr">
        <is>
          <t>Brian Zotter</t>
        </is>
      </c>
      <c r="N195" s="22" t="inlineStr">
        <is>
          <t>Co-Founder &amp; Chief Technology Officer</t>
        </is>
      </c>
      <c r="O195" s="23" t="inlineStr">
        <is>
          <t>brian@yespath.com</t>
        </is>
      </c>
      <c r="P195" s="24" t="inlineStr">
        <is>
          <t/>
        </is>
      </c>
      <c r="Q195" s="25" t="n">
        <v>2014.0</v>
      </c>
      <c r="R195" s="113">
        <f>HYPERLINK("https://my.pitchbook.com?c=111021-58", "View company online")</f>
      </c>
    </row>
    <row r="196">
      <c r="A196" s="27" t="inlineStr">
        <is>
          <t>57103-66</t>
        </is>
      </c>
      <c r="B196" s="28" t="inlineStr">
        <is>
          <t>YesGraph</t>
        </is>
      </c>
      <c r="C196" s="29" t="inlineStr">
        <is>
          <t>94103</t>
        </is>
      </c>
      <c r="D196" s="30" t="inlineStr">
        <is>
          <t>Developer of a referral recruiting platform. The company provides a platform enabling users to get private-referral leads from anyone in their networks. Each referral has a path to introduction through the person making the referral.</t>
        </is>
      </c>
      <c r="E196" s="31" t="inlineStr">
        <is>
          <t>Social/Platform Software</t>
        </is>
      </c>
      <c r="F196" s="32" t="inlineStr">
        <is>
          <t>San Francisco, CA</t>
        </is>
      </c>
      <c r="G196" s="33" t="inlineStr">
        <is>
          <t>Privately Held (backing)</t>
        </is>
      </c>
      <c r="H196" s="34" t="inlineStr">
        <is>
          <t>Venture Capital-Backed</t>
        </is>
      </c>
      <c r="I196" s="35" t="inlineStr">
        <is>
          <t>500 Startups, Accel, Adam Gross, Andreessen Horowitz, Bloomberg Beta, Founder Collective, Gustaf Alstromer, Lance White, Matt Humphrey, Michael Birch, NextView Ventures, Quotidian Ventures, Rising Tide Fund, Rivet Ventures, Tom Williams, Wei Guo, Y Combinator</t>
        </is>
      </c>
      <c r="J196" s="36" t="inlineStr">
        <is>
          <t>www.yesgraph.com</t>
        </is>
      </c>
      <c r="K196" s="37" t="inlineStr">
        <is>
          <t/>
        </is>
      </c>
      <c r="L196" s="38" t="inlineStr">
        <is>
          <t>+1 (617) 777-4317</t>
        </is>
      </c>
      <c r="M196" s="39" t="inlineStr">
        <is>
          <t>Ivan Kirigin</t>
        </is>
      </c>
      <c r="N196" s="40" t="inlineStr">
        <is>
          <t>Co-Founder, President, Chief Executive Officer &amp; Board Member</t>
        </is>
      </c>
      <c r="O196" s="41" t="inlineStr">
        <is>
          <t>ivan.kirigin@yesgraph.com</t>
        </is>
      </c>
      <c r="P196" s="42" t="inlineStr">
        <is>
          <t>+1 (617) 777-4317</t>
        </is>
      </c>
      <c r="Q196" s="43" t="n">
        <v>2012.0</v>
      </c>
      <c r="R196" s="114">
        <f>HYPERLINK("https://my.pitchbook.com?c=57103-66", "View company online")</f>
      </c>
    </row>
    <row r="197">
      <c r="A197" s="9" t="inlineStr">
        <is>
          <t>171721-36</t>
        </is>
      </c>
      <c r="B197" s="10" t="inlineStr">
        <is>
          <t>YesAsia</t>
        </is>
      </c>
      <c r="C197" s="85">
        <f>HYPERLINK("https://my.pitchbook.com?rrp=171721-36&amp;type=c", "This Company's information is not available to download. Need this Company? Request availability")</f>
      </c>
      <c r="D197" s="12" t="inlineStr">
        <is>
          <t/>
        </is>
      </c>
      <c r="E197" s="13" t="inlineStr">
        <is>
          <t/>
        </is>
      </c>
      <c r="F197" s="14" t="inlineStr">
        <is>
          <t/>
        </is>
      </c>
      <c r="G197" s="15" t="inlineStr">
        <is>
          <t/>
        </is>
      </c>
      <c r="H197" s="16" t="inlineStr">
        <is>
          <t/>
        </is>
      </c>
      <c r="I197" s="17" t="inlineStr">
        <is>
          <t/>
        </is>
      </c>
      <c r="J197" s="18" t="inlineStr">
        <is>
          <t/>
        </is>
      </c>
      <c r="K197" s="19" t="inlineStr">
        <is>
          <t/>
        </is>
      </c>
      <c r="L197" s="20" t="inlineStr">
        <is>
          <t/>
        </is>
      </c>
      <c r="M197" s="21" t="inlineStr">
        <is>
          <t/>
        </is>
      </c>
      <c r="N197" s="22" t="inlineStr">
        <is>
          <t/>
        </is>
      </c>
      <c r="O197" s="23" t="inlineStr">
        <is>
          <t/>
        </is>
      </c>
      <c r="P197" s="24" t="inlineStr">
        <is>
          <t/>
        </is>
      </c>
      <c r="Q197" s="25" t="inlineStr">
        <is>
          <t/>
        </is>
      </c>
      <c r="R197" s="26" t="inlineStr">
        <is>
          <t/>
        </is>
      </c>
    </row>
    <row r="198">
      <c r="A198" s="27" t="inlineStr">
        <is>
          <t>61371-10</t>
        </is>
      </c>
      <c r="B198" s="28" t="inlineStr">
        <is>
          <t>Yerdle</t>
        </is>
      </c>
      <c r="C198" s="29" t="inlineStr">
        <is>
          <t>94110</t>
        </is>
      </c>
      <c r="D198" s="30" t="inlineStr">
        <is>
          <t>Developer of an online trading platform for used belongings. The company provides a digital platform that connects users who want to give away used durable goods with those who want to obtain them.</t>
        </is>
      </c>
      <c r="E198" s="31" t="inlineStr">
        <is>
          <t>Internet Retail</t>
        </is>
      </c>
      <c r="F198" s="32" t="inlineStr">
        <is>
          <t>San Francisco, CA</t>
        </is>
      </c>
      <c r="G198" s="33" t="inlineStr">
        <is>
          <t>Privately Held (backing)</t>
        </is>
      </c>
      <c r="H198" s="34" t="inlineStr">
        <is>
          <t>Venture Capital-Backed</t>
        </is>
      </c>
      <c r="I198" s="35" t="inlineStr">
        <is>
          <t>Claremont Creek Ventures, DBL Partners, Greenstart Investor Group, Individual Investor, Jeffrey Clarke, Lisa Gansky, Mindfull Investors, Pi Investments, Prelude Ventures, PreludeDx, The Westly Group</t>
        </is>
      </c>
      <c r="J198" s="36" t="inlineStr">
        <is>
          <t>www.yerdle.com</t>
        </is>
      </c>
      <c r="K198" s="37" t="inlineStr">
        <is>
          <t/>
        </is>
      </c>
      <c r="L198" s="38" t="inlineStr">
        <is>
          <t>+1 (415) 915-3270</t>
        </is>
      </c>
      <c r="M198" s="39" t="inlineStr">
        <is>
          <t>Andy Ruben</t>
        </is>
      </c>
      <c r="N198" s="40" t="inlineStr">
        <is>
          <t>Chief Executive Officer &amp; Co-Founder</t>
        </is>
      </c>
      <c r="O198" s="41" t="inlineStr">
        <is>
          <t>andy@yerdle.com</t>
        </is>
      </c>
      <c r="P198" s="42" t="inlineStr">
        <is>
          <t>+1 (415) 915-3270</t>
        </is>
      </c>
      <c r="Q198" s="43" t="n">
        <v>2012.0</v>
      </c>
      <c r="R198" s="114">
        <f>HYPERLINK("https://my.pitchbook.com?c=61371-10", "View company online")</f>
      </c>
    </row>
    <row r="199">
      <c r="A199" s="9" t="inlineStr">
        <is>
          <t>162414-19</t>
        </is>
      </c>
      <c r="B199" s="10" t="inlineStr">
        <is>
          <t>Yellow Leaf Hammocks</t>
        </is>
      </c>
      <c r="C199" s="11" t="inlineStr">
        <is>
          <t/>
        </is>
      </c>
      <c r="D199" s="12" t="inlineStr">
        <is>
          <t>Provider of handwoven hammocks. The company is a social enterprise which provides hammocks made by hill-tribe artisans in rural northern Thailand.</t>
        </is>
      </c>
      <c r="E199" s="13" t="inlineStr">
        <is>
          <t>Home Furnishings</t>
        </is>
      </c>
      <c r="F199" s="14" t="inlineStr">
        <is>
          <t>San Francisco, CA</t>
        </is>
      </c>
      <c r="G199" s="15" t="inlineStr">
        <is>
          <t>Privately Held (backing)</t>
        </is>
      </c>
      <c r="H199" s="16" t="inlineStr">
        <is>
          <t>Venture Capital-Backed</t>
        </is>
      </c>
      <c r="I199" s="17" t="inlineStr">
        <is>
          <t>ADAP CAPITAL, Boma Investments</t>
        </is>
      </c>
      <c r="J199" s="18" t="inlineStr">
        <is>
          <t>www.yellowleafhammocks.com</t>
        </is>
      </c>
      <c r="K199" s="19" t="inlineStr">
        <is>
          <t>hello@yellowleafhammocks.com</t>
        </is>
      </c>
      <c r="L199" s="20" t="inlineStr">
        <is>
          <t>+1 (844) 766-6946</t>
        </is>
      </c>
      <c r="M199" s="21" t="inlineStr">
        <is>
          <t>Joe Demin</t>
        </is>
      </c>
      <c r="N199" s="22" t="inlineStr">
        <is>
          <t>Chief Executive Officer, Chief Relaxation Officer &amp; Co-Founder</t>
        </is>
      </c>
      <c r="O199" s="23" t="inlineStr">
        <is>
          <t>joe@yellowleafhammocks.com</t>
        </is>
      </c>
      <c r="P199" s="24" t="inlineStr">
        <is>
          <t>+1 (844) 766-6946</t>
        </is>
      </c>
      <c r="Q199" s="25" t="n">
        <v>2011.0</v>
      </c>
      <c r="R199" s="113">
        <f>HYPERLINK("https://my.pitchbook.com?c=162414-19", "View company online")</f>
      </c>
    </row>
    <row r="200">
      <c r="A200" s="27" t="inlineStr">
        <is>
          <t>151189-93</t>
        </is>
      </c>
      <c r="B200" s="28" t="inlineStr">
        <is>
          <t>yellCast</t>
        </is>
      </c>
      <c r="C200" s="29" t="inlineStr">
        <is>
          <t>94070</t>
        </is>
      </c>
      <c r="D200" s="30" t="inlineStr">
        <is>
          <t>Provider of an online query resolution platform. The company offers a web-based query resolution platform for answering questions asked by users.</t>
        </is>
      </c>
      <c r="E200" s="31" t="inlineStr">
        <is>
          <t>Social/Platform Software</t>
        </is>
      </c>
      <c r="F200" s="32" t="inlineStr">
        <is>
          <t>San Carlos, CA</t>
        </is>
      </c>
      <c r="G200" s="33" t="inlineStr">
        <is>
          <t>Privately Held (backing)</t>
        </is>
      </c>
      <c r="H200" s="34" t="inlineStr">
        <is>
          <t>Venture Capital-Backed</t>
        </is>
      </c>
      <c r="I200" s="35" t="inlineStr">
        <is>
          <t>2020 Ventures</t>
        </is>
      </c>
      <c r="J200" s="36" t="inlineStr">
        <is>
          <t>www.yellcast.com</t>
        </is>
      </c>
      <c r="K200" s="37" t="inlineStr">
        <is>
          <t/>
        </is>
      </c>
      <c r="L200" s="38" t="inlineStr">
        <is>
          <t>+1 (877) 857-3577</t>
        </is>
      </c>
      <c r="M200" s="39" t="inlineStr">
        <is>
          <t>Venkat Ganesan</t>
        </is>
      </c>
      <c r="N200" s="40" t="inlineStr">
        <is>
          <t>Co-Founder &amp; President</t>
        </is>
      </c>
      <c r="O200" s="41" t="inlineStr">
        <is>
          <t/>
        </is>
      </c>
      <c r="P200" s="42" t="inlineStr">
        <is>
          <t>+1 (877) 857-3577</t>
        </is>
      </c>
      <c r="Q200" s="43" t="n">
        <v>2012.0</v>
      </c>
      <c r="R200" s="114">
        <f>HYPERLINK("https://my.pitchbook.com?c=151189-93", "View company online")</f>
      </c>
    </row>
    <row r="201">
      <c r="A201" s="9" t="inlineStr">
        <is>
          <t>52260-85</t>
        </is>
      </c>
      <c r="B201" s="10" t="inlineStr">
        <is>
          <t>YapStone</t>
        </is>
      </c>
      <c r="C201" s="11" t="inlineStr">
        <is>
          <t>94596</t>
        </is>
      </c>
      <c r="D201" s="12" t="inlineStr">
        <is>
          <t>Provider of online and mobile payment solutions. The company enables electronic payments for sharing economy marketplaces and apartment and vacation rental companies, homeowners' associations, self-storage companies, hospitality establishments and non-profits.</t>
        </is>
      </c>
      <c r="E201" s="13" t="inlineStr">
        <is>
          <t>Other Financial Services</t>
        </is>
      </c>
      <c r="F201" s="14" t="inlineStr">
        <is>
          <t>Walnut Creek, CA</t>
        </is>
      </c>
      <c r="G201" s="15" t="inlineStr">
        <is>
          <t>Privately Held (backing)</t>
        </is>
      </c>
      <c r="H201" s="16" t="inlineStr">
        <is>
          <t>Venture Capital-Backed</t>
        </is>
      </c>
      <c r="I201" s="17" t="inlineStr">
        <is>
          <t>Accel, Andrew Palmer, Bregal Sagemount, Cameron Yuill, Crist Ventures, Flywheel Ventures, Individual Investor, John Barnes, Meritech Capital Partners, Steve McLaughlin, Texas Ventures, Tom Villante, Trevor Loy, Villante Capital Partners</t>
        </is>
      </c>
      <c r="J201" s="18" t="inlineStr">
        <is>
          <t>www.yapstone.com</t>
        </is>
      </c>
      <c r="K201" s="19" t="inlineStr">
        <is>
          <t/>
        </is>
      </c>
      <c r="L201" s="20" t="inlineStr">
        <is>
          <t>+1 (866) 289-5977</t>
        </is>
      </c>
      <c r="M201" s="21" t="inlineStr">
        <is>
          <t/>
        </is>
      </c>
      <c r="N201" s="22" t="inlineStr">
        <is>
          <t/>
        </is>
      </c>
      <c r="O201" s="23" t="inlineStr">
        <is>
          <t/>
        </is>
      </c>
      <c r="P201" s="24" t="inlineStr">
        <is>
          <t/>
        </is>
      </c>
      <c r="Q201" s="25" t="n">
        <v>1999.0</v>
      </c>
      <c r="R201" s="113">
        <f>HYPERLINK("https://my.pitchbook.com?c=52260-85", "View company online")</f>
      </c>
    </row>
    <row r="202">
      <c r="A202" s="27" t="inlineStr">
        <is>
          <t>54093-52</t>
        </is>
      </c>
      <c r="B202" s="28" t="inlineStr">
        <is>
          <t>yap.TV</t>
        </is>
      </c>
      <c r="C202" s="29" t="inlineStr">
        <is>
          <t>94022</t>
        </is>
      </c>
      <c r="D202" s="30" t="inlineStr">
        <is>
          <t>Provider of a picture based TV program guide. The company provides a platform to interact with your friends and show fans in real time while watching the tube.</t>
        </is>
      </c>
      <c r="E202" s="31" t="inlineStr">
        <is>
          <t>Entertainment Software</t>
        </is>
      </c>
      <c r="F202" s="32" t="inlineStr">
        <is>
          <t>Los Altos, CA</t>
        </is>
      </c>
      <c r="G202" s="33" t="inlineStr">
        <is>
          <t>Privately Held (backing)</t>
        </is>
      </c>
      <c r="H202" s="34" t="inlineStr">
        <is>
          <t>Venture Capital-Backed</t>
        </is>
      </c>
      <c r="I202" s="35" t="inlineStr">
        <is>
          <t>Band of Angels, Blumberg Capital, Individual Investor, Javelin Venture Partners, Sunair Ventures</t>
        </is>
      </c>
      <c r="J202" s="36" t="inlineStr">
        <is>
          <t>www.yapstudios.com</t>
        </is>
      </c>
      <c r="K202" s="37" t="inlineStr">
        <is>
          <t>contact@yapstudios.com</t>
        </is>
      </c>
      <c r="L202" s="38" t="inlineStr">
        <is>
          <t>+1 (650) 641-3104</t>
        </is>
      </c>
      <c r="M202" s="39" t="inlineStr">
        <is>
          <t>Trevor Stout</t>
        </is>
      </c>
      <c r="N202" s="40" t="inlineStr">
        <is>
          <t>Founder &amp; Chief Executive Officer</t>
        </is>
      </c>
      <c r="O202" s="41" t="inlineStr">
        <is>
          <t>trevor@yapstudios.com</t>
        </is>
      </c>
      <c r="P202" s="42" t="inlineStr">
        <is>
          <t>+1 (650) 641-3104</t>
        </is>
      </c>
      <c r="Q202" s="43" t="n">
        <v>2010.0</v>
      </c>
      <c r="R202" s="114">
        <f>HYPERLINK("https://my.pitchbook.com?c=54093-52", "View company online")</f>
      </c>
    </row>
    <row r="203">
      <c r="A203" s="9" t="inlineStr">
        <is>
          <t>55183-06</t>
        </is>
      </c>
      <c r="B203" s="10" t="inlineStr">
        <is>
          <t>Yamsafer</t>
        </is>
      </c>
      <c r="C203" s="11" t="inlineStr">
        <is>
          <t>92625</t>
        </is>
      </c>
      <c r="D203" s="12" t="inlineStr">
        <is>
          <t>Provider of online hotel booking services created to provide user friendly, fast and safe hotel booking experience. The company's hotel booking services enables its customers to book several hotels for discounted prices in the Middle East and Turkey via their website and phone application, that is available on Android and I phone devices providing smoother customer experience and pay directly or in advance without any credit card details.</t>
        </is>
      </c>
      <c r="E203" s="13" t="inlineStr">
        <is>
          <t>Media and Information Services (B2B)</t>
        </is>
      </c>
      <c r="F203" s="14" t="inlineStr">
        <is>
          <t>Newport Beach, CA</t>
        </is>
      </c>
      <c r="G203" s="15" t="inlineStr">
        <is>
          <t>Privately Held (backing)</t>
        </is>
      </c>
      <c r="H203" s="16" t="inlineStr">
        <is>
          <t>Venture Capital-Backed</t>
        </is>
      </c>
      <c r="I203" s="17" t="inlineStr">
        <is>
          <t>Global Founders Capital, Sadara Ventures</t>
        </is>
      </c>
      <c r="J203" s="18" t="inlineStr">
        <is>
          <t>www.yamsafer.com</t>
        </is>
      </c>
      <c r="K203" s="19" t="inlineStr">
        <is>
          <t>info@yamsafer.me</t>
        </is>
      </c>
      <c r="L203" s="20" t="inlineStr">
        <is>
          <t>+1 (949) 209-9557</t>
        </is>
      </c>
      <c r="M203" s="21" t="inlineStr">
        <is>
          <t>Faris Zaher</t>
        </is>
      </c>
      <c r="N203" s="22" t="inlineStr">
        <is>
          <t>Co-Founder &amp; Chief Executive Officer</t>
        </is>
      </c>
      <c r="O203" s="23" t="inlineStr">
        <is>
          <t>faris@yamsafer.com</t>
        </is>
      </c>
      <c r="P203" s="24" t="inlineStr">
        <is>
          <t>+1 (949) 209-9557</t>
        </is>
      </c>
      <c r="Q203" s="25" t="n">
        <v>2011.0</v>
      </c>
      <c r="R203" s="113">
        <f>HYPERLINK("https://my.pitchbook.com?c=55183-06", "View company online")</f>
      </c>
    </row>
    <row r="204">
      <c r="A204" s="27" t="inlineStr">
        <is>
          <t>169113-07</t>
        </is>
      </c>
      <c r="B204" s="28" t="inlineStr">
        <is>
          <t>Yakit</t>
        </is>
      </c>
      <c r="C204" s="29" t="inlineStr">
        <is>
          <t>94085</t>
        </is>
      </c>
      <c r="D204" s="30" t="inlineStr">
        <is>
          <t>Operator of a logistics company. The company offers data-driven shipping platform where the duties and insurance are pre-paid and real time tracking facility is available.</t>
        </is>
      </c>
      <c r="E204" s="31" t="inlineStr">
        <is>
          <t>Application Software</t>
        </is>
      </c>
      <c r="F204" s="32" t="inlineStr">
        <is>
          <t>Sunnyvale, CA</t>
        </is>
      </c>
      <c r="G204" s="33" t="inlineStr">
        <is>
          <t>Privately Held (backing)</t>
        </is>
      </c>
      <c r="H204" s="34" t="inlineStr">
        <is>
          <t>Venture Capital-Backed</t>
        </is>
      </c>
      <c r="I204" s="35" t="inlineStr">
        <is>
          <t>Accel</t>
        </is>
      </c>
      <c r="J204" s="36" t="inlineStr">
        <is>
          <t>www.yakit.com</t>
        </is>
      </c>
      <c r="K204" s="37" t="inlineStr">
        <is>
          <t>info@yakit.com</t>
        </is>
      </c>
      <c r="L204" s="38" t="inlineStr">
        <is>
          <t>+1 (408) 645-0086</t>
        </is>
      </c>
      <c r="M204" s="39" t="inlineStr">
        <is>
          <t/>
        </is>
      </c>
      <c r="N204" s="40" t="inlineStr">
        <is>
          <t/>
        </is>
      </c>
      <c r="O204" s="41" t="inlineStr">
        <is>
          <t/>
        </is>
      </c>
      <c r="P204" s="42" t="inlineStr">
        <is>
          <t/>
        </is>
      </c>
      <c r="Q204" s="43" t="n">
        <v>2013.0</v>
      </c>
      <c r="R204" s="114">
        <f>HYPERLINK("https://my.pitchbook.com?c=169113-07", "View company online")</f>
      </c>
    </row>
    <row r="205">
      <c r="A205" s="9" t="inlineStr">
        <is>
          <t>59208-85</t>
        </is>
      </c>
      <c r="B205" s="10" t="inlineStr">
        <is>
          <t>Yak Academy</t>
        </is>
      </c>
      <c r="C205" s="11" t="inlineStr">
        <is>
          <t>90277</t>
        </is>
      </c>
      <c r="D205" s="12" t="inlineStr">
        <is>
          <t>Developer of early childhood development and foreign language programs. The company offers early childhood development program, world language playground, preschools, camps and mobile programs all over the US.</t>
        </is>
      </c>
      <c r="E205" s="13" t="inlineStr">
        <is>
          <t>Educational and Training Services (B2C)</t>
        </is>
      </c>
      <c r="F205" s="14" t="inlineStr">
        <is>
          <t>Redondo Beach, CA</t>
        </is>
      </c>
      <c r="G205" s="15" t="inlineStr">
        <is>
          <t>Privately Held (backing)</t>
        </is>
      </c>
      <c r="H205" s="16" t="inlineStr">
        <is>
          <t>Venture Capital-Backed</t>
        </is>
      </c>
      <c r="I205" s="17" t="inlineStr">
        <is>
          <t>Ascend Venture Group</t>
        </is>
      </c>
      <c r="J205" s="18" t="inlineStr">
        <is>
          <t>www.yakacademy.com</t>
        </is>
      </c>
      <c r="K205" s="19" t="inlineStr">
        <is>
          <t>info@yakacademy.com</t>
        </is>
      </c>
      <c r="L205" s="20" t="inlineStr">
        <is>
          <t>+1 (424) 901-0000</t>
        </is>
      </c>
      <c r="M205" s="21" t="inlineStr">
        <is>
          <t>Marie O'Brien</t>
        </is>
      </c>
      <c r="N205" s="22" t="inlineStr">
        <is>
          <t>Co-Founder, Co-President and Chief Financial Officer</t>
        </is>
      </c>
      <c r="O205" s="23" t="inlineStr">
        <is>
          <t>marie@yakacademy.com</t>
        </is>
      </c>
      <c r="P205" s="24" t="inlineStr">
        <is>
          <t>+1 (424) 901-0000</t>
        </is>
      </c>
      <c r="Q205" s="25" t="n">
        <v>2004.0</v>
      </c>
      <c r="R205" s="113">
        <f>HYPERLINK("https://my.pitchbook.com?c=59208-85", "View company online")</f>
      </c>
    </row>
    <row r="206">
      <c r="A206" s="27" t="inlineStr">
        <is>
          <t>40420-36</t>
        </is>
      </c>
      <c r="B206" s="28" t="inlineStr">
        <is>
          <t>Y Combinator</t>
        </is>
      </c>
      <c r="C206" s="29" t="inlineStr">
        <is>
          <t>94041</t>
        </is>
      </c>
      <c r="D206" s="30" t="inlineStr">
        <is>
          <t>Operator of a startup accelerator. The company offers seed funding for startups in return for small stakes in the companies funded while working with the startups on their ideas.</t>
        </is>
      </c>
      <c r="E206" s="31" t="inlineStr">
        <is>
          <t>Other Capital Markets/Institutions</t>
        </is>
      </c>
      <c r="F206" s="32" t="inlineStr">
        <is>
          <t>Mountain View, CA</t>
        </is>
      </c>
      <c r="G206" s="33" t="inlineStr">
        <is>
          <t>Privately Held (backing)</t>
        </is>
      </c>
      <c r="H206" s="34" t="inlineStr">
        <is>
          <t>Venture Capital-Backed</t>
        </is>
      </c>
      <c r="I206" s="35" t="inlineStr">
        <is>
          <t>Aydin Senkut, Richmond View Ventures, Ronald Conway, Sequoia Capital, XG Ventures</t>
        </is>
      </c>
      <c r="J206" s="36" t="inlineStr">
        <is>
          <t>www.ycombinator.com</t>
        </is>
      </c>
      <c r="K206" s="37" t="inlineStr">
        <is>
          <t>info@ycombinator.com</t>
        </is>
      </c>
      <c r="L206" s="38" t="inlineStr">
        <is>
          <t/>
        </is>
      </c>
      <c r="M206" s="39" t="inlineStr">
        <is>
          <t>Trevor Blackwell</t>
        </is>
      </c>
      <c r="N206" s="40" t="inlineStr">
        <is>
          <t>Co-Founder &amp; Partner</t>
        </is>
      </c>
      <c r="O206" s="41" t="inlineStr">
        <is>
          <t>trevor@ycombinator.com</t>
        </is>
      </c>
      <c r="P206" s="42" t="inlineStr">
        <is>
          <t/>
        </is>
      </c>
      <c r="Q206" s="43" t="n">
        <v>2005.0</v>
      </c>
      <c r="R206" s="114">
        <f>HYPERLINK("https://my.pitchbook.com?c=40420-36", "View company online")</f>
      </c>
    </row>
    <row r="207">
      <c r="A207" s="9" t="inlineStr">
        <is>
          <t>59113-63</t>
        </is>
      </c>
      <c r="B207" s="10" t="inlineStr">
        <is>
          <t>Xyz</t>
        </is>
      </c>
      <c r="C207" s="11" t="inlineStr">
        <is>
          <t>94111</t>
        </is>
      </c>
      <c r="D207" s="12" t="inlineStr">
        <is>
          <t>Producer of visual content in various forms. The company specializes in producing visual content for big brands, advertisers and marketers. It offers various creative services ranging from photography, CGI and augmented reality images for motion, still imagery, interactive, broadcast and print.</t>
        </is>
      </c>
      <c r="E207" s="13" t="inlineStr">
        <is>
          <t>Media and Information Services (B2B)</t>
        </is>
      </c>
      <c r="F207" s="14" t="inlineStr">
        <is>
          <t>San Francisco, CA</t>
        </is>
      </c>
      <c r="G207" s="15" t="inlineStr">
        <is>
          <t>Privately Held (backing)</t>
        </is>
      </c>
      <c r="H207" s="16" t="inlineStr">
        <is>
          <t>Venture Capital-Backed</t>
        </is>
      </c>
      <c r="I207" s="17" t="inlineStr">
        <is>
          <t>Originate</t>
        </is>
      </c>
      <c r="J207" s="18" t="inlineStr">
        <is>
          <t>www.wearexyz.com</t>
        </is>
      </c>
      <c r="K207" s="19" t="inlineStr">
        <is>
          <t/>
        </is>
      </c>
      <c r="L207" s="20" t="inlineStr">
        <is>
          <t>+1 (415) 227-9972</t>
        </is>
      </c>
      <c r="M207" s="21" t="inlineStr">
        <is>
          <t>Steve Waterloo</t>
        </is>
      </c>
      <c r="N207" s="22" t="inlineStr">
        <is>
          <t>Chief Executive Officer &amp; Co-Founder</t>
        </is>
      </c>
      <c r="O207" s="23" t="inlineStr">
        <is>
          <t>swaterloo@wearexyz.com</t>
        </is>
      </c>
      <c r="P207" s="24" t="inlineStr">
        <is>
          <t>+1 (415) 227-9972</t>
        </is>
      </c>
      <c r="Q207" s="25" t="n">
        <v>2001.0</v>
      </c>
      <c r="R207" s="113">
        <f>HYPERLINK("https://my.pitchbook.com?c=59113-63", "View company online")</f>
      </c>
    </row>
    <row r="208">
      <c r="A208" s="27" t="inlineStr">
        <is>
          <t>59996-62</t>
        </is>
      </c>
      <c r="B208" s="28" t="inlineStr">
        <is>
          <t>Xtv</t>
        </is>
      </c>
      <c r="C208" s="29" t="inlineStr">
        <is>
          <t>94065</t>
        </is>
      </c>
      <c r="D208" s="30" t="inlineStr">
        <is>
          <t>Provider of a real time television platform for companies and individuals. The company provides a cloud based platform where users can build there own television.</t>
        </is>
      </c>
      <c r="E208" s="31" t="inlineStr">
        <is>
          <t>Broadcasting, Radio and Television</t>
        </is>
      </c>
      <c r="F208" s="32" t="inlineStr">
        <is>
          <t>Redwood City, CA</t>
        </is>
      </c>
      <c r="G208" s="33" t="inlineStr">
        <is>
          <t>Privately Held (backing)</t>
        </is>
      </c>
      <c r="H208" s="34" t="inlineStr">
        <is>
          <t>Venture Capital-Backed</t>
        </is>
      </c>
      <c r="I208" s="35" t="inlineStr">
        <is>
          <t>Archimedes Labs, Gramercy Private Equity, GSVlabs, Individual Investor, Microsoft Accelerator, Thomas Varghese, UST Global</t>
        </is>
      </c>
      <c r="J208" s="36" t="inlineStr">
        <is>
          <t>www.xtv.net</t>
        </is>
      </c>
      <c r="K208" s="37" t="inlineStr">
        <is>
          <t>info@xtv.net</t>
        </is>
      </c>
      <c r="L208" s="38" t="inlineStr">
        <is>
          <t/>
        </is>
      </c>
      <c r="M208" s="39" t="inlineStr">
        <is>
          <t>Joe Ward</t>
        </is>
      </c>
      <c r="N208" s="40" t="inlineStr">
        <is>
          <t>Chief Executive Officer, Chief Information Officer, Managing Director &amp; Chairman</t>
        </is>
      </c>
      <c r="O208" s="41" t="inlineStr">
        <is>
          <t>joe.ward@xtv-inc.com</t>
        </is>
      </c>
      <c r="P208" s="42" t="inlineStr">
        <is>
          <t/>
        </is>
      </c>
      <c r="Q208" s="43" t="n">
        <v>2011.0</v>
      </c>
      <c r="R208" s="114">
        <f>HYPERLINK("https://my.pitchbook.com?c=59996-62", "View company online")</f>
      </c>
    </row>
    <row r="209">
      <c r="A209" s="9" t="inlineStr">
        <is>
          <t>138343-24</t>
        </is>
      </c>
      <c r="B209" s="10" t="inlineStr">
        <is>
          <t>Xtrava</t>
        </is>
      </c>
      <c r="C209" s="11" t="inlineStr">
        <is>
          <t>95054</t>
        </is>
      </c>
      <c r="D209" s="12" t="inlineStr">
        <is>
          <t>Provider of child healthcare monitor. The company offers a wearable technology that can track the health of a child and sense sleep, hunger and other basic activities.</t>
        </is>
      </c>
      <c r="E209" s="13" t="inlineStr">
        <is>
          <t>Other Healthcare Technology Systems</t>
        </is>
      </c>
      <c r="F209" s="14" t="inlineStr">
        <is>
          <t>Santa Clara, CA</t>
        </is>
      </c>
      <c r="G209" s="15" t="inlineStr">
        <is>
          <t>Privately Held (backing)</t>
        </is>
      </c>
      <c r="H209" s="16" t="inlineStr">
        <is>
          <t>Venture Capital-Backed</t>
        </is>
      </c>
      <c r="I209" s="17" t="inlineStr">
        <is>
          <t>Endure Capital</t>
        </is>
      </c>
      <c r="J209" s="18" t="inlineStr">
        <is>
          <t>www.xtrava.co</t>
        </is>
      </c>
      <c r="K209" s="19" t="inlineStr">
        <is>
          <t/>
        </is>
      </c>
      <c r="L209" s="20" t="inlineStr">
        <is>
          <t/>
        </is>
      </c>
      <c r="M209" s="21" t="inlineStr">
        <is>
          <t>Sameh Sarhan</t>
        </is>
      </c>
      <c r="N209" s="22" t="inlineStr">
        <is>
          <t>Co-Founder &amp; Chief Executive Officer</t>
        </is>
      </c>
      <c r="O209" s="23" t="inlineStr">
        <is>
          <t>sameh@xtrava.co</t>
        </is>
      </c>
      <c r="P209" s="24" t="inlineStr">
        <is>
          <t/>
        </is>
      </c>
      <c r="Q209" s="25" t="n">
        <v>2016.0</v>
      </c>
      <c r="R209" s="113">
        <f>HYPERLINK("https://my.pitchbook.com?c=138343-24", "View company online")</f>
      </c>
    </row>
    <row r="210">
      <c r="A210" s="27" t="inlineStr">
        <is>
          <t>155958-49</t>
        </is>
      </c>
      <c r="B210" s="28" t="inlineStr">
        <is>
          <t>XTAL</t>
        </is>
      </c>
      <c r="C210" s="29" t="inlineStr">
        <is>
          <t>95112</t>
        </is>
      </c>
      <c r="D210" s="30" t="inlineStr">
        <is>
          <t>Provider of yield enhancement and optimization services. The company provides yield enhancement, software optimization and hardware implementation services to semiconductor design and manufacturing industry.</t>
        </is>
      </c>
      <c r="E210" s="31" t="inlineStr">
        <is>
          <t>Other IT Services</t>
        </is>
      </c>
      <c r="F210" s="32" t="inlineStr">
        <is>
          <t>San Jose, CA</t>
        </is>
      </c>
      <c r="G210" s="33" t="inlineStr">
        <is>
          <t>Privately Held (backing)</t>
        </is>
      </c>
      <c r="H210" s="34" t="inlineStr">
        <is>
          <t>Venture Capital-Backed</t>
        </is>
      </c>
      <c r="I210" s="35" t="inlineStr">
        <is>
          <t/>
        </is>
      </c>
      <c r="J210" s="36" t="inlineStr">
        <is>
          <t>www.xtalinc.com</t>
        </is>
      </c>
      <c r="K210" s="37" t="inlineStr">
        <is>
          <t>contact@xtalinc.com</t>
        </is>
      </c>
      <c r="L210" s="38" t="inlineStr">
        <is>
          <t/>
        </is>
      </c>
      <c r="M210" s="39" t="inlineStr">
        <is>
          <t>Zongqiang Yu</t>
        </is>
      </c>
      <c r="N210" s="40" t="inlineStr">
        <is>
          <t>President &amp; Board Member</t>
        </is>
      </c>
      <c r="O210" s="41" t="inlineStr">
        <is>
          <t/>
        </is>
      </c>
      <c r="P210" s="42" t="inlineStr">
        <is>
          <t/>
        </is>
      </c>
      <c r="Q210" s="43" t="n">
        <v>2014.0</v>
      </c>
      <c r="R210" s="114">
        <f>HYPERLINK("https://my.pitchbook.com?c=155958-49", "View company online")</f>
      </c>
    </row>
    <row r="211">
      <c r="A211" s="9" t="inlineStr">
        <is>
          <t>158922-82</t>
        </is>
      </c>
      <c r="B211" s="10" t="inlineStr">
        <is>
          <t>XStream Trucking</t>
        </is>
      </c>
      <c r="C211" s="11" t="inlineStr">
        <is>
          <t>94063</t>
        </is>
      </c>
      <c r="D211" s="12" t="inlineStr">
        <is>
          <t>Developer of aerodynamic devices for trucks. The company develops a device that covers the gap between the tractor and the trailer of combination trucks, making the truck more streamlined and also reduces fuel consumption.</t>
        </is>
      </c>
      <c r="E211" s="13" t="inlineStr">
        <is>
          <t>Machinery (B2B)</t>
        </is>
      </c>
      <c r="F211" s="14" t="inlineStr">
        <is>
          <t>Redwood City, CA</t>
        </is>
      </c>
      <c r="G211" s="15" t="inlineStr">
        <is>
          <t>Privately Held (backing)</t>
        </is>
      </c>
      <c r="H211" s="16" t="inlineStr">
        <is>
          <t>Venture Capital-Backed</t>
        </is>
      </c>
      <c r="I211" s="17" t="inlineStr">
        <is>
          <t>Angels Unleashed, Dorm Room Fund, FusionX Ventures, Radicand, Tandem Capital</t>
        </is>
      </c>
      <c r="J211" s="18" t="inlineStr">
        <is>
          <t>www.xstreamtrucking.com</t>
        </is>
      </c>
      <c r="K211" s="19" t="inlineStr">
        <is>
          <t/>
        </is>
      </c>
      <c r="L211" s="20" t="inlineStr">
        <is>
          <t>+1 (425) 275-1898</t>
        </is>
      </c>
      <c r="M211" s="21" t="inlineStr">
        <is>
          <t>Ed Pitt Ford</t>
        </is>
      </c>
      <c r="N211" s="22" t="inlineStr">
        <is>
          <t>Co-Founder</t>
        </is>
      </c>
      <c r="O211" s="23" t="inlineStr">
        <is>
          <t>ed@xstreamtrucking.com</t>
        </is>
      </c>
      <c r="P211" s="24" t="inlineStr">
        <is>
          <t>+1 (425) 275-1898</t>
        </is>
      </c>
      <c r="Q211" s="25" t="n">
        <v>2012.0</v>
      </c>
      <c r="R211" s="113">
        <f>HYPERLINK("https://my.pitchbook.com?c=158922-82", "View company online")</f>
      </c>
    </row>
    <row r="212">
      <c r="A212" s="27" t="inlineStr">
        <is>
          <t>166052-08</t>
        </is>
      </c>
      <c r="B212" s="28" t="inlineStr">
        <is>
          <t>xSeer</t>
        </is>
      </c>
      <c r="C212" s="29" t="inlineStr">
        <is>
          <t>94086</t>
        </is>
      </c>
      <c r="D212" s="30" t="inlineStr">
        <is>
          <t>Provider of an explorable visual analytics platform designed to ingest millions of data entries. The company's explorable visual analytics platform can take billions of rows of data with multiple dimensions or columns and present it in a visual format, enabling users to transform incomprehensible amounts of data into valuable, action-ready information.</t>
        </is>
      </c>
      <c r="E212" s="31" t="inlineStr">
        <is>
          <t>Database Software</t>
        </is>
      </c>
      <c r="F212" s="32" t="inlineStr">
        <is>
          <t>Sunnyvale, CA</t>
        </is>
      </c>
      <c r="G212" s="33" t="inlineStr">
        <is>
          <t>Privately Held (backing)</t>
        </is>
      </c>
      <c r="H212" s="34" t="inlineStr">
        <is>
          <t>Venture Capital-Backed</t>
        </is>
      </c>
      <c r="I212" s="35" t="inlineStr">
        <is>
          <t>Lightspeed Venture Partners, Pear Ventures, VentureBridge</t>
        </is>
      </c>
      <c r="J212" s="36" t="inlineStr">
        <is>
          <t>eva.cmucreatelab.org</t>
        </is>
      </c>
      <c r="K212" s="37" t="inlineStr">
        <is>
          <t>info@xseer.io</t>
        </is>
      </c>
      <c r="L212" s="38" t="inlineStr">
        <is>
          <t/>
        </is>
      </c>
      <c r="M212" s="39" t="inlineStr">
        <is>
          <t>Amir Yahyavi</t>
        </is>
      </c>
      <c r="N212" s="40" t="inlineStr">
        <is>
          <t>Co-Founder</t>
        </is>
      </c>
      <c r="O212" s="41" t="inlineStr">
        <is>
          <t/>
        </is>
      </c>
      <c r="P212" s="42" t="inlineStr">
        <is>
          <t/>
        </is>
      </c>
      <c r="Q212" s="43" t="n">
        <v>2015.0</v>
      </c>
      <c r="R212" s="114">
        <f>HYPERLINK("https://my.pitchbook.com?c=166052-08", "View company online")</f>
      </c>
    </row>
    <row r="213">
      <c r="A213" s="9" t="inlineStr">
        <is>
          <t>103409-47</t>
        </is>
      </c>
      <c r="B213" s="10" t="inlineStr">
        <is>
          <t>Xprize</t>
        </is>
      </c>
      <c r="C213" s="11" t="inlineStr">
        <is>
          <t>90230</t>
        </is>
      </c>
      <c r="D213" s="12" t="inlineStr">
        <is>
          <t>Arranger of competitions designed to solve the world's grandest challenges. The company's competitions are arranged and managed to incentivized prize competitions for organizations operating in the sectors of learning, exploration, energy and environment, global development and life sciences, enabling them to arrange and collect money for their need.</t>
        </is>
      </c>
      <c r="E213" s="13" t="inlineStr">
        <is>
          <t>Media and Information Services (B2B)</t>
        </is>
      </c>
      <c r="F213" s="14" t="inlineStr">
        <is>
          <t>Culver City, CA</t>
        </is>
      </c>
      <c r="G213" s="15" t="inlineStr">
        <is>
          <t>Privately Held (backing)</t>
        </is>
      </c>
      <c r="H213" s="16" t="inlineStr">
        <is>
          <t>Venture Capital-Backed</t>
        </is>
      </c>
      <c r="I213" s="17" t="inlineStr">
        <is>
          <t>OS Fund</t>
        </is>
      </c>
      <c r="J213" s="18" t="inlineStr">
        <is>
          <t>www.xprize.org</t>
        </is>
      </c>
      <c r="K213" s="19" t="inlineStr">
        <is>
          <t/>
        </is>
      </c>
      <c r="L213" s="20" t="inlineStr">
        <is>
          <t>+1 (310) 741-4880</t>
        </is>
      </c>
      <c r="M213" s="21" t="inlineStr">
        <is>
          <t>Robert Weiss</t>
        </is>
      </c>
      <c r="N213" s="22" t="inlineStr">
        <is>
          <t>Vice Chairman &amp; President</t>
        </is>
      </c>
      <c r="O213" s="23" t="inlineStr">
        <is>
          <t>robert.weiss@xprize.org</t>
        </is>
      </c>
      <c r="P213" s="24" t="inlineStr">
        <is>
          <t>+1 (310) 741-4880</t>
        </is>
      </c>
      <c r="Q213" s="25" t="n">
        <v>1995.0</v>
      </c>
      <c r="R213" s="113">
        <f>HYPERLINK("https://my.pitchbook.com?c=103409-47", "View company online")</f>
      </c>
    </row>
    <row r="214">
      <c r="A214" s="27" t="inlineStr">
        <is>
          <t>56643-58</t>
        </is>
      </c>
      <c r="B214" s="28" t="inlineStr">
        <is>
          <t>XpressRate</t>
        </is>
      </c>
      <c r="C214" s="29" t="inlineStr">
        <is>
          <t>10018</t>
        </is>
      </c>
      <c r="D214" s="30" t="inlineStr">
        <is>
          <t>Provider of an international shipping cost comparing platform. The company provides free online site that allows importers and exporters to quote and compare international air and ocean rates from several freight forwarders and shipping agencies.</t>
        </is>
      </c>
      <c r="E214" s="31" t="inlineStr">
        <is>
          <t>Media and Information Services (B2B)</t>
        </is>
      </c>
      <c r="F214" s="32" t="inlineStr">
        <is>
          <t>New York, NY</t>
        </is>
      </c>
      <c r="G214" s="33" t="inlineStr">
        <is>
          <t>Privately Held (backing)</t>
        </is>
      </c>
      <c r="H214" s="34" t="inlineStr">
        <is>
          <t>Venture Capital-Backed</t>
        </is>
      </c>
      <c r="I214" s="35" t="inlineStr">
        <is>
          <t>Five Elms Capital</t>
        </is>
      </c>
      <c r="J214" s="36" t="inlineStr">
        <is>
          <t>www.xpressrate.com</t>
        </is>
      </c>
      <c r="K214" s="37" t="inlineStr">
        <is>
          <t>info@xpressrate.com</t>
        </is>
      </c>
      <c r="L214" s="38" t="inlineStr">
        <is>
          <t>+1 (800) 996-9783</t>
        </is>
      </c>
      <c r="M214" s="39" t="inlineStr">
        <is>
          <t>Mark Toul</t>
        </is>
      </c>
      <c r="N214" s="40" t="inlineStr">
        <is>
          <t>Manager, Operations</t>
        </is>
      </c>
      <c r="O214" s="41" t="inlineStr">
        <is>
          <t/>
        </is>
      </c>
      <c r="P214" s="42" t="inlineStr">
        <is>
          <t>+1 (800) 996-9783</t>
        </is>
      </c>
      <c r="Q214" s="43" t="n">
        <v>2011.0</v>
      </c>
      <c r="R214" s="114">
        <f>HYPERLINK("https://my.pitchbook.com?c=56643-58", "View company online")</f>
      </c>
    </row>
    <row r="215">
      <c r="A215" s="9" t="inlineStr">
        <is>
          <t>58781-17</t>
        </is>
      </c>
      <c r="B215" s="10" t="inlineStr">
        <is>
          <t>Xplenty</t>
        </is>
      </c>
      <c r="C215" s="11" t="inlineStr">
        <is>
          <t>6701751</t>
        </is>
      </c>
      <c r="D215" s="12" t="inlineStr">
        <is>
          <t>Provider of a data integration platform. The company provides an online platform that allows organizations to integrate, process and prepare data for analytics on the cloud.</t>
        </is>
      </c>
      <c r="E215" s="13" t="inlineStr">
        <is>
          <t>Database Software</t>
        </is>
      </c>
      <c r="F215" s="14" t="inlineStr">
        <is>
          <t>Tel Aviv, Israel</t>
        </is>
      </c>
      <c r="G215" s="15" t="inlineStr">
        <is>
          <t>Privately Held (backing)</t>
        </is>
      </c>
      <c r="H215" s="16" t="inlineStr">
        <is>
          <t>Venture Capital-Backed</t>
        </is>
      </c>
      <c r="I215" s="17" t="inlineStr">
        <is>
          <t>Bain Capital Ventures, Magma Venture Partners, Rembrandt Venture Partners, True Ventures, Waarde Capital</t>
        </is>
      </c>
      <c r="J215" s="18" t="inlineStr">
        <is>
          <t>www.xplenty.com</t>
        </is>
      </c>
      <c r="K215" s="19" t="inlineStr">
        <is>
          <t>info@xplenty.com</t>
        </is>
      </c>
      <c r="L215" s="20" t="inlineStr">
        <is>
          <t>+972 (0)3 522 7023</t>
        </is>
      </c>
      <c r="M215" s="21" t="inlineStr">
        <is>
          <t>Yaniv Mor</t>
        </is>
      </c>
      <c r="N215" s="22" t="inlineStr">
        <is>
          <t>Co-Founder &amp; Chief Executive Officer</t>
        </is>
      </c>
      <c r="O215" s="23" t="inlineStr">
        <is>
          <t>yaniv@xplenty.com</t>
        </is>
      </c>
      <c r="P215" s="24" t="inlineStr">
        <is>
          <t>+972 (0)3 522 7023</t>
        </is>
      </c>
      <c r="Q215" s="25" t="n">
        <v>2011.0</v>
      </c>
      <c r="R215" s="113">
        <f>HYPERLINK("https://my.pitchbook.com?c=58781-17", "View company online")</f>
      </c>
    </row>
    <row r="216">
      <c r="A216" s="27" t="inlineStr">
        <is>
          <t>97268-41</t>
        </is>
      </c>
      <c r="B216" s="28" t="inlineStr">
        <is>
          <t>Xperiel</t>
        </is>
      </c>
      <c r="C216" s="29" t="inlineStr">
        <is>
          <t>94086</t>
        </is>
      </c>
      <c r="D216" s="30" t="inlineStr">
        <is>
          <t>Developer of a Real World Web (RWW) platform to build real-world applications. The company's platform provides tools to build cloud-based, device-agnostic, real-world applications for all hardware and software across all business verticals.</t>
        </is>
      </c>
      <c r="E216" s="31" t="inlineStr">
        <is>
          <t>Software Development Applications</t>
        </is>
      </c>
      <c r="F216" s="32" t="inlineStr">
        <is>
          <t>Sunnyvale, CA</t>
        </is>
      </c>
      <c r="G216" s="33" t="inlineStr">
        <is>
          <t>Privately Held (backing)</t>
        </is>
      </c>
      <c r="H216" s="34" t="inlineStr">
        <is>
          <t>Venture Capital-Backed</t>
        </is>
      </c>
      <c r="I216" s="35" t="inlineStr">
        <is>
          <t>Andy Bechtolsheim, Andy Nowka, Brad O'Neill, Charlie McKittrick, Compound Ventures, Dave Scially, Derek Collison, Diane Greene, Garrett Camp, Gary Green, Geoff Smith, Hope Taitz, John Hennessy, LA Dodgers Accelerator, Major League Baseball Ventures, Ram Shriram, Sarah Imbach, Scott Cook, Shona Brown</t>
        </is>
      </c>
      <c r="J216" s="36" t="inlineStr">
        <is>
          <t>www.xperiel.com</t>
        </is>
      </c>
      <c r="K216" s="37" t="inlineStr">
        <is>
          <t>contact@xperiel.com</t>
        </is>
      </c>
      <c r="L216" s="38" t="inlineStr">
        <is>
          <t>+1 (408) 896-2712</t>
        </is>
      </c>
      <c r="M216" s="39" t="inlineStr">
        <is>
          <t>Alexander Hertel</t>
        </is>
      </c>
      <c r="N216" s="40" t="inlineStr">
        <is>
          <t>Co-Founder &amp; Chief Executive Officer</t>
        </is>
      </c>
      <c r="O216" s="41" t="inlineStr">
        <is>
          <t>ahertel@xperiel.com</t>
        </is>
      </c>
      <c r="P216" s="42" t="inlineStr">
        <is>
          <t>+1 (408) 896-2712</t>
        </is>
      </c>
      <c r="Q216" s="43" t="n">
        <v>2013.0</v>
      </c>
      <c r="R216" s="114">
        <f>HYPERLINK("https://my.pitchbook.com?c=97268-41", "View company online")</f>
      </c>
    </row>
    <row r="217">
      <c r="A217" s="9" t="inlineStr">
        <is>
          <t>61348-96</t>
        </is>
      </c>
      <c r="B217" s="10" t="inlineStr">
        <is>
          <t>Xola</t>
        </is>
      </c>
      <c r="C217" s="11" t="inlineStr">
        <is>
          <t>94111</t>
        </is>
      </c>
      <c r="D217" s="12" t="inlineStr">
        <is>
          <t>Provider of a booking and marketing platform. The company's product manages back-office and online reservations, payment processing, calendaring, scheduling, inventory, guide management and customer relationship management.</t>
        </is>
      </c>
      <c r="E217" s="13" t="inlineStr">
        <is>
          <t>Business/Productivity Software</t>
        </is>
      </c>
      <c r="F217" s="14" t="inlineStr">
        <is>
          <t>San Francisco, CA</t>
        </is>
      </c>
      <c r="G217" s="15" t="inlineStr">
        <is>
          <t>Privately Held (backing)</t>
        </is>
      </c>
      <c r="H217" s="16" t="inlineStr">
        <is>
          <t>Venture Capital-Backed</t>
        </is>
      </c>
      <c r="I217" s="17" t="inlineStr">
        <is>
          <t>Bee Partners, Brett Crosby, Camp One Ventures, ChinaRock Capital Management, Farzad Nazem, Jun LI, Michael Burry, Noosheen Hashemi, Peter Kravtsov, Rakuten Travel, Sacha Levy, Scott Crosby, StartX, Tsingyuan Ventures, WI Harper Group</t>
        </is>
      </c>
      <c r="J217" s="18" t="inlineStr">
        <is>
          <t>www.xola.com</t>
        </is>
      </c>
      <c r="K217" s="19" t="inlineStr">
        <is>
          <t/>
        </is>
      </c>
      <c r="L217" s="20" t="inlineStr">
        <is>
          <t>+1 (415) 404-9652</t>
        </is>
      </c>
      <c r="M217" s="21" t="inlineStr">
        <is>
          <t>J. Scott Zimmerman</t>
        </is>
      </c>
      <c r="N217" s="22" t="inlineStr">
        <is>
          <t>Chief Executive Officer, Co-Founder &amp; Board Member</t>
        </is>
      </c>
      <c r="O217" s="23" t="inlineStr">
        <is>
          <t>scott@xola.com</t>
        </is>
      </c>
      <c r="P217" s="24" t="inlineStr">
        <is>
          <t>+1 (415) 404-9652</t>
        </is>
      </c>
      <c r="Q217" s="25" t="n">
        <v>2011.0</v>
      </c>
      <c r="R217" s="113">
        <f>HYPERLINK("https://my.pitchbook.com?c=61348-96", "View company online")</f>
      </c>
    </row>
    <row r="218">
      <c r="A218" s="27" t="inlineStr">
        <is>
          <t>97365-16</t>
        </is>
      </c>
      <c r="B218" s="28" t="inlineStr">
        <is>
          <t>Xockets</t>
        </is>
      </c>
      <c r="C218" s="29" t="inlineStr">
        <is>
          <t>95113</t>
        </is>
      </c>
      <c r="D218" s="30" t="inlineStr">
        <is>
          <t>Developer of acceleration appliances for big data analytics. The company offers a software for big data processing, traffic management and other computational services.</t>
        </is>
      </c>
      <c r="E218" s="31" t="inlineStr">
        <is>
          <t>Application Software</t>
        </is>
      </c>
      <c r="F218" s="32" t="inlineStr">
        <is>
          <t>San Jose, CA</t>
        </is>
      </c>
      <c r="G218" s="33" t="inlineStr">
        <is>
          <t>Privately Held (backing)</t>
        </is>
      </c>
      <c r="H218" s="34" t="inlineStr">
        <is>
          <t>Venture Capital-Backed</t>
        </is>
      </c>
      <c r="I218" s="35" t="inlineStr">
        <is>
          <t>Alchemist Accelerator, AME Cloud Ventures, Christopher Aubuchon, Cote Capital, Engineering Capital, Farzad Nazem, Morado Venture Partners, Steelhead Ventures</t>
        </is>
      </c>
      <c r="J218" s="36" t="inlineStr">
        <is>
          <t>www.xockets.com</t>
        </is>
      </c>
      <c r="K218" s="37" t="inlineStr">
        <is>
          <t>info@xockets.com</t>
        </is>
      </c>
      <c r="L218" s="38" t="inlineStr">
        <is>
          <t/>
        </is>
      </c>
      <c r="M218" s="39" t="inlineStr">
        <is>
          <t>Parin Dalal</t>
        </is>
      </c>
      <c r="N218" s="40" t="inlineStr">
        <is>
          <t>Co-Founder &amp; Chief Executive Officer</t>
        </is>
      </c>
      <c r="O218" s="41" t="inlineStr">
        <is>
          <t>parin.dalal@xockets.com</t>
        </is>
      </c>
      <c r="P218" s="42" t="inlineStr">
        <is>
          <t/>
        </is>
      </c>
      <c r="Q218" s="43" t="n">
        <v>2012.0</v>
      </c>
      <c r="R218" s="114">
        <f>HYPERLINK("https://my.pitchbook.com?c=97365-16", "View company online")</f>
      </c>
    </row>
    <row r="219">
      <c r="A219" s="9" t="inlineStr">
        <is>
          <t>51667-75</t>
        </is>
      </c>
      <c r="B219" s="10" t="inlineStr">
        <is>
          <t>Xirrus</t>
        </is>
      </c>
      <c r="C219" s="11" t="inlineStr">
        <is>
          <t>91320</t>
        </is>
      </c>
      <c r="D219" s="12" t="inlineStr">
        <is>
          <t>Provider of next generation cloud-enabled wireless networks designed to offer seamless wireless access. The company's Wi-Fi network offers modular, dual band and multi-radio platform that features application control, is highly scalable, future proof and easy to use, enabling clients to access wireless networks when and wherever needed.</t>
        </is>
      </c>
      <c r="E219" s="13" t="inlineStr">
        <is>
          <t>Wireless Communications Equipment</t>
        </is>
      </c>
      <c r="F219" s="14" t="inlineStr">
        <is>
          <t>Thousand Oaks, CA</t>
        </is>
      </c>
      <c r="G219" s="15" t="inlineStr">
        <is>
          <t>Privately Held (backing)</t>
        </is>
      </c>
      <c r="H219" s="16" t="inlineStr">
        <is>
          <t>Venture Capital-Backed</t>
        </is>
      </c>
      <c r="I219" s="17" t="inlineStr">
        <is>
          <t>August Capital, Canaan Partners, Dirk Gates, InterWest Partners, QuestMark Partners, TriplePoint Venture Growth, US Venture Partners, Vencore Capital</t>
        </is>
      </c>
      <c r="J219" s="18" t="inlineStr">
        <is>
          <t>www.xirrus.com</t>
        </is>
      </c>
      <c r="K219" s="19" t="inlineStr">
        <is>
          <t>info@xirrus.com</t>
        </is>
      </c>
      <c r="L219" s="20" t="inlineStr">
        <is>
          <t>+1 (805) 262-1600</t>
        </is>
      </c>
      <c r="M219" s="21" t="inlineStr">
        <is>
          <t>Steven DeGennaro</t>
        </is>
      </c>
      <c r="N219" s="22" t="inlineStr">
        <is>
          <t>Co-Founder &amp; Chief Financial Officer</t>
        </is>
      </c>
      <c r="O219" s="23" t="inlineStr">
        <is>
          <t>steve.degennaro@xirrus.com</t>
        </is>
      </c>
      <c r="P219" s="24" t="inlineStr">
        <is>
          <t>+1 (805) 262-1600</t>
        </is>
      </c>
      <c r="Q219" s="25" t="n">
        <v>2004.0</v>
      </c>
      <c r="R219" s="113">
        <f>HYPERLINK("https://my.pitchbook.com?c=51667-75", "View company online")</f>
      </c>
    </row>
    <row r="220">
      <c r="A220" s="27" t="inlineStr">
        <is>
          <t>171739-72</t>
        </is>
      </c>
      <c r="B220" s="28" t="inlineStr">
        <is>
          <t>Xip</t>
        </is>
      </c>
      <c r="C220" s="86">
        <f>HYPERLINK("https://my.pitchbook.com?rrp=171739-72&amp;type=c", "This Company's information is not available to download. Need this Company? Request availability")</f>
      </c>
      <c r="D220" s="30" t="inlineStr">
        <is>
          <t/>
        </is>
      </c>
      <c r="E220" s="31" t="inlineStr">
        <is>
          <t/>
        </is>
      </c>
      <c r="F220" s="32" t="inlineStr">
        <is>
          <t/>
        </is>
      </c>
      <c r="G220" s="33" t="inlineStr">
        <is>
          <t/>
        </is>
      </c>
      <c r="H220" s="34" t="inlineStr">
        <is>
          <t/>
        </is>
      </c>
      <c r="I220" s="35" t="inlineStr">
        <is>
          <t/>
        </is>
      </c>
      <c r="J220" s="36" t="inlineStr">
        <is>
          <t/>
        </is>
      </c>
      <c r="K220" s="37" t="inlineStr">
        <is>
          <t/>
        </is>
      </c>
      <c r="L220" s="38" t="inlineStr">
        <is>
          <t/>
        </is>
      </c>
      <c r="M220" s="39" t="inlineStr">
        <is>
          <t/>
        </is>
      </c>
      <c r="N220" s="40" t="inlineStr">
        <is>
          <t/>
        </is>
      </c>
      <c r="O220" s="41" t="inlineStr">
        <is>
          <t/>
        </is>
      </c>
      <c r="P220" s="42" t="inlineStr">
        <is>
          <t/>
        </is>
      </c>
      <c r="Q220" s="43" t="inlineStr">
        <is>
          <t/>
        </is>
      </c>
      <c r="R220" s="44" t="inlineStr">
        <is>
          <t/>
        </is>
      </c>
    </row>
    <row r="221">
      <c r="A221" s="9" t="inlineStr">
        <is>
          <t>174360-43</t>
        </is>
      </c>
      <c r="B221" s="10" t="inlineStr">
        <is>
          <t>Xingtone</t>
        </is>
      </c>
      <c r="C221" s="85">
        <f>HYPERLINK("https://my.pitchbook.com?rrp=174360-43&amp;type=c",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row>
    <row r="222">
      <c r="A222" s="27" t="inlineStr">
        <is>
          <t>60591-43</t>
        </is>
      </c>
      <c r="B222" s="28" t="inlineStr">
        <is>
          <t>Xingtera</t>
        </is>
      </c>
      <c r="C222" s="29" t="inlineStr">
        <is>
          <t>201203</t>
        </is>
      </c>
      <c r="D222" s="30" t="inlineStr">
        <is>
          <t>Provider of home networking services. The company's technology allows any appliances and home devices to be connected and managed through electrical transmission and communication network.</t>
        </is>
      </c>
      <c r="E222" s="31" t="inlineStr">
        <is>
          <t>Application Specific Semiconductors</t>
        </is>
      </c>
      <c r="F222" s="32" t="inlineStr">
        <is>
          <t>Shanghai, China</t>
        </is>
      </c>
      <c r="G222" s="33" t="inlineStr">
        <is>
          <t>Privately Held (backing)</t>
        </is>
      </c>
      <c r="H222" s="34" t="inlineStr">
        <is>
          <t>Venture Capital-Backed</t>
        </is>
      </c>
      <c r="I222" s="35" t="inlineStr">
        <is>
          <t>Best Buy Capital, Guangdong Chaohua Technology Company</t>
        </is>
      </c>
      <c r="J222" s="36" t="inlineStr">
        <is>
          <t>www.xingtera.com</t>
        </is>
      </c>
      <c r="K222" s="37" t="inlineStr">
        <is>
          <t>info@xingtera.com</t>
        </is>
      </c>
      <c r="L222" s="38" t="inlineStr">
        <is>
          <t>+86 (0)21 5031 7729</t>
        </is>
      </c>
      <c r="M222" s="39" t="inlineStr">
        <is>
          <t>Yuqing Niu</t>
        </is>
      </c>
      <c r="N222" s="40" t="inlineStr">
        <is>
          <t>Co-Founder &amp; Chief Executive Officer</t>
        </is>
      </c>
      <c r="O222" s="41" t="inlineStr">
        <is>
          <t>yuqing@xingtera.com</t>
        </is>
      </c>
      <c r="P222" s="42" t="inlineStr">
        <is>
          <t>+86 (0)21 5031 7729</t>
        </is>
      </c>
      <c r="Q222" s="43" t="n">
        <v>2010.0</v>
      </c>
      <c r="R222" s="114">
        <f>HYPERLINK("https://my.pitchbook.com?c=60591-43", "View company online")</f>
      </c>
    </row>
    <row r="223">
      <c r="A223" s="9" t="inlineStr">
        <is>
          <t>166730-50</t>
        </is>
      </c>
      <c r="B223" s="10" t="inlineStr">
        <is>
          <t>Ximmerse</t>
        </is>
      </c>
      <c r="C223" s="11" t="inlineStr">
        <is>
          <t>510335</t>
        </is>
      </c>
      <c r="D223" s="12" t="inlineStr">
        <is>
          <t>Designer and developer of a virtual reality sensing device. The company develops a VR motion scanning device and a joystick that tracks a user's position in 3D space and helps them to create and view 3D simulated scenery from their mobile phones.</t>
        </is>
      </c>
      <c r="E223" s="13" t="inlineStr">
        <is>
          <t>Electronics (B2C)</t>
        </is>
      </c>
      <c r="F223" s="14" t="inlineStr">
        <is>
          <t>Guangzhou, China</t>
        </is>
      </c>
      <c r="G223" s="15" t="inlineStr">
        <is>
          <t>Privately Held (backing)</t>
        </is>
      </c>
      <c r="H223" s="16" t="inlineStr">
        <is>
          <t>Venture Capital-Backed</t>
        </is>
      </c>
      <c r="I223" s="17" t="inlineStr">
        <is>
          <t>Alpha Group (China), Chang Ce Investment Management, Qualcomm, Qualcomm Ventures</t>
        </is>
      </c>
      <c r="J223" s="18" t="inlineStr">
        <is>
          <t>www.ximmerse.com</t>
        </is>
      </c>
      <c r="K223" s="19" t="inlineStr">
        <is>
          <t>info@ximmerse.com</t>
        </is>
      </c>
      <c r="L223" s="20" t="inlineStr">
        <is>
          <t/>
        </is>
      </c>
      <c r="M223" s="21" t="inlineStr">
        <is>
          <t>Davy He</t>
        </is>
      </c>
      <c r="N223" s="22" t="inlineStr">
        <is>
          <t>Co-Founder &amp; Chief Executive Officer</t>
        </is>
      </c>
      <c r="O223" s="23" t="inlineStr">
        <is>
          <t>davy@ximmerse.com</t>
        </is>
      </c>
      <c r="P223" s="24" t="inlineStr">
        <is>
          <t/>
        </is>
      </c>
      <c r="Q223" s="25" t="n">
        <v>2015.0</v>
      </c>
      <c r="R223" s="113">
        <f>HYPERLINK("https://my.pitchbook.com?c=166730-50", "View company online")</f>
      </c>
    </row>
    <row r="224">
      <c r="A224" s="27" t="inlineStr">
        <is>
          <t>99237-34</t>
        </is>
      </c>
      <c r="B224" s="28" t="inlineStr">
        <is>
          <t>Ximedica</t>
        </is>
      </c>
      <c r="C224" s="29" t="inlineStr">
        <is>
          <t>02907</t>
        </is>
      </c>
      <c r="D224" s="30" t="inlineStr">
        <is>
          <t>Provider of research, development, regulatory and manufacturing services to medical device makers. The company operates as a product development firm that focuses on the development, manufacturing and commercialization of medical devices.</t>
        </is>
      </c>
      <c r="E224" s="31" t="inlineStr">
        <is>
          <t>Medical Supplies</t>
        </is>
      </c>
      <c r="F224" s="32" t="inlineStr">
        <is>
          <t>Providence, RI</t>
        </is>
      </c>
      <c r="G224" s="33" t="inlineStr">
        <is>
          <t>Privately Held (backing)</t>
        </is>
      </c>
      <c r="H224" s="34" t="inlineStr">
        <is>
          <t>Venture Capital-Backed</t>
        </is>
      </c>
      <c r="I224" s="35" t="inlineStr">
        <is>
          <t>SV Health Investors</t>
        </is>
      </c>
      <c r="J224" s="36" t="inlineStr">
        <is>
          <t>www.ximedica.com</t>
        </is>
      </c>
      <c r="K224" s="37" t="inlineStr">
        <is>
          <t>info@ximedica.com</t>
        </is>
      </c>
      <c r="L224" s="38" t="inlineStr">
        <is>
          <t>+1 (401) 330-3163</t>
        </is>
      </c>
      <c r="M224" s="39" t="inlineStr">
        <is>
          <t>Randall Barko</t>
        </is>
      </c>
      <c r="N224" s="40" t="inlineStr">
        <is>
          <t>President, Chief Executive Officer &amp; Member of the Board of Directors</t>
        </is>
      </c>
      <c r="O224" s="41" t="inlineStr">
        <is>
          <t>rbarko@ximedica.com</t>
        </is>
      </c>
      <c r="P224" s="42" t="inlineStr">
        <is>
          <t>+1 (401) 330-3163</t>
        </is>
      </c>
      <c r="Q224" s="43" t="n">
        <v>1985.0</v>
      </c>
      <c r="R224" s="114">
        <f>HYPERLINK("https://my.pitchbook.com?c=99237-34", "View company online")</f>
      </c>
    </row>
    <row r="225">
      <c r="A225" s="9" t="inlineStr">
        <is>
          <t>91932-13</t>
        </is>
      </c>
      <c r="B225" s="10" t="inlineStr">
        <is>
          <t>Ximble</t>
        </is>
      </c>
      <c r="C225" s="11" t="inlineStr">
        <is>
          <t>92008</t>
        </is>
      </c>
      <c r="D225" s="12" t="inlineStr">
        <is>
          <t>Developer of a workforce management software. The company provides a scheduling and time tracking software to small and medium sized businesses for workforce optimization.</t>
        </is>
      </c>
      <c r="E225" s="13" t="inlineStr">
        <is>
          <t>Automation/Workflow Software</t>
        </is>
      </c>
      <c r="F225" s="14" t="inlineStr">
        <is>
          <t>Carlsbad, CA</t>
        </is>
      </c>
      <c r="G225" s="15" t="inlineStr">
        <is>
          <t>Privately Held (backing)</t>
        </is>
      </c>
      <c r="H225" s="16" t="inlineStr">
        <is>
          <t>Venture Capital-Backed</t>
        </is>
      </c>
      <c r="I225" s="17" t="inlineStr">
        <is>
          <t>Edna Swaniker, Gregory Ozimec, Kwamina Ewusie, Matt DeWaal, Seed Equity Ventures, SEEK</t>
        </is>
      </c>
      <c r="J225" s="18" t="inlineStr">
        <is>
          <t>www.ximble.com</t>
        </is>
      </c>
      <c r="K225" s="19" t="inlineStr">
        <is>
          <t>info@nimbleschedule.com</t>
        </is>
      </c>
      <c r="L225" s="20" t="inlineStr">
        <is>
          <t>+1 (866) 986-6462</t>
        </is>
      </c>
      <c r="M225" s="21" t="inlineStr">
        <is>
          <t>Sasha Poljak</t>
        </is>
      </c>
      <c r="N225" s="22" t="inlineStr">
        <is>
          <t>Chief Executive Officer &amp; Co-Founder</t>
        </is>
      </c>
      <c r="O225" s="23" t="inlineStr">
        <is>
          <t>sasha.poljak@nimbleschedule.com</t>
        </is>
      </c>
      <c r="P225" s="24" t="inlineStr">
        <is>
          <t>+1 (866) 986-6462</t>
        </is>
      </c>
      <c r="Q225" s="25" t="n">
        <v>2012.0</v>
      </c>
      <c r="R225" s="113">
        <f>HYPERLINK("https://my.pitchbook.com?c=91932-13", "View company online")</f>
      </c>
    </row>
    <row r="226">
      <c r="A226" s="27" t="inlineStr">
        <is>
          <t>52758-73</t>
        </is>
      </c>
      <c r="B226" s="28" t="inlineStr">
        <is>
          <t>Xignite</t>
        </is>
      </c>
      <c r="C226" s="29" t="inlineStr">
        <is>
          <t>94402</t>
        </is>
      </c>
      <c r="D226" s="30" t="inlineStr">
        <is>
          <t>Provider of a cloud-based platform designed to offer financial market data APIs for banking. The company's cloud-based platform sources and integrates financial market data, focuses on growing and creating products that delight users, offers real-time and reference data on-demand as well as covers market quotes, news, corporate data, industry information, analytics and tools, providing financial services and fintech companies with real-time and reference market data for easy integration with websites, applications and software.</t>
        </is>
      </c>
      <c r="E226" s="31" t="inlineStr">
        <is>
          <t>Media and Information Services (B2B)</t>
        </is>
      </c>
      <c r="F226" s="32" t="inlineStr">
        <is>
          <t>San Mateo, CA</t>
        </is>
      </c>
      <c r="G226" s="33" t="inlineStr">
        <is>
          <t>Privately Held (backing)</t>
        </is>
      </c>
      <c r="H226" s="34" t="inlineStr">
        <is>
          <t>Venture Capital-Backed</t>
        </is>
      </c>
      <c r="I226" s="35" t="inlineStr">
        <is>
          <t>Altos Ventures, Individual Investor, QUICK Corp, Spring Mountain Capital, Startup Capital Ventures, StarVest Partners</t>
        </is>
      </c>
      <c r="J226" s="36" t="inlineStr">
        <is>
          <t>www.xignite.com</t>
        </is>
      </c>
      <c r="K226" s="37" t="inlineStr">
        <is>
          <t>info@xignite.com</t>
        </is>
      </c>
      <c r="L226" s="38" t="inlineStr">
        <is>
          <t>+1 (650) 655-3700</t>
        </is>
      </c>
      <c r="M226" s="39" t="inlineStr">
        <is>
          <t>Stephane Dubois</t>
        </is>
      </c>
      <c r="N226" s="40" t="inlineStr">
        <is>
          <t>Founder, Chief Executive Officer &amp; Board Member</t>
        </is>
      </c>
      <c r="O226" s="41" t="inlineStr">
        <is>
          <t>sdubois@xignite.com</t>
        </is>
      </c>
      <c r="P226" s="42" t="inlineStr">
        <is>
          <t>+1 (650) 655-3700</t>
        </is>
      </c>
      <c r="Q226" s="43" t="n">
        <v>2000.0</v>
      </c>
      <c r="R226" s="114">
        <f>HYPERLINK("https://my.pitchbook.com?c=52758-73", "View company online")</f>
      </c>
    </row>
    <row r="227">
      <c r="A227" s="9" t="inlineStr">
        <is>
          <t>52933-42</t>
        </is>
      </c>
      <c r="B227" s="10" t="inlineStr">
        <is>
          <t>Xicato</t>
        </is>
      </c>
      <c r="C227" s="11" t="inlineStr">
        <is>
          <t>95134</t>
        </is>
      </c>
      <c r="D227" s="12" t="inlineStr">
        <is>
          <t>Developer of LED modules with integrated electronics. The company develops and manufactures intelligent light sources with software, sensors and connectivity designed to create smart spaces and buildings which can be managed from anywhere, using any device.</t>
        </is>
      </c>
      <c r="E227" s="13" t="inlineStr">
        <is>
          <t>Electronics (B2C)</t>
        </is>
      </c>
      <c r="F227" s="14" t="inlineStr">
        <is>
          <t>San Jose, CA</t>
        </is>
      </c>
      <c r="G227" s="15" t="inlineStr">
        <is>
          <t>Privately Held (backing)</t>
        </is>
      </c>
      <c r="H227" s="16" t="inlineStr">
        <is>
          <t>Venture Capital-Backed</t>
        </is>
      </c>
      <c r="I227" s="17" t="inlineStr">
        <is>
          <t>Angeleno Group, ATEL Ventures, Mohr Davidow Ventures, US Venture Partners</t>
        </is>
      </c>
      <c r="J227" s="18" t="inlineStr">
        <is>
          <t>www.xicato.com</t>
        </is>
      </c>
      <c r="K227" s="19" t="inlineStr">
        <is>
          <t>info@xicato.com</t>
        </is>
      </c>
      <c r="L227" s="20" t="inlineStr">
        <is>
          <t>+1 (866) 223-8395</t>
        </is>
      </c>
      <c r="M227" s="21" t="inlineStr">
        <is>
          <t>Stephen Workman</t>
        </is>
      </c>
      <c r="N227" s="22" t="inlineStr">
        <is>
          <t>Chief Financial Officer</t>
        </is>
      </c>
      <c r="O227" s="23" t="inlineStr">
        <is>
          <t>steve.workman@xicato.com</t>
        </is>
      </c>
      <c r="P227" s="24" t="inlineStr">
        <is>
          <t>+1 (866) 223-8395 x114</t>
        </is>
      </c>
      <c r="Q227" s="25" t="n">
        <v>2007.0</v>
      </c>
      <c r="R227" s="113">
        <f>HYPERLINK("https://my.pitchbook.com?c=52933-42", "View company online")</f>
      </c>
    </row>
    <row r="228">
      <c r="A228" s="27" t="inlineStr">
        <is>
          <t>97944-31</t>
        </is>
      </c>
      <c r="B228" s="28" t="inlineStr">
        <is>
          <t>Xhockware</t>
        </is>
      </c>
      <c r="C228" s="29" t="inlineStr">
        <is>
          <t>4200-192</t>
        </is>
      </c>
      <c r="D228" s="30" t="inlineStr">
        <is>
          <t>Developer of mobile applications for retail industry. The company's product is a shopping and checkout service delivers in-store POS-compatible and mobile retail systems based on customer's insights and requests for products to improve the in-store shopping experience.</t>
        </is>
      </c>
      <c r="E228" s="31" t="inlineStr">
        <is>
          <t>Application Software</t>
        </is>
      </c>
      <c r="F228" s="32" t="inlineStr">
        <is>
          <t>Porto, Portugal</t>
        </is>
      </c>
      <c r="G228" s="33" t="inlineStr">
        <is>
          <t>Privately Held (backing)</t>
        </is>
      </c>
      <c r="H228" s="34" t="inlineStr">
        <is>
          <t>Venture Capital-Backed</t>
        </is>
      </c>
      <c r="I228" s="35" t="inlineStr">
        <is>
          <t>Busy Angels, Carnegie Mellon Portugal Program, PNV Capital, Portugal Capital Ventures, UPTEC</t>
        </is>
      </c>
      <c r="J228" s="36" t="inlineStr">
        <is>
          <t>www.xhockware.com</t>
        </is>
      </c>
      <c r="K228" s="37" t="inlineStr">
        <is>
          <t>info@xhockware.com</t>
        </is>
      </c>
      <c r="L228" s="38" t="inlineStr">
        <is>
          <t>+351 22 073 1338</t>
        </is>
      </c>
      <c r="M228" s="39" t="inlineStr">
        <is>
          <t>Joao Rodrigues</t>
        </is>
      </c>
      <c r="N228" s="40" t="inlineStr">
        <is>
          <t>Chief Executive Officer &amp; Co-Founder</t>
        </is>
      </c>
      <c r="O228" s="41" t="inlineStr">
        <is>
          <t>joao.rodrigues@xhockware.com</t>
        </is>
      </c>
      <c r="P228" s="42" t="inlineStr">
        <is>
          <t>+351 22 073 1338</t>
        </is>
      </c>
      <c r="Q228" s="43" t="n">
        <v>2014.0</v>
      </c>
      <c r="R228" s="114">
        <f>HYPERLINK("https://my.pitchbook.com?c=97944-31", "View company online")</f>
      </c>
    </row>
    <row r="229">
      <c r="A229" s="9" t="inlineStr">
        <is>
          <t>53775-82</t>
        </is>
      </c>
      <c r="B229" s="10" t="inlineStr">
        <is>
          <t>Xfund</t>
        </is>
      </c>
      <c r="C229" s="11" t="inlineStr">
        <is>
          <t>02138</t>
        </is>
      </c>
      <c r="D229" s="12" t="inlineStr">
        <is>
          <t>Provider of seed and early stage capital. The company offers experimenters seed capital, guidance and access to America's top-tier universities and venture capital firms and the company is focused on information, healthcare and energy technologies.</t>
        </is>
      </c>
      <c r="E229" s="13" t="inlineStr">
        <is>
          <t>Other Capital Markets/Institutions</t>
        </is>
      </c>
      <c r="F229" s="14" t="inlineStr">
        <is>
          <t>Cambridge, MA</t>
        </is>
      </c>
      <c r="G229" s="15" t="inlineStr">
        <is>
          <t>Privately Held (backing)</t>
        </is>
      </c>
      <c r="H229" s="16" t="inlineStr">
        <is>
          <t>Venture Capital-Backed</t>
        </is>
      </c>
      <c r="I229" s="17" t="inlineStr">
        <is>
          <t>Accel, Breyer Capital, Individual Investor, New Enterprise Associates</t>
        </is>
      </c>
      <c r="J229" s="18" t="inlineStr">
        <is>
          <t>www.xfund.com</t>
        </is>
      </c>
      <c r="K229" s="19" t="inlineStr">
        <is>
          <t>start@xfund.com</t>
        </is>
      </c>
      <c r="L229" s="20" t="inlineStr">
        <is>
          <t>+1 (650) 686-1280</t>
        </is>
      </c>
      <c r="M229" s="21" t="inlineStr">
        <is>
          <t>Hugo Van Vuuren</t>
        </is>
      </c>
      <c r="N229" s="22" t="inlineStr">
        <is>
          <t>Co-Founder &amp; Managing Member</t>
        </is>
      </c>
      <c r="O229" s="23" t="inlineStr">
        <is>
          <t>hugo@xfund.com</t>
        </is>
      </c>
      <c r="P229" s="24" t="inlineStr">
        <is>
          <t>+1 (646) 494-6231</t>
        </is>
      </c>
      <c r="Q229" s="25" t="n">
        <v>2011.0</v>
      </c>
      <c r="R229" s="113">
        <f>HYPERLINK("https://my.pitchbook.com?c=53775-82", "View company online")</f>
      </c>
    </row>
    <row r="230">
      <c r="A230" s="27" t="inlineStr">
        <is>
          <t>56146-51</t>
        </is>
      </c>
      <c r="B230" s="28" t="inlineStr">
        <is>
          <t>Xform Computing</t>
        </is>
      </c>
      <c r="C230" s="29" t="inlineStr">
        <is>
          <t>93101</t>
        </is>
      </c>
      <c r="D230" s="30" t="inlineStr">
        <is>
          <t>Developer of cloud-powered applications for mobile devices. The company offers desktop-class technologies including HTML5, java, flash, silverlight and linux, on mobile devices for consumers and businesses.</t>
        </is>
      </c>
      <c r="E230" s="31" t="inlineStr">
        <is>
          <t>Application Software</t>
        </is>
      </c>
      <c r="F230" s="32" t="inlineStr">
        <is>
          <t>Santa Barbara, CA</t>
        </is>
      </c>
      <c r="G230" s="33" t="inlineStr">
        <is>
          <t>Privately Held (backing)</t>
        </is>
      </c>
      <c r="H230" s="34" t="inlineStr">
        <is>
          <t>Venture Capital-Backed</t>
        </is>
      </c>
      <c r="I230" s="35" t="inlineStr">
        <is>
          <t>Parallels, VoiVoda Ventures</t>
        </is>
      </c>
      <c r="J230" s="36" t="inlineStr">
        <is>
          <t>www.xformcomputing.com</t>
        </is>
      </c>
      <c r="K230" s="37" t="inlineStr">
        <is>
          <t>contact@xformcomputing.com</t>
        </is>
      </c>
      <c r="L230" s="38" t="inlineStr">
        <is>
          <t>+1 (805) 962-9611</t>
        </is>
      </c>
      <c r="M230" s="39" t="inlineStr">
        <is>
          <t>Kroum Antov</t>
        </is>
      </c>
      <c r="N230" s="40" t="inlineStr">
        <is>
          <t>Founder, Chairman of the Board &amp; Chief Executive Officer</t>
        </is>
      </c>
      <c r="O230" s="41" t="inlineStr">
        <is>
          <t>krroum@xformcomputing.com</t>
        </is>
      </c>
      <c r="P230" s="42" t="inlineStr">
        <is>
          <t>+1 (805) 962-9611</t>
        </is>
      </c>
      <c r="Q230" s="43" t="n">
        <v>2007.0</v>
      </c>
      <c r="R230" s="114">
        <f>HYPERLINK("https://my.pitchbook.com?c=56146-51", "View company online")</f>
      </c>
    </row>
    <row r="231">
      <c r="A231" s="9" t="inlineStr">
        <is>
          <t>166949-65</t>
        </is>
      </c>
      <c r="B231" s="10" t="inlineStr">
        <is>
          <t>Xenio</t>
        </is>
      </c>
      <c r="C231" s="11" t="inlineStr">
        <is>
          <t>94133</t>
        </is>
      </c>
      <c r="D231" s="12" t="inlineStr">
        <is>
          <t>Provider of light emitting diode lighting services. The company offers light fixtures and electrical wiring for powering and retrieving data from devices by combining embedded intelligence, networking, sensors and cloud-based connections. The devices can be used for commercial public spaces like retail stores, hotels, entertainment venues, offices, health care facilities, and transportation hubs.</t>
        </is>
      </c>
      <c r="E231" s="13" t="inlineStr">
        <is>
          <t>Electrical Equipment</t>
        </is>
      </c>
      <c r="F231" s="14" t="inlineStr">
        <is>
          <t>San Francisco, CA</t>
        </is>
      </c>
      <c r="G231" s="15" t="inlineStr">
        <is>
          <t>Privately Held (backing)</t>
        </is>
      </c>
      <c r="H231" s="16" t="inlineStr">
        <is>
          <t>Venture Capital-Backed</t>
        </is>
      </c>
      <c r="I231" s="17" t="inlineStr">
        <is>
          <t>180 Degree Capital, DCM Ventures, El Dorado Ventures, VantagePoint Capital Partners</t>
        </is>
      </c>
      <c r="J231" s="18" t="inlineStr">
        <is>
          <t>www.xeniosystems.com</t>
        </is>
      </c>
      <c r="K231" s="19" t="inlineStr">
        <is>
          <t/>
        </is>
      </c>
      <c r="L231" s="20" t="inlineStr">
        <is>
          <t/>
        </is>
      </c>
      <c r="M231" s="21" t="inlineStr">
        <is>
          <t>Reza Raji</t>
        </is>
      </c>
      <c r="N231" s="22" t="inlineStr">
        <is>
          <t>Chief Executive Officer &amp; Chief Product Officer</t>
        </is>
      </c>
      <c r="O231" s="23" t="inlineStr">
        <is>
          <t>reza.raji@xeniosystems.com</t>
        </is>
      </c>
      <c r="P231" s="24" t="inlineStr">
        <is>
          <t/>
        </is>
      </c>
      <c r="Q231" s="25" t="n">
        <v>2016.0</v>
      </c>
      <c r="R231" s="113">
        <f>HYPERLINK("https://my.pitchbook.com?c=166949-65", "View company online")</f>
      </c>
    </row>
    <row r="232">
      <c r="A232" s="27" t="inlineStr">
        <is>
          <t>103397-77</t>
        </is>
      </c>
      <c r="B232" s="28" t="inlineStr">
        <is>
          <t>Xendit</t>
        </is>
      </c>
      <c r="C232" s="29" t="inlineStr">
        <is>
          <t>12870</t>
        </is>
      </c>
      <c r="D232" s="30" t="inlineStr">
        <is>
          <t>Provider of payment gateway for Southeast Asia created to make an impact on the world by making the process of sending money as simple and user-friendly as possible. The company's payment gateway offers money remittance application which allows users to send money to others through their mobiles from bank transfer, virtual account, and credit card, enabling businesses to scale without having to worry about how to get paid.</t>
        </is>
      </c>
      <c r="E232" s="31" t="inlineStr">
        <is>
          <t>Financial Software</t>
        </is>
      </c>
      <c r="F232" s="32" t="inlineStr">
        <is>
          <t>Jakarta, Indonesia</t>
        </is>
      </c>
      <c r="G232" s="33" t="inlineStr">
        <is>
          <t>Privately Held (backing)</t>
        </is>
      </c>
      <c r="H232" s="34" t="inlineStr">
        <is>
          <t>Venture Capital-Backed</t>
        </is>
      </c>
      <c r="I232" s="35" t="inlineStr">
        <is>
          <t>Convergence Ventures, Goodwater Capital, LAUNCH (UC Berkeley), Skydeck | Berkeley, Sovereign's Capital, Y Combinator</t>
        </is>
      </c>
      <c r="J232" s="36" t="inlineStr">
        <is>
          <t>www.xendit.co</t>
        </is>
      </c>
      <c r="K232" s="37" t="inlineStr">
        <is>
          <t/>
        </is>
      </c>
      <c r="L232" s="38" t="inlineStr">
        <is>
          <t/>
        </is>
      </c>
      <c r="M232" s="39" t="inlineStr">
        <is>
          <t>Moses Lo</t>
        </is>
      </c>
      <c r="N232" s="40" t="inlineStr">
        <is>
          <t>Co-Founder, Board Member &amp; Chief Executive Officer</t>
        </is>
      </c>
      <c r="O232" s="41" t="inlineStr">
        <is>
          <t>moses@xendit.co</t>
        </is>
      </c>
      <c r="P232" s="42" t="inlineStr">
        <is>
          <t/>
        </is>
      </c>
      <c r="Q232" s="43" t="n">
        <v>2014.0</v>
      </c>
      <c r="R232" s="114">
        <f>HYPERLINK("https://my.pitchbook.com?c=103397-77", "View company online")</f>
      </c>
    </row>
    <row r="233">
      <c r="A233" s="9" t="inlineStr">
        <is>
          <t>53888-95</t>
        </is>
      </c>
      <c r="B233" s="10" t="inlineStr">
        <is>
          <t>Xcor Aerospace</t>
        </is>
      </c>
      <c r="C233" s="11" t="inlineStr">
        <is>
          <t>93501</t>
        </is>
      </c>
      <c r="D233" s="12" t="inlineStr">
        <is>
          <t>Developer and producer of reusable rocket-powered, horizontal launch vehicles. The company develops horizontal launch vehicles for suborbital and orbital travel. It provides platforms to increase the viability of space missions and opportunities across markets.</t>
        </is>
      </c>
      <c r="E233" s="13" t="inlineStr">
        <is>
          <t>Aerospace and Defense</t>
        </is>
      </c>
      <c r="F233" s="14" t="inlineStr">
        <is>
          <t>Mojave, CA</t>
        </is>
      </c>
      <c r="G233" s="15" t="inlineStr">
        <is>
          <t>Privately Held (backing)</t>
        </is>
      </c>
      <c r="H233" s="16" t="inlineStr">
        <is>
          <t>Venture Capital-Backed</t>
        </is>
      </c>
      <c r="I233" s="17" t="inlineStr">
        <is>
          <t>Boston Harbor Angels, Desert Sky Holdings, Esther Dyson, Individual Investor, Space Angels Network, Space Expedition, Stephen Fleming</t>
        </is>
      </c>
      <c r="J233" s="18" t="inlineStr">
        <is>
          <t>www.xcor.com</t>
        </is>
      </c>
      <c r="K233" s="19" t="inlineStr">
        <is>
          <t>info@xcor.com</t>
        </is>
      </c>
      <c r="L233" s="20" t="inlineStr">
        <is>
          <t>+1 (661) 824-4714</t>
        </is>
      </c>
      <c r="M233" s="21" t="inlineStr">
        <is>
          <t>Randy Baker</t>
        </is>
      </c>
      <c r="N233" s="22" t="inlineStr">
        <is>
          <t>Chief Operating Officer</t>
        </is>
      </c>
      <c r="O233" s="23" t="inlineStr">
        <is>
          <t>rbaker@xcor.com</t>
        </is>
      </c>
      <c r="P233" s="24" t="inlineStr">
        <is>
          <t>+1 (661) 824-4714</t>
        </is>
      </c>
      <c r="Q233" s="25" t="n">
        <v>1999.0</v>
      </c>
      <c r="R233" s="113">
        <f>HYPERLINK("https://my.pitchbook.com?c=53888-95", "View company online")</f>
      </c>
    </row>
    <row r="234">
      <c r="A234" s="27" t="inlineStr">
        <is>
          <t>98409-70</t>
        </is>
      </c>
      <c r="B234" s="28" t="inlineStr">
        <is>
          <t>Xcell Biosciences</t>
        </is>
      </c>
      <c r="C234" s="29" t="inlineStr">
        <is>
          <t>94158</t>
        </is>
      </c>
      <c r="D234" s="30" t="inlineStr">
        <is>
          <t>Developer of research tools and diagnostics solutions intended to enhance scientific development in the fields of oncology, stem cell biology and immunology. The company's research tools and diagnostic solutions replicate physiologically relevant conditions, empowering researchers and drug developers in transfection and gene editing efficiencies in primary cell populations for regenerative medicine and cell-based therapy applications.</t>
        </is>
      </c>
      <c r="E234" s="31" t="inlineStr">
        <is>
          <t>Biotechnology</t>
        </is>
      </c>
      <c r="F234" s="32" t="inlineStr">
        <is>
          <t>San Francisco, CA</t>
        </is>
      </c>
      <c r="G234" s="33" t="inlineStr">
        <is>
          <t>Privately Held (backing)</t>
        </is>
      </c>
      <c r="H234" s="34" t="inlineStr">
        <is>
          <t>Venture Capital-Backed</t>
        </is>
      </c>
      <c r="I234" s="35" t="inlineStr">
        <is>
          <t>BayBio FAST, Farzad Nazem, HBM Healthcare Investments, Illumina Accelerator, Skydeck | Berkeley, Viking Global Investors</t>
        </is>
      </c>
      <c r="J234" s="36" t="inlineStr">
        <is>
          <t>www.xcellbio.com</t>
        </is>
      </c>
      <c r="K234" s="37" t="inlineStr">
        <is>
          <t>info@xcellbio.com</t>
        </is>
      </c>
      <c r="L234" s="38" t="inlineStr">
        <is>
          <t>+1 (415) 937-0321</t>
        </is>
      </c>
      <c r="M234" s="39" t="inlineStr">
        <is>
          <t>Brian Feth</t>
        </is>
      </c>
      <c r="N234" s="40" t="inlineStr">
        <is>
          <t>Co-Founder &amp; Chief Executive Officer</t>
        </is>
      </c>
      <c r="O234" s="41" t="inlineStr">
        <is>
          <t>brian@xcellbio.com</t>
        </is>
      </c>
      <c r="P234" s="42" t="inlineStr">
        <is>
          <t>+1 (415) 937-0321</t>
        </is>
      </c>
      <c r="Q234" s="43" t="n">
        <v>2012.0</v>
      </c>
      <c r="R234" s="114">
        <f>HYPERLINK("https://my.pitchbook.com?c=98409-70", "View company online")</f>
      </c>
    </row>
    <row r="235">
      <c r="A235" s="9" t="inlineStr">
        <is>
          <t>103397-14</t>
        </is>
      </c>
      <c r="B235" s="10" t="inlineStr">
        <is>
          <t>Xcelaero</t>
        </is>
      </c>
      <c r="C235" s="11" t="inlineStr">
        <is>
          <t>93401</t>
        </is>
      </c>
      <c r="D235" s="12" t="inlineStr">
        <is>
          <t>Developer of air handling systems. The company develops and markets air handling systems designed to reduce the energy requirement for operating modern thermal management systems. It has a broad range of applications in electronics cooling, industrial and defense applications.</t>
        </is>
      </c>
      <c r="E235" s="13" t="inlineStr">
        <is>
          <t>Electrical Equipment</t>
        </is>
      </c>
      <c r="F235" s="14" t="inlineStr">
        <is>
          <t>San Luis Obispo, CA</t>
        </is>
      </c>
      <c r="G235" s="15" t="inlineStr">
        <is>
          <t>Privately Held (backing)</t>
        </is>
      </c>
      <c r="H235" s="16" t="inlineStr">
        <is>
          <t>Venture Capital-Backed</t>
        </is>
      </c>
      <c r="I235" s="17" t="inlineStr">
        <is>
          <t>Ritchie Capital Management</t>
        </is>
      </c>
      <c r="J235" s="18" t="inlineStr">
        <is>
          <t>www.xcelaero.com</t>
        </is>
      </c>
      <c r="K235" s="19" t="inlineStr">
        <is>
          <t>info@xcelaero.com</t>
        </is>
      </c>
      <c r="L235" s="20" t="inlineStr">
        <is>
          <t>+1 (877) 925-2376</t>
        </is>
      </c>
      <c r="M235" s="21" t="inlineStr">
        <is>
          <t>Dennis Pfister</t>
        </is>
      </c>
      <c r="N235" s="22" t="inlineStr">
        <is>
          <t>Chief Executive Officer</t>
        </is>
      </c>
      <c r="O235" s="23" t="inlineStr">
        <is>
          <t>dpfister@xcelaero.com</t>
        </is>
      </c>
      <c r="P235" s="24" t="inlineStr">
        <is>
          <t>+1 (877) 925-2376</t>
        </is>
      </c>
      <c r="Q235" s="25" t="n">
        <v>2005.0</v>
      </c>
      <c r="R235" s="113">
        <f>HYPERLINK("https://my.pitchbook.com?c=103397-14", "View company online")</f>
      </c>
    </row>
    <row r="236">
      <c r="A236" s="27" t="inlineStr">
        <is>
          <t>103396-96</t>
        </is>
      </c>
      <c r="B236" s="28" t="inlineStr">
        <is>
          <t>Xceed</t>
        </is>
      </c>
      <c r="C236" s="29" t="inlineStr">
        <is>
          <t>20124</t>
        </is>
      </c>
      <c r="D236" s="30" t="inlineStr">
        <is>
          <t>Provider of a night club search application designed to discover the events and parties at the top clubs from around the world. The company's night club search application helps to browse through the upcoming events, access guest list and make reservations, enabling consumers to improve their nightlife experience.</t>
        </is>
      </c>
      <c r="E236" s="31" t="inlineStr">
        <is>
          <t>Application Software</t>
        </is>
      </c>
      <c r="F236" s="32" t="inlineStr">
        <is>
          <t>Milan, Italy</t>
        </is>
      </c>
      <c r="G236" s="33" t="inlineStr">
        <is>
          <t>Privately Held (backing)</t>
        </is>
      </c>
      <c r="H236" s="34" t="inlineStr">
        <is>
          <t>Venture Capital-Backed</t>
        </is>
      </c>
      <c r="I236" s="35" t="inlineStr">
        <is>
          <t>360 Capital Partners</t>
        </is>
      </c>
      <c r="J236" s="36" t="inlineStr">
        <is>
          <t>www.xceed.me</t>
        </is>
      </c>
      <c r="K236" s="37" t="inlineStr">
        <is>
          <t>info@xceed.me</t>
        </is>
      </c>
      <c r="L236" s="38" t="inlineStr">
        <is>
          <t>+39 34 9346 3632 5</t>
        </is>
      </c>
      <c r="M236" s="39" t="inlineStr">
        <is>
          <t>Davide Villano</t>
        </is>
      </c>
      <c r="N236" s="40" t="inlineStr">
        <is>
          <t>Chief Financial Officer, Board Member &amp; Co-Founder</t>
        </is>
      </c>
      <c r="O236" s="41" t="inlineStr">
        <is>
          <t>davide@xceed.me</t>
        </is>
      </c>
      <c r="P236" s="42" t="inlineStr">
        <is>
          <t>+39 34 9346 3632 5</t>
        </is>
      </c>
      <c r="Q236" s="43" t="n">
        <v>2014.0</v>
      </c>
      <c r="R236" s="114">
        <f>HYPERLINK("https://my.pitchbook.com?c=103396-96", "View company online")</f>
      </c>
    </row>
    <row r="237">
      <c r="A237" s="9" t="inlineStr">
        <is>
          <t>54648-91</t>
        </is>
      </c>
      <c r="B237" s="10" t="inlineStr">
        <is>
          <t>Xcast Labs</t>
        </is>
      </c>
      <c r="C237" s="11" t="inlineStr">
        <is>
          <t>90067</t>
        </is>
      </c>
      <c r="D237" s="12" t="inlineStr">
        <is>
          <t>Developer of software and hardware technology. The company provides IP-based integrated technology.</t>
        </is>
      </c>
      <c r="E237" s="13" t="inlineStr">
        <is>
          <t>Other Software</t>
        </is>
      </c>
      <c r="F237" s="14" t="inlineStr">
        <is>
          <t>Los Angeles, CA</t>
        </is>
      </c>
      <c r="G237" s="15" t="inlineStr">
        <is>
          <t>Privately Held (backing)</t>
        </is>
      </c>
      <c r="H237" s="16" t="inlineStr">
        <is>
          <t>Venture Capital-Backed</t>
        </is>
      </c>
      <c r="I237" s="17" t="inlineStr">
        <is>
          <t>Frontera Group, Pasadena Angels, Wavemaker Partners</t>
        </is>
      </c>
      <c r="J237" s="18" t="inlineStr">
        <is>
          <t>www.xcastlabs.com</t>
        </is>
      </c>
      <c r="K237" s="19" t="inlineStr">
        <is>
          <t/>
        </is>
      </c>
      <c r="L237" s="20" t="inlineStr">
        <is>
          <t>+1 (310) 861-4700</t>
        </is>
      </c>
      <c r="M237" s="21" t="inlineStr">
        <is>
          <t>Patricia Mathis</t>
        </is>
      </c>
      <c r="N237" s="22" t="inlineStr">
        <is>
          <t>Co-Founder &amp; Executive Chairman</t>
        </is>
      </c>
      <c r="O237" s="23" t="inlineStr">
        <is>
          <t>pmathis@xcastlabs.com</t>
        </is>
      </c>
      <c r="P237" s="24" t="inlineStr">
        <is>
          <t>+1 (310) 861-4700</t>
        </is>
      </c>
      <c r="Q237" s="25" t="n">
        <v>2001.0</v>
      </c>
      <c r="R237" s="113">
        <f>HYPERLINK("https://my.pitchbook.com?c=54648-91", "View company online")</f>
      </c>
    </row>
    <row r="238">
      <c r="A238" s="27" t="inlineStr">
        <is>
          <t>63984-79</t>
        </is>
      </c>
      <c r="B238" s="28" t="inlineStr">
        <is>
          <t>Xcalar</t>
        </is>
      </c>
      <c r="C238" s="29" t="inlineStr">
        <is>
          <t>95128</t>
        </is>
      </c>
      <c r="D238" s="30" t="inlineStr">
        <is>
          <t>Developer of a relational scale-out compute platform designed to offer data infrastructure services. The company's relational scale-out compute platform helps next generation of big data applications, BI and Reporting tools and simplifies the way big data is accessed, managed, modeled and analyzed, enabling users to extract information and deep meaningful insights from petabytes of raw data 100x faster and with 1/10 the compute footprint.</t>
        </is>
      </c>
      <c r="E238" s="31" t="inlineStr">
        <is>
          <t>Application Software</t>
        </is>
      </c>
      <c r="F238" s="32" t="inlineStr">
        <is>
          <t>San Jose, CA</t>
        </is>
      </c>
      <c r="G238" s="33" t="inlineStr">
        <is>
          <t>Privately Held (backing)</t>
        </is>
      </c>
      <c r="H238" s="34" t="inlineStr">
        <is>
          <t>Venture Capital-Backed</t>
        </is>
      </c>
      <c r="I238" s="35" t="inlineStr">
        <is>
          <t>Merus Capital, Microsoft Accelerator</t>
        </is>
      </c>
      <c r="J238" s="36" t="inlineStr">
        <is>
          <t>www.xcalar.com</t>
        </is>
      </c>
      <c r="K238" s="37" t="inlineStr">
        <is>
          <t>info@xcalar.com</t>
        </is>
      </c>
      <c r="L238" s="38" t="inlineStr">
        <is>
          <t>+1 (408) 471-1711</t>
        </is>
      </c>
      <c r="M238" s="39" t="inlineStr">
        <is>
          <t>Vikram Joshi</t>
        </is>
      </c>
      <c r="N238" s="40" t="inlineStr">
        <is>
          <t>Co-Founder, Chief Executive Officer, President &amp; Board Member</t>
        </is>
      </c>
      <c r="O238" s="41" t="inlineStr">
        <is>
          <t>vjoshi@xcalar.com</t>
        </is>
      </c>
      <c r="P238" s="42" t="inlineStr">
        <is>
          <t>+1 (408) 471-1711</t>
        </is>
      </c>
      <c r="Q238" s="43" t="n">
        <v>2013.0</v>
      </c>
      <c r="R238" s="114">
        <f>HYPERLINK("https://my.pitchbook.com?c=63984-79", "View company online")</f>
      </c>
    </row>
    <row r="239">
      <c r="A239" s="9" t="inlineStr">
        <is>
          <t>54150-76</t>
        </is>
      </c>
      <c r="B239" s="10" t="inlineStr">
        <is>
          <t>Xbridge Systems</t>
        </is>
      </c>
      <c r="C239" s="11" t="inlineStr">
        <is>
          <t>95117</t>
        </is>
      </c>
      <c r="D239" s="12" t="inlineStr">
        <is>
          <t>Provider of data loss prevention software and services. The company offers a three-tier service that provides access to VSAM, IMS DB, Oracle and MS SQL data, to enable the system to expand inter-networked clients, servers and browsers that access data from multiple mainframes, databases, partitions and data managers along with a data discovery tool for mainframe security compliance.</t>
        </is>
      </c>
      <c r="E239" s="13" t="inlineStr">
        <is>
          <t>Network Management Software</t>
        </is>
      </c>
      <c r="F239" s="14" t="inlineStr">
        <is>
          <t>San Jose, CA</t>
        </is>
      </c>
      <c r="G239" s="15" t="inlineStr">
        <is>
          <t>Privately Held (backing)</t>
        </is>
      </c>
      <c r="H239" s="16" t="inlineStr">
        <is>
          <t>Venture Capital-Backed</t>
        </is>
      </c>
      <c r="I239" s="17" t="inlineStr">
        <is>
          <t>Band of Angels, Individual Investor, Technology Partners</t>
        </is>
      </c>
      <c r="J239" s="18" t="inlineStr">
        <is>
          <t>www.xbridgesystems.com</t>
        </is>
      </c>
      <c r="K239" s="19" t="inlineStr">
        <is>
          <t/>
        </is>
      </c>
      <c r="L239" s="20" t="inlineStr">
        <is>
          <t>+1 (650) 564-9800</t>
        </is>
      </c>
      <c r="M239" s="21" t="inlineStr">
        <is>
          <t>Raymond Williams</t>
        </is>
      </c>
      <c r="N239" s="22" t="inlineStr">
        <is>
          <t>Chairman, Chief Executive Officer &amp; Co-Founder</t>
        </is>
      </c>
      <c r="O239" s="23" t="inlineStr">
        <is>
          <t/>
        </is>
      </c>
      <c r="P239" s="24" t="inlineStr">
        <is>
          <t>+1 (650) 564-9800</t>
        </is>
      </c>
      <c r="Q239" s="25" t="n">
        <v>1994.0</v>
      </c>
      <c r="R239" s="113">
        <f>HYPERLINK("https://my.pitchbook.com?c=54150-76", "View company online")</f>
      </c>
    </row>
    <row r="240">
      <c r="A240" s="27" t="inlineStr">
        <is>
          <t>164310-94</t>
        </is>
      </c>
      <c r="B240" s="28" t="inlineStr">
        <is>
          <t>Xberts</t>
        </is>
      </c>
      <c r="C240" s="29" t="inlineStr">
        <is>
          <t>94124</t>
        </is>
      </c>
      <c r="D240" s="30" t="inlineStr">
        <is>
          <t>Provider of a platform for feedback and reviews. The company's platform consist of crowdtesting community where hardware innovators release their new products to collect reviews and feedback.</t>
        </is>
      </c>
      <c r="E240" s="31" t="inlineStr">
        <is>
          <t>Social/Platform Software</t>
        </is>
      </c>
      <c r="F240" s="32" t="inlineStr">
        <is>
          <t>San Francisco, CA</t>
        </is>
      </c>
      <c r="G240" s="33" t="inlineStr">
        <is>
          <t>Privately Held (backing)</t>
        </is>
      </c>
      <c r="H240" s="34" t="inlineStr">
        <is>
          <t>Venture Capital-Backed</t>
        </is>
      </c>
      <c r="I240" s="35" t="inlineStr">
        <is>
          <t>Plug and Play Tech Center, SST, Y Combinator</t>
        </is>
      </c>
      <c r="J240" s="36" t="inlineStr">
        <is>
          <t>www.xberts.com</t>
        </is>
      </c>
      <c r="K240" s="37" t="inlineStr">
        <is>
          <t/>
        </is>
      </c>
      <c r="L240" s="38" t="inlineStr">
        <is>
          <t/>
        </is>
      </c>
      <c r="M240" s="39" t="inlineStr">
        <is>
          <t>Steven Huang</t>
        </is>
      </c>
      <c r="N240" s="40" t="inlineStr">
        <is>
          <t>Co-Founder &amp; Chief Operating Officer</t>
        </is>
      </c>
      <c r="O240" s="41" t="inlineStr">
        <is>
          <t>stevenhuang@xberts.com</t>
        </is>
      </c>
      <c r="P240" s="42" t="inlineStr">
        <is>
          <t/>
        </is>
      </c>
      <c r="Q240" s="43" t="n">
        <v>2013.0</v>
      </c>
      <c r="R240" s="114">
        <f>HYPERLINK("https://my.pitchbook.com?c=164310-94", "View company online")</f>
      </c>
    </row>
    <row r="241">
      <c r="A241" s="9" t="inlineStr">
        <is>
          <t>54968-86</t>
        </is>
      </c>
      <c r="B241" s="10" t="inlineStr">
        <is>
          <t>Xavient Information Systems</t>
        </is>
      </c>
      <c r="C241" s="11" t="inlineStr">
        <is>
          <t>93065</t>
        </is>
      </c>
      <c r="D241" s="12" t="inlineStr">
        <is>
          <t>Provider of information technology consulting and software services. The company offers enterprise services and also provides quality assurance and testing operations support services.</t>
        </is>
      </c>
      <c r="E241" s="13" t="inlineStr">
        <is>
          <t>IT Consulting and Outsourcing</t>
        </is>
      </c>
      <c r="F241" s="14" t="inlineStr">
        <is>
          <t>Simi Valley, CA</t>
        </is>
      </c>
      <c r="G241" s="15" t="inlineStr">
        <is>
          <t>Privately Held (backing)</t>
        </is>
      </c>
      <c r="H241" s="16" t="inlineStr">
        <is>
          <t>Venture Capital-Backed</t>
        </is>
      </c>
      <c r="I241" s="17" t="inlineStr">
        <is>
          <t>Alta Partners</t>
        </is>
      </c>
      <c r="J241" s="18" t="inlineStr">
        <is>
          <t>www.xavient.com</t>
        </is>
      </c>
      <c r="K241" s="19" t="inlineStr">
        <is>
          <t>info@xavient.com</t>
        </is>
      </c>
      <c r="L241" s="20" t="inlineStr">
        <is>
          <t>+1 (805) 955-4111</t>
        </is>
      </c>
      <c r="M241" s="21" t="inlineStr">
        <is>
          <t>Rajeev Tandon</t>
        </is>
      </c>
      <c r="N241" s="22" t="inlineStr">
        <is>
          <t>Founder &amp; Chief Executive Officer</t>
        </is>
      </c>
      <c r="O241" s="23" t="inlineStr">
        <is>
          <t>rajeev.tandon@xavient.com</t>
        </is>
      </c>
      <c r="P241" s="24" t="inlineStr">
        <is>
          <t>+1 (805) 955-4111</t>
        </is>
      </c>
      <c r="Q241" s="25" t="n">
        <v>2002.0</v>
      </c>
      <c r="R241" s="113">
        <f>HYPERLINK("https://my.pitchbook.com?c=54968-86", "View company online")</f>
      </c>
    </row>
    <row r="242">
      <c r="A242" s="27" t="inlineStr">
        <is>
          <t>61963-48</t>
        </is>
      </c>
      <c r="B242" s="28" t="inlineStr">
        <is>
          <t>Xapo</t>
        </is>
      </c>
      <c r="C242" s="29" t="inlineStr">
        <is>
          <t/>
        </is>
      </c>
      <c r="D242" s="30" t="inlineStr">
        <is>
          <t>Provider of bitcoin security services. The company provides a peer to peer payment system and digital currency to its clients. It also provides customers with access to a digital wallet and digital vault for their bitcoin accounts.</t>
        </is>
      </c>
      <c r="E242" s="31" t="inlineStr">
        <is>
          <t>Financial Software</t>
        </is>
      </c>
      <c r="F242" s="32" t="inlineStr">
        <is>
          <t>Zurich, Switzerland</t>
        </is>
      </c>
      <c r="G242" s="33" t="inlineStr">
        <is>
          <t>Privately Held (backing)</t>
        </is>
      </c>
      <c r="H242" s="34" t="inlineStr">
        <is>
          <t>Venture Capital-Backed</t>
        </is>
      </c>
      <c r="I242" s="35" t="inlineStr">
        <is>
          <t>AME Cloud Ventures, Benchmark Capital, BitFury Capital, Blockchain Capital, Dave Morin, David Marcus, Digital Currency Group, DST Global, Emergence Capital Partners, Fortress Investment Group, Greylock Partners, Index Ventures (UK), Jerry Yang, Joe Greenstein, Kevin Colleran, Max Levchin, Pantera Capital, Ribbit Capital, Slow Ventures, Swiss Finance Startups, Winklevoss Capital Management, Yuri Milner</t>
        </is>
      </c>
      <c r="J242" s="36" t="inlineStr">
        <is>
          <t>www.xapo.com</t>
        </is>
      </c>
      <c r="K242" s="37" t="inlineStr">
        <is>
          <t>info@xapo.com</t>
        </is>
      </c>
      <c r="L242" s="38" t="inlineStr">
        <is>
          <t/>
        </is>
      </c>
      <c r="M242" s="39" t="inlineStr">
        <is>
          <t>Federico Murrone</t>
        </is>
      </c>
      <c r="N242" s="40" t="inlineStr">
        <is>
          <t>Chief Operating Officer &amp; Co-Founder</t>
        </is>
      </c>
      <c r="O242" s="41" t="inlineStr">
        <is>
          <t>federico.murrone@xapo.com</t>
        </is>
      </c>
      <c r="P242" s="42" t="inlineStr">
        <is>
          <t/>
        </is>
      </c>
      <c r="Q242" s="43" t="n">
        <v>2013.0</v>
      </c>
      <c r="R242" s="114">
        <f>HYPERLINK("https://my.pitchbook.com?c=61963-48", "View company online")</f>
      </c>
    </row>
    <row r="243">
      <c r="A243" s="9" t="inlineStr">
        <is>
          <t>167950-63</t>
        </is>
      </c>
      <c r="B243" s="10" t="inlineStr">
        <is>
          <t>Xanadu Heights</t>
        </is>
      </c>
      <c r="C243" s="11" t="inlineStr">
        <is>
          <t>94103</t>
        </is>
      </c>
      <c r="D243" s="12" t="inlineStr">
        <is>
          <t>Developer of virtual reality games. The company is a gaming studio which develops high-speed motion games in virtual reality. It s building a VR-focused game franchise.</t>
        </is>
      </c>
      <c r="E243" s="13" t="inlineStr">
        <is>
          <t>Entertainment Software</t>
        </is>
      </c>
      <c r="F243" s="14" t="inlineStr">
        <is>
          <t>San Francisco, CA</t>
        </is>
      </c>
      <c r="G243" s="15" t="inlineStr">
        <is>
          <t>Privately Held (backing)</t>
        </is>
      </c>
      <c r="H243" s="16" t="inlineStr">
        <is>
          <t>Venture Capital-Backed</t>
        </is>
      </c>
      <c r="I243" s="17" t="inlineStr">
        <is>
          <t>Redcliffe Capital</t>
        </is>
      </c>
      <c r="J243" s="18" t="inlineStr">
        <is>
          <t>xanaduheights.com</t>
        </is>
      </c>
      <c r="K243" s="19" t="inlineStr">
        <is>
          <t>nsummers@xanaduheights.com</t>
        </is>
      </c>
      <c r="L243" s="20" t="inlineStr">
        <is>
          <t/>
        </is>
      </c>
      <c r="M243" s="21" t="inlineStr">
        <is>
          <t>Preetam Mukherjee</t>
        </is>
      </c>
      <c r="N243" s="22" t="inlineStr">
        <is>
          <t>Founder &amp; Producer</t>
        </is>
      </c>
      <c r="O243" s="23" t="inlineStr">
        <is>
          <t>pm@xanaduheights.com</t>
        </is>
      </c>
      <c r="P243" s="24" t="inlineStr">
        <is>
          <t/>
        </is>
      </c>
      <c r="Q243" s="25" t="n">
        <v>2015.0</v>
      </c>
      <c r="R243" s="113">
        <f>HYPERLINK("https://my.pitchbook.com?c=167950-63", "View company online")</f>
      </c>
    </row>
    <row r="244">
      <c r="A244" s="27" t="inlineStr">
        <is>
          <t>52933-24</t>
        </is>
      </c>
      <c r="B244" s="28" t="inlineStr">
        <is>
          <t>Xambala</t>
        </is>
      </c>
      <c r="C244" s="29" t="inlineStr">
        <is>
          <t>94086</t>
        </is>
      </c>
      <c r="D244" s="30" t="inlineStr">
        <is>
          <t>Provider of processing subsystem for the financial marketplace. The company offers networking and computing technologies that respond as markets change and provide quotes.</t>
        </is>
      </c>
      <c r="E244" s="31" t="inlineStr">
        <is>
          <t>Other Financial Services</t>
        </is>
      </c>
      <c r="F244" s="32" t="inlineStr">
        <is>
          <t>Sunnyvale, CA</t>
        </is>
      </c>
      <c r="G244" s="33" t="inlineStr">
        <is>
          <t>Privately Held (backing)</t>
        </is>
      </c>
      <c r="H244" s="34" t="inlineStr">
        <is>
          <t>Venture Capital-Backed</t>
        </is>
      </c>
      <c r="I244" s="35" t="inlineStr">
        <is>
          <t>Artiman Ventures, EGORA Holding, Icon Ventures, Mohr Davidow Ventures, TeleSoft Partners</t>
        </is>
      </c>
      <c r="J244" s="36" t="inlineStr">
        <is>
          <t>www.xambala.com</t>
        </is>
      </c>
      <c r="K244" s="37" t="inlineStr">
        <is>
          <t>info@xambala.com</t>
        </is>
      </c>
      <c r="L244" s="38" t="inlineStr">
        <is>
          <t>+1 (408) 990-1940</t>
        </is>
      </c>
      <c r="M244" s="39" t="inlineStr">
        <is>
          <t>Daniel Trepanier</t>
        </is>
      </c>
      <c r="N244" s="40" t="inlineStr">
        <is>
          <t>Chief Executive Officer, President and Board Member</t>
        </is>
      </c>
      <c r="O244" s="41" t="inlineStr">
        <is>
          <t>dan@xambala.com</t>
        </is>
      </c>
      <c r="P244" s="42" t="inlineStr">
        <is>
          <t>+1 (408) 990-1940</t>
        </is>
      </c>
      <c r="Q244" s="43" t="n">
        <v>2001.0</v>
      </c>
      <c r="R244" s="114">
        <f>HYPERLINK("https://my.pitchbook.com?c=52933-24", "View company online")</f>
      </c>
    </row>
    <row r="245">
      <c r="A245" s="9" t="inlineStr">
        <is>
          <t>51119-56</t>
        </is>
      </c>
      <c r="B245" s="10" t="inlineStr">
        <is>
          <t>xAd</t>
        </is>
      </c>
      <c r="C245" s="11" t="inlineStr">
        <is>
          <t>10007</t>
        </is>
      </c>
      <c r="D245" s="12" t="inlineStr">
        <is>
          <t>Provider of a location-based marketing platform designed to drive sales. The company's location-based marketing platform offers in-store visitation insights by market, brand and specific competitors, enabling marketers to close the gap between online activities and offline sales.</t>
        </is>
      </c>
      <c r="E245" s="13" t="inlineStr">
        <is>
          <t>Business/Productivity Software</t>
        </is>
      </c>
      <c r="F245" s="14" t="inlineStr">
        <is>
          <t>New York, NY</t>
        </is>
      </c>
      <c r="G245" s="15" t="inlineStr">
        <is>
          <t>Privately Held (backing)</t>
        </is>
      </c>
      <c r="H245" s="16" t="inlineStr">
        <is>
          <t>Venture Capital-Backed</t>
        </is>
      </c>
      <c r="I245" s="17" t="inlineStr">
        <is>
          <t>Acumen Venture Partners, Arcturus Capital, Emergence Capital Partners, Eminence Capital, IVP, Microsoft Ventures, Palisades Growth Capital, Plug and Play Tech Center, Poole Investment Ventures, SharesPost, Silicon Valley Bank, Smac Partners, SoftBank Capital, Sorrento Associates, Tech Coast Angels, W Capital Partners</t>
        </is>
      </c>
      <c r="J245" s="18" t="inlineStr">
        <is>
          <t>www.xad.com</t>
        </is>
      </c>
      <c r="K245" s="19" t="inlineStr">
        <is>
          <t>info@xad.com</t>
        </is>
      </c>
      <c r="L245" s="20" t="inlineStr">
        <is>
          <t>+1 (888) 234-7893</t>
        </is>
      </c>
      <c r="M245" s="21" t="inlineStr">
        <is>
          <t>Stephen McCarthy</t>
        </is>
      </c>
      <c r="N245" s="22" t="inlineStr">
        <is>
          <t>Chief Financial Officer</t>
        </is>
      </c>
      <c r="O245" s="23" t="inlineStr">
        <is>
          <t>stephen.mccarthy@xad.com</t>
        </is>
      </c>
      <c r="P245" s="24" t="inlineStr">
        <is>
          <t>+1 (888) 234-7893</t>
        </is>
      </c>
      <c r="Q245" s="25" t="n">
        <v>2001.0</v>
      </c>
      <c r="R245" s="113">
        <f>HYPERLINK("https://my.pitchbook.com?c=51119-56", "View company online")</f>
      </c>
    </row>
    <row r="246">
      <c r="A246" s="27" t="inlineStr">
        <is>
          <t>155540-62</t>
        </is>
      </c>
      <c r="B246" s="28" t="inlineStr">
        <is>
          <t>X2AI</t>
        </is>
      </c>
      <c r="C246" s="29" t="inlineStr">
        <is>
          <t>94105</t>
        </is>
      </c>
      <c r="D246" s="30" t="inlineStr">
        <is>
          <t>Provider of psychological artificial intelligence tools intended to administer personalized psychotherapy, psycho-education and health-related reminders as per demand. The company's psychological artificial intelligence tools works through conversation, exclusively via existing communication channels, such as messaging services and Web browsing, enabling the patients to improve therapy adherence and receive psychological coaching.</t>
        </is>
      </c>
      <c r="E246" s="31" t="inlineStr">
        <is>
          <t>Other Healthcare Technology Systems</t>
        </is>
      </c>
      <c r="F246" s="32" t="inlineStr">
        <is>
          <t>San Francisco, CA</t>
        </is>
      </c>
      <c r="G246" s="33" t="inlineStr">
        <is>
          <t>Privately Held (backing)</t>
        </is>
      </c>
      <c r="H246" s="34" t="inlineStr">
        <is>
          <t>Venture Capital-Backed</t>
        </is>
      </c>
      <c r="I246" s="35" t="inlineStr">
        <is>
          <t>B37 Ventures, Singularity University</t>
        </is>
      </c>
      <c r="J246" s="36" t="inlineStr">
        <is>
          <t>x2.ai</t>
        </is>
      </c>
      <c r="K246" s="37" t="inlineStr">
        <is>
          <t/>
        </is>
      </c>
      <c r="L246" s="38" t="inlineStr">
        <is>
          <t>+1 (415) 964-6874</t>
        </is>
      </c>
      <c r="M246" s="39" t="inlineStr">
        <is>
          <t>Michiel Rauws</t>
        </is>
      </c>
      <c r="N246" s="40" t="inlineStr">
        <is>
          <t>Chief Executive Officer &amp; Co-Founder</t>
        </is>
      </c>
      <c r="O246" s="41" t="inlineStr">
        <is>
          <t>michiel.rauws@x2.ai</t>
        </is>
      </c>
      <c r="P246" s="42" t="inlineStr">
        <is>
          <t>+1 (415) 964-6874</t>
        </is>
      </c>
      <c r="Q246" s="43" t="n">
        <v>2015.0</v>
      </c>
      <c r="R246" s="114">
        <f>HYPERLINK("https://my.pitchbook.com?c=155540-62", "View company online")</f>
      </c>
    </row>
    <row r="247">
      <c r="A247" s="9" t="inlineStr">
        <is>
          <t>53946-10</t>
        </is>
      </c>
      <c r="B247" s="10" t="inlineStr">
        <is>
          <t>X2 Biosystems</t>
        </is>
      </c>
      <c r="C247" s="11" t="inlineStr">
        <is>
          <t>98101</t>
        </is>
      </c>
      <c r="D247" s="12" t="inlineStr">
        <is>
          <t>Provider of impact-monitoring systems designed to assess for sports brain injury (SBI). The company provides a sensor system that generates real-time data related to head impacts. The system entails sensor modules attached to the head or in mouth guards, that transit impact data that is transmitted and recorded onto a cloud database, which can then be accessed by coaches, trainers and doctors to assess the impact event, as well as a player's history of impacts.</t>
        </is>
      </c>
      <c r="E247" s="13" t="inlineStr">
        <is>
          <t>Electronic Equipment and Instruments</t>
        </is>
      </c>
      <c r="F247" s="14" t="inlineStr">
        <is>
          <t>Seattle, WA</t>
        </is>
      </c>
      <c r="G247" s="15" t="inlineStr">
        <is>
          <t>Privately Held (backing)</t>
        </is>
      </c>
      <c r="H247" s="16" t="inlineStr">
        <is>
          <t>Venture Capital-Backed</t>
        </is>
      </c>
      <c r="I247" s="17" t="inlineStr">
        <is>
          <t>Kodiak Financial Group, Maxim Ventures, New Ground Ventures, Tom Arrix</t>
        </is>
      </c>
      <c r="J247" s="18" t="inlineStr">
        <is>
          <t>www.x2biosystems.com</t>
        </is>
      </c>
      <c r="K247" s="19" t="inlineStr">
        <is>
          <t>chris@x2biosystems.com</t>
        </is>
      </c>
      <c r="L247" s="20" t="inlineStr">
        <is>
          <t>+1 (206) 623-1715</t>
        </is>
      </c>
      <c r="M247" s="21" t="inlineStr">
        <is>
          <t>James Walker</t>
        </is>
      </c>
      <c r="N247" s="22" t="inlineStr">
        <is>
          <t>Chief Financial Officer</t>
        </is>
      </c>
      <c r="O247" s="23" t="inlineStr">
        <is>
          <t>jwalker@x2bio.com</t>
        </is>
      </c>
      <c r="P247" s="24" t="inlineStr">
        <is>
          <t>+1 (206) 623-1715</t>
        </is>
      </c>
      <c r="Q247" s="25" t="n">
        <v>2010.0</v>
      </c>
      <c r="R247" s="113">
        <f>HYPERLINK("https://my.pitchbook.com?c=53946-10", "View company online")</f>
      </c>
    </row>
    <row r="248">
      <c r="A248" s="27" t="inlineStr">
        <is>
          <t>144284-95</t>
        </is>
      </c>
      <c r="B248" s="28" t="inlineStr">
        <is>
          <t>X15 Software</t>
        </is>
      </c>
      <c r="C248" s="29" t="inlineStr">
        <is>
          <t>94086</t>
        </is>
      </c>
      <c r="D248" s="30" t="inlineStr">
        <is>
          <t>Provider of a machine and log data management and analytics solutions. The company offers X15 Enterprise, a modern operational intelligence platform that helps in collecting, indexing, querying and visualizing very large volumes of machine-generated data in real-time. The company's technology enables continuous monitoring and deep analytics for security, IT and business operations.</t>
        </is>
      </c>
      <c r="E248" s="31" t="inlineStr">
        <is>
          <t>Business/Productivity Software</t>
        </is>
      </c>
      <c r="F248" s="32" t="inlineStr">
        <is>
          <t>Sunnyvale, CA</t>
        </is>
      </c>
      <c r="G248" s="33" t="inlineStr">
        <is>
          <t>Privately Held (backing)</t>
        </is>
      </c>
      <c r="H248" s="34" t="inlineStr">
        <is>
          <t>Venture Capital-Backed</t>
        </is>
      </c>
      <c r="I248" s="35" t="inlineStr">
        <is>
          <t>Synapse Partners</t>
        </is>
      </c>
      <c r="J248" s="36" t="inlineStr">
        <is>
          <t>www.x15soft.com</t>
        </is>
      </c>
      <c r="K248" s="37" t="inlineStr">
        <is>
          <t>info@x15soft.com</t>
        </is>
      </c>
      <c r="L248" s="38" t="inlineStr">
        <is>
          <t>+1 (650) 264-9610</t>
        </is>
      </c>
      <c r="M248" s="39" t="inlineStr">
        <is>
          <t>Val Rayzman</t>
        </is>
      </c>
      <c r="N248" s="40" t="inlineStr">
        <is>
          <t>Co-Founder &amp; Chief Executive Officer</t>
        </is>
      </c>
      <c r="O248" s="41" t="inlineStr">
        <is>
          <t>val@x15soft.com</t>
        </is>
      </c>
      <c r="P248" s="42" t="inlineStr">
        <is>
          <t>+1 (650) 264-9610</t>
        </is>
      </c>
      <c r="Q248" s="43" t="n">
        <v>2013.0</v>
      </c>
      <c r="R248" s="114">
        <f>HYPERLINK("https://my.pitchbook.com?c=144284-95", "View company online")</f>
      </c>
    </row>
    <row r="249">
      <c r="A249" s="9" t="inlineStr">
        <is>
          <t>55880-83</t>
        </is>
      </c>
      <c r="B249" s="10" t="inlineStr">
        <is>
          <t>X1 Discovery</t>
        </is>
      </c>
      <c r="C249" s="11" t="inlineStr">
        <is>
          <t>91103</t>
        </is>
      </c>
      <c r="D249" s="12" t="inlineStr">
        <is>
          <t>Developer of desktop search software and services. The company develops desktop search software and services for customers ranging from individual professional users to large enterprises. Its flagship product, X1 Desktop Search, along with the forthcoming X1 Enterprise Edition, provides users in every industry, the way to find what they're looking for, whether they need content from email, attachments, files, contacts, networks, exchange servers or other sources of unstructured local and enterprise data.</t>
        </is>
      </c>
      <c r="E249" s="13" t="inlineStr">
        <is>
          <t>Application Software</t>
        </is>
      </c>
      <c r="F249" s="14" t="inlineStr">
        <is>
          <t>Pasadena, CA</t>
        </is>
      </c>
      <c r="G249" s="15" t="inlineStr">
        <is>
          <t>Privately Held (backing)</t>
        </is>
      </c>
      <c r="H249" s="16" t="inlineStr">
        <is>
          <t>Venture Capital-Backed</t>
        </is>
      </c>
      <c r="I249" s="17" t="inlineStr">
        <is>
          <t>Idealab, US Venture Partners</t>
        </is>
      </c>
      <c r="J249" s="18" t="inlineStr">
        <is>
          <t>www.x1.com</t>
        </is>
      </c>
      <c r="K249" s="19" t="inlineStr">
        <is>
          <t>info@x1.com</t>
        </is>
      </c>
      <c r="L249" s="20" t="inlineStr">
        <is>
          <t>+1 (877) 999-1347</t>
        </is>
      </c>
      <c r="M249" s="21" t="inlineStr">
        <is>
          <t>John Patzakis</t>
        </is>
      </c>
      <c r="N249" s="22" t="inlineStr">
        <is>
          <t>Co-Founder &amp; Co-Executive Chairman</t>
        </is>
      </c>
      <c r="O249" s="23" t="inlineStr">
        <is>
          <t>jpatzakis@x1.com</t>
        </is>
      </c>
      <c r="P249" s="24" t="inlineStr">
        <is>
          <t>+1 (877) 999-1347</t>
        </is>
      </c>
      <c r="Q249" s="25" t="n">
        <v>2003.0</v>
      </c>
      <c r="R249" s="113">
        <f>HYPERLINK("https://my.pitchbook.com?c=55880-83", "View company online")</f>
      </c>
    </row>
    <row r="250">
      <c r="A250" s="27" t="inlineStr">
        <is>
          <t>154711-63</t>
        </is>
      </c>
      <c r="B250" s="28" t="inlineStr">
        <is>
          <t>X Empire</t>
        </is>
      </c>
      <c r="C250" s="29" t="inlineStr">
        <is>
          <t>90405</t>
        </is>
      </c>
      <c r="D250" s="30" t="inlineStr">
        <is>
          <t>Developer of an application for streaming communications. The company develops a downloadable application which allows streaming of communications with entertainers, politicians and celebrities.</t>
        </is>
      </c>
      <c r="E250" s="31" t="inlineStr">
        <is>
          <t>Communication Software</t>
        </is>
      </c>
      <c r="F250" s="32" t="inlineStr">
        <is>
          <t>Santa Monica, CA</t>
        </is>
      </c>
      <c r="G250" s="33" t="inlineStr">
        <is>
          <t>Privately Held (backing)</t>
        </is>
      </c>
      <c r="H250" s="34" t="inlineStr">
        <is>
          <t>Venture Capital-Backed</t>
        </is>
      </c>
      <c r="I250" s="35" t="inlineStr">
        <is>
          <t>Greycroft Partners</t>
        </is>
      </c>
      <c r="J250" s="36" t="inlineStr">
        <is>
          <t>www.xempireinc.com</t>
        </is>
      </c>
      <c r="K250" s="37" t="inlineStr">
        <is>
          <t/>
        </is>
      </c>
      <c r="L250" s="38" t="inlineStr">
        <is>
          <t/>
        </is>
      </c>
      <c r="M250" s="39" t="inlineStr">
        <is>
          <t>Hakeem Seriki</t>
        </is>
      </c>
      <c r="N250" s="40" t="inlineStr">
        <is>
          <t>President &amp; Director</t>
        </is>
      </c>
      <c r="O250" s="41" t="inlineStr">
        <is>
          <t/>
        </is>
      </c>
      <c r="P250" s="42" t="inlineStr">
        <is>
          <t/>
        </is>
      </c>
      <c r="Q250" s="43" t="n">
        <v>2015.0</v>
      </c>
      <c r="R250" s="114">
        <f>HYPERLINK("https://my.pitchbook.com?c=154711-63", "View company online")</f>
      </c>
    </row>
    <row r="251">
      <c r="A251" s="9" t="inlineStr">
        <is>
          <t>168982-48</t>
        </is>
      </c>
      <c r="B251" s="10" t="inlineStr">
        <is>
          <t>Wyre</t>
        </is>
      </c>
      <c r="C251" s="11" t="inlineStr">
        <is>
          <t>94103</t>
        </is>
      </c>
      <c r="D251" s="12" t="inlineStr">
        <is>
          <t>Provider of a blockchain-based cross-border payments platform. The company engages in providing a platform for businesses to transfer money country-to-country in a 24-72 hour basis.</t>
        </is>
      </c>
      <c r="E251" s="13" t="inlineStr">
        <is>
          <t>Financial Software</t>
        </is>
      </c>
      <c r="F251" s="14" t="inlineStr">
        <is>
          <t>San Francisco, CA</t>
        </is>
      </c>
      <c r="G251" s="15" t="inlineStr">
        <is>
          <t>Privately Held (backing)</t>
        </is>
      </c>
      <c r="H251" s="16" t="inlineStr">
        <is>
          <t>Venture Capital-Backed</t>
        </is>
      </c>
      <c r="I251" s="17" t="inlineStr">
        <is>
          <t>9fbank.com, Amphora Capital, Baofoo.com, Digital Currency Group, Draper Associates, Seabed VC</t>
        </is>
      </c>
      <c r="J251" s="18" t="inlineStr">
        <is>
          <t>www.sendwyre.com</t>
        </is>
      </c>
      <c r="K251" s="19" t="inlineStr">
        <is>
          <t/>
        </is>
      </c>
      <c r="L251" s="20" t="inlineStr">
        <is>
          <t>+1 (415) 374-7356</t>
        </is>
      </c>
      <c r="M251" s="21" t="inlineStr">
        <is>
          <t>Michael Dunworth</t>
        </is>
      </c>
      <c r="N251" s="22" t="inlineStr">
        <is>
          <t>Co-Founder &amp; Chief Executive Officer</t>
        </is>
      </c>
      <c r="O251" s="23" t="inlineStr">
        <is>
          <t>michael@snapcard.io</t>
        </is>
      </c>
      <c r="P251" s="24" t="inlineStr">
        <is>
          <t>+1 (415) 374-7356</t>
        </is>
      </c>
      <c r="Q251" s="25" t="inlineStr">
        <is>
          <t/>
        </is>
      </c>
      <c r="R251" s="113">
        <f>HYPERLINK("https://my.pitchbook.com?c=168982-48", "View company online")</f>
      </c>
    </row>
    <row r="252">
      <c r="A252" s="27" t="inlineStr">
        <is>
          <t>160606-81</t>
        </is>
      </c>
      <c r="B252" s="28" t="inlineStr">
        <is>
          <t>Wynd (Electronics)</t>
        </is>
      </c>
      <c r="C252" s="29" t="inlineStr">
        <is>
          <t/>
        </is>
      </c>
      <c r="D252" s="30" t="inlineStr">
        <is>
          <t>Developer air purifier designed to purify air for personal space. The company's air purifier offers a air tracker and purifier which is portable and embedded with an air quality sensor that monitors for particulates and displays measurements in real time, enabling users to have fresh air in the surrounding and stay healthy.</t>
        </is>
      </c>
      <c r="E252" s="31" t="inlineStr">
        <is>
          <t>Electronics (B2C)</t>
        </is>
      </c>
      <c r="F252" s="32" t="inlineStr">
        <is>
          <t>Redwood City, CA</t>
        </is>
      </c>
      <c r="G252" s="33" t="inlineStr">
        <is>
          <t>Privately Held (backing)</t>
        </is>
      </c>
      <c r="H252" s="34" t="inlineStr">
        <is>
          <t>Venture Capital-Backed</t>
        </is>
      </c>
      <c r="I252" s="35" t="inlineStr">
        <is>
          <t>Acorn Pacific Ventures, Baruch Future Ventures, David Chao, Delta Electronics, KCK Group, WI Harper Group</t>
        </is>
      </c>
      <c r="J252" s="36" t="inlineStr">
        <is>
          <t>shop.hellowynd.com</t>
        </is>
      </c>
      <c r="K252" s="37" t="inlineStr">
        <is>
          <t>hi@hellowynd.com</t>
        </is>
      </c>
      <c r="L252" s="38" t="inlineStr">
        <is>
          <t/>
        </is>
      </c>
      <c r="M252" s="39" t="inlineStr">
        <is>
          <t>Raymond Wu</t>
        </is>
      </c>
      <c r="N252" s="40" t="inlineStr">
        <is>
          <t>Co-Founder and Chief Executive Officer</t>
        </is>
      </c>
      <c r="O252" s="41" t="inlineStr">
        <is>
          <t/>
        </is>
      </c>
      <c r="P252" s="42" t="inlineStr">
        <is>
          <t>+1 (781) 478-6600</t>
        </is>
      </c>
      <c r="Q252" s="43" t="n">
        <v>2014.0</v>
      </c>
      <c r="R252" s="114">
        <f>HYPERLINK("https://my.pitchbook.com?c=160606-81", "View company online")</f>
      </c>
    </row>
    <row r="253">
      <c r="A253" s="9" t="inlineStr">
        <is>
          <t>12254-41</t>
        </is>
      </c>
      <c r="B253" s="10" t="inlineStr">
        <is>
          <t>WX Brands</t>
        </is>
      </c>
      <c r="C253" s="11" t="inlineStr">
        <is>
          <t>94947</t>
        </is>
      </c>
      <c r="D253" s="12" t="inlineStr">
        <is>
          <t>Developer of wines, spirits and beers under private label and national brands. The company operates a full-service, value-added, private brand beverage alcohol company that sources beer, wine and spirits from the finest regions worldwide.</t>
        </is>
      </c>
      <c r="E253" s="13" t="inlineStr">
        <is>
          <t>Beverages</t>
        </is>
      </c>
      <c r="F253" s="14" t="inlineStr">
        <is>
          <t>Novato, CA</t>
        </is>
      </c>
      <c r="G253" s="15" t="inlineStr">
        <is>
          <t>Privately Held (backing)</t>
        </is>
      </c>
      <c r="H253" s="16" t="inlineStr">
        <is>
          <t>Venture Capital-Backed</t>
        </is>
      </c>
      <c r="I253" s="17" t="inlineStr">
        <is>
          <t>3i Group, Camden Partners, Charter Venture Capital, D. E. Shaw &amp; Co., Shea Ventures, Startup Capital Ventures, VCFA Group</t>
        </is>
      </c>
      <c r="J253" s="18" t="inlineStr">
        <is>
          <t>www.wxbrands.com</t>
        </is>
      </c>
      <c r="K253" s="19" t="inlineStr">
        <is>
          <t>wxinfo@wxbrands.com</t>
        </is>
      </c>
      <c r="L253" s="20" t="inlineStr">
        <is>
          <t>+1 (415) 382-6900</t>
        </is>
      </c>
      <c r="M253" s="21" t="inlineStr">
        <is>
          <t>Oliver Colvin</t>
        </is>
      </c>
      <c r="N253" s="22" t="inlineStr">
        <is>
          <t>Chief Operating Officer</t>
        </is>
      </c>
      <c r="O253" s="23" t="inlineStr">
        <is>
          <t>oliver.colvin@wineryexchange.com</t>
        </is>
      </c>
      <c r="P253" s="24" t="inlineStr">
        <is>
          <t>+1 (415) 382-6900</t>
        </is>
      </c>
      <c r="Q253" s="25" t="n">
        <v>1999.0</v>
      </c>
      <c r="R253" s="113">
        <f>HYPERLINK("https://my.pitchbook.com?c=12254-41", "View company online")</f>
      </c>
    </row>
    <row r="254">
      <c r="A254" s="27" t="inlineStr">
        <is>
          <t>56962-27</t>
        </is>
      </c>
      <c r="B254" s="28" t="inlineStr">
        <is>
          <t>Wubyu</t>
        </is>
      </c>
      <c r="C254" s="29" t="inlineStr">
        <is>
          <t>94612</t>
        </is>
      </c>
      <c r="D254" s="30" t="inlineStr">
        <is>
          <t>Developer of online gaming applications. The company designs and develops mobile and computer games for kids.</t>
        </is>
      </c>
      <c r="E254" s="31" t="inlineStr">
        <is>
          <t>Entertainment Software</t>
        </is>
      </c>
      <c r="F254" s="32" t="inlineStr">
        <is>
          <t>Oakland, CA</t>
        </is>
      </c>
      <c r="G254" s="33" t="inlineStr">
        <is>
          <t>Privately Held (backing)</t>
        </is>
      </c>
      <c r="H254" s="34" t="inlineStr">
        <is>
          <t>Venture Capital-Backed</t>
        </is>
      </c>
      <c r="I254" s="35" t="inlineStr">
        <is>
          <t/>
        </is>
      </c>
      <c r="J254" s="36" t="inlineStr">
        <is>
          <t>www.wubyu.com</t>
        </is>
      </c>
      <c r="K254" s="37" t="inlineStr">
        <is>
          <t>nate@wubyu.com</t>
        </is>
      </c>
      <c r="L254" s="38" t="inlineStr">
        <is>
          <t>+1 (415) 652-9723</t>
        </is>
      </c>
      <c r="M254" s="39" t="inlineStr">
        <is>
          <t/>
        </is>
      </c>
      <c r="N254" s="40" t="inlineStr">
        <is>
          <t/>
        </is>
      </c>
      <c r="O254" s="41" t="inlineStr">
        <is>
          <t/>
        </is>
      </c>
      <c r="P254" s="42" t="inlineStr">
        <is>
          <t/>
        </is>
      </c>
      <c r="Q254" s="43" t="n">
        <v>2012.0</v>
      </c>
      <c r="R254" s="114">
        <f>HYPERLINK("https://my.pitchbook.com?c=56962-27", "View company online")</f>
      </c>
    </row>
    <row r="255">
      <c r="A255" s="9" t="inlineStr">
        <is>
          <t>52180-93</t>
        </is>
      </c>
      <c r="B255" s="10" t="inlineStr">
        <is>
          <t>WSO2</t>
        </is>
      </c>
      <c r="C255" s="11" t="inlineStr">
        <is>
          <t>94041</t>
        </is>
      </c>
      <c r="D255" s="12" t="inlineStr">
        <is>
          <t>Provider of an open source middleware platform. The company delivers an open source enterprise SOA middleware stack purpose-built as an integrated platform to support heterogeneous enterprise environments, both internally and in the cloud, enabling multiple project teams to create, run, and manage enterprise applications.</t>
        </is>
      </c>
      <c r="E255" s="13" t="inlineStr">
        <is>
          <t>Other Software</t>
        </is>
      </c>
      <c r="F255" s="14" t="inlineStr">
        <is>
          <t>Mountain View, CA</t>
        </is>
      </c>
      <c r="G255" s="15" t="inlineStr">
        <is>
          <t>Privately Held (backing)</t>
        </is>
      </c>
      <c r="H255" s="16" t="inlineStr">
        <is>
          <t>Venture Capital-Backed</t>
        </is>
      </c>
      <c r="I255" s="17" t="inlineStr">
        <is>
          <t>Cisco Investments, Intel Capital, Pacific Control Systems, Quest Innovation Accelerator, Toba Capital</t>
        </is>
      </c>
      <c r="J255" s="18" t="inlineStr">
        <is>
          <t>www.wso2.com</t>
        </is>
      </c>
      <c r="K255" s="19" t="inlineStr">
        <is>
          <t/>
        </is>
      </c>
      <c r="L255" s="20" t="inlineStr">
        <is>
          <t>+1 (650) 745-4499</t>
        </is>
      </c>
      <c r="M255" s="21" t="inlineStr">
        <is>
          <t>Padmika Dissanaike</t>
        </is>
      </c>
      <c r="N255" s="22" t="inlineStr">
        <is>
          <t>Vice President of Finance</t>
        </is>
      </c>
      <c r="O255" s="23" t="inlineStr">
        <is>
          <t>padmika@wso2.com</t>
        </is>
      </c>
      <c r="P255" s="24" t="inlineStr">
        <is>
          <t>+1 (650) 745-4499</t>
        </is>
      </c>
      <c r="Q255" s="25" t="n">
        <v>2005.0</v>
      </c>
      <c r="R255" s="113">
        <f>HYPERLINK("https://my.pitchbook.com?c=52180-93", "View company online")</f>
      </c>
    </row>
    <row r="256">
      <c r="A256" s="27" t="inlineStr">
        <is>
          <t>122104-90</t>
        </is>
      </c>
      <c r="B256" s="28" t="inlineStr">
        <is>
          <t>WriteLab</t>
        </is>
      </c>
      <c r="C256" s="29" t="inlineStr">
        <is>
          <t>94704</t>
        </is>
      </c>
      <c r="D256" s="30" t="inlineStr">
        <is>
          <t>Provider of an all-in-one writing tool designed to polish writing skills. The company's writing tool based on actionable analytics delivers instant feedback on drafts and essays with suggestions and explanations enabling students and instructors to understand their writing strengths and weaknesses.</t>
        </is>
      </c>
      <c r="E256" s="31" t="inlineStr">
        <is>
          <t>Educational Software</t>
        </is>
      </c>
      <c r="F256" s="32" t="inlineStr">
        <is>
          <t>Berkeley, CA</t>
        </is>
      </c>
      <c r="G256" s="33" t="inlineStr">
        <is>
          <t>Privately Held (backing)</t>
        </is>
      </c>
      <c r="H256" s="34" t="inlineStr">
        <is>
          <t>Venture Capital-Backed</t>
        </is>
      </c>
      <c r="I256" s="35" t="inlineStr">
        <is>
          <t>Co.lab, Coleman Fung, Jake Fuentes, Kapor Capital, Learn Capital, Michael Tedesco, Reach Capital</t>
        </is>
      </c>
      <c r="J256" s="36" t="inlineStr">
        <is>
          <t>home.writelab.com</t>
        </is>
      </c>
      <c r="K256" s="37" t="inlineStr">
        <is>
          <t>info@writelab.com</t>
        </is>
      </c>
      <c r="L256" s="38" t="inlineStr">
        <is>
          <t>+1 (510) 647-9847</t>
        </is>
      </c>
      <c r="M256" s="39" t="inlineStr">
        <is>
          <t>Matthew Ramirez</t>
        </is>
      </c>
      <c r="N256" s="40" t="inlineStr">
        <is>
          <t>Co-Founder, Chief Executive Officer &amp; Board Member</t>
        </is>
      </c>
      <c r="O256" s="41" t="inlineStr">
        <is>
          <t>matthew@writelab.com</t>
        </is>
      </c>
      <c r="P256" s="42" t="inlineStr">
        <is>
          <t>+1 (510) 647-9847</t>
        </is>
      </c>
      <c r="Q256" s="43" t="n">
        <v>2013.0</v>
      </c>
      <c r="R256" s="114">
        <f>HYPERLINK("https://my.pitchbook.com?c=122104-90", "View company online")</f>
      </c>
    </row>
    <row r="257">
      <c r="A257" s="9" t="inlineStr">
        <is>
          <t>54633-88</t>
        </is>
      </c>
      <c r="B257" s="10" t="inlineStr">
        <is>
          <t>Wrike</t>
        </is>
      </c>
      <c r="C257" s="11" t="inlineStr">
        <is>
          <t>94041</t>
        </is>
      </c>
      <c r="D257" s="12" t="inlineStr">
        <is>
          <t>Provider of a work management and collaboration platform. The company provides a platform that combines project management with a real-time workspace for collaboration, discussion and document sharing.</t>
        </is>
      </c>
      <c r="E257" s="13" t="inlineStr">
        <is>
          <t>Business/Productivity Software</t>
        </is>
      </c>
      <c r="F257" s="14" t="inlineStr">
        <is>
          <t>Mountain View, CA</t>
        </is>
      </c>
      <c r="G257" s="15" t="inlineStr">
        <is>
          <t>Privately Held (backing)</t>
        </is>
      </c>
      <c r="H257" s="16" t="inlineStr">
        <is>
          <t>Venture Capital-Backed</t>
        </is>
      </c>
      <c r="I257" s="17" t="inlineStr">
        <is>
          <t>Bain Capital Ventures, DCM Ventures, Scale Venture Partners, TMT Investments</t>
        </is>
      </c>
      <c r="J257" s="18" t="inlineStr">
        <is>
          <t>www.wrike.com</t>
        </is>
      </c>
      <c r="K257" s="19" t="inlineStr">
        <is>
          <t/>
        </is>
      </c>
      <c r="L257" s="20" t="inlineStr">
        <is>
          <t>+1 (650) 318-3551</t>
        </is>
      </c>
      <c r="M257" s="21" t="inlineStr">
        <is>
          <t>Andrew Filev</t>
        </is>
      </c>
      <c r="N257" s="22" t="inlineStr">
        <is>
          <t>Chief Executive Officer &amp; Founder</t>
        </is>
      </c>
      <c r="O257" s="23" t="inlineStr">
        <is>
          <t>andrew@team.wrike.com</t>
        </is>
      </c>
      <c r="P257" s="24" t="inlineStr">
        <is>
          <t>+1 (650) 318-3551</t>
        </is>
      </c>
      <c r="Q257" s="25" t="n">
        <v>2007.0</v>
      </c>
      <c r="R257" s="113">
        <f>HYPERLINK("https://my.pitchbook.com?c=54633-88", "View company online")</f>
      </c>
    </row>
    <row r="258">
      <c r="A258" s="27" t="inlineStr">
        <is>
          <t>53792-92</t>
        </is>
      </c>
      <c r="B258" s="28" t="inlineStr">
        <is>
          <t>Wrightspeed</t>
        </is>
      </c>
      <c r="C258" s="29" t="inlineStr">
        <is>
          <t>94501</t>
        </is>
      </c>
      <c r="D258" s="30" t="inlineStr">
        <is>
          <t>Developer of electric vehicle powertrains designed to improve engine performance of commercial medium-duty trucks. The company's electric vehicle powertrains use electric drive, regenerative braking and an unique approach to onboard power generation using a micro turbine which is fully integrated and extremely high power system and the first to use a software controlled clutchless transmission, enabling vehicle manufacturers to reduce fuel consumption and increase overall efficiency and performance of trucks.</t>
        </is>
      </c>
      <c r="E258" s="31" t="inlineStr">
        <is>
          <t>Road</t>
        </is>
      </c>
      <c r="F258" s="32" t="inlineStr">
        <is>
          <t>Alameda, CA</t>
        </is>
      </c>
      <c r="G258" s="33" t="inlineStr">
        <is>
          <t>Privately Held (backing)</t>
        </is>
      </c>
      <c r="H258" s="34" t="inlineStr">
        <is>
          <t>Venture Capital-Backed</t>
        </is>
      </c>
      <c r="I258" s="35" t="inlineStr">
        <is>
          <t>California Energy Commission, Firsthand Technology Value Fund</t>
        </is>
      </c>
      <c r="J258" s="36" t="inlineStr">
        <is>
          <t>www.wrightspeed.com</t>
        </is>
      </c>
      <c r="K258" s="37" t="inlineStr">
        <is>
          <t>contact@wrightspeed.com</t>
        </is>
      </c>
      <c r="L258" s="38" t="inlineStr">
        <is>
          <t>+1 (866) 960-9482</t>
        </is>
      </c>
      <c r="M258" s="39" t="inlineStr">
        <is>
          <t>Ian Wright</t>
        </is>
      </c>
      <c r="N258" s="40" t="inlineStr">
        <is>
          <t>Founder, Board Member, President &amp; Chief Executive Officer</t>
        </is>
      </c>
      <c r="O258" s="41" t="inlineStr">
        <is>
          <t>ian@wrightspeed.com</t>
        </is>
      </c>
      <c r="P258" s="42" t="inlineStr">
        <is>
          <t>+1 (866) 960-9482</t>
        </is>
      </c>
      <c r="Q258" s="43" t="n">
        <v>2005.0</v>
      </c>
      <c r="R258" s="114">
        <f>HYPERLINK("https://my.pitchbook.com?c=53792-92", "View company online")</f>
      </c>
    </row>
    <row r="259">
      <c r="A259" s="9" t="inlineStr">
        <is>
          <t>53652-88</t>
        </is>
      </c>
      <c r="B259" s="10" t="inlineStr">
        <is>
          <t>Wrapp</t>
        </is>
      </c>
      <c r="C259" s="11" t="inlineStr">
        <is>
          <t>113 52</t>
        </is>
      </c>
      <c r="D259" s="12" t="inlineStr">
        <is>
          <t>Provider of an online platform that connects clients with retailers. The company allows the client to discover, plan and send digital gift cards to the customers and helps the users follow the brands of their choice.</t>
        </is>
      </c>
      <c r="E259" s="13" t="inlineStr">
        <is>
          <t>Social/Platform Software</t>
        </is>
      </c>
      <c r="F259" s="14" t="inlineStr">
        <is>
          <t>Stockholm, Sweden</t>
        </is>
      </c>
      <c r="G259" s="15" t="inlineStr">
        <is>
          <t>Privately Held (backing)</t>
        </is>
      </c>
      <c r="H259" s="16" t="inlineStr">
        <is>
          <t>Venture Capital-Backed</t>
        </is>
      </c>
      <c r="I259" s="17" t="inlineStr">
        <is>
          <t>Adam Nash, American Express Ventures, Atomico Uk Partners, Creandum, Greylock Partners, Nordea Bank, Qualcomm Ventures, SEB Private Equity</t>
        </is>
      </c>
      <c r="J259" s="18" t="inlineStr">
        <is>
          <t>www.wrapp.com</t>
        </is>
      </c>
      <c r="K259" s="19" t="inlineStr">
        <is>
          <t/>
        </is>
      </c>
      <c r="L259" s="20" t="inlineStr">
        <is>
          <t/>
        </is>
      </c>
      <c r="M259" s="21" t="inlineStr">
        <is>
          <t>Hjalmar Winbladh</t>
        </is>
      </c>
      <c r="N259" s="22" t="inlineStr">
        <is>
          <t>Co-Founder &amp; Chairman of the Board</t>
        </is>
      </c>
      <c r="O259" s="23" t="inlineStr">
        <is>
          <t>hjalmar@eqtventures.com</t>
        </is>
      </c>
      <c r="P259" s="24" t="inlineStr">
        <is>
          <t>+46 (0)8 506 55 300</t>
        </is>
      </c>
      <c r="Q259" s="25" t="n">
        <v>2011.0</v>
      </c>
      <c r="R259" s="113">
        <f>HYPERLINK("https://my.pitchbook.com?c=53652-88", "View company online")</f>
      </c>
    </row>
    <row r="260">
      <c r="A260" s="27" t="inlineStr">
        <is>
          <t>115403-68</t>
        </is>
      </c>
      <c r="B260" s="28" t="inlineStr">
        <is>
          <t>Wrapify</t>
        </is>
      </c>
      <c r="C260" s="29" t="inlineStr">
        <is>
          <t/>
        </is>
      </c>
      <c r="D260" s="30" t="inlineStr">
        <is>
          <t>Developer of an out-of-home (OOH) advertising platform designed to connect drivers and brands to create powerful on-vehicle marketing messages. The company's advertising platform provide brands and drivers access to powerful tracking, analytics and reporting and also provides impression data and analytics on their campaigns in real-time, enabling them to create on-vehicle marketing messages as well as manage and scale ad campaigns on vehicles all over the country.</t>
        </is>
      </c>
      <c r="E260" s="31" t="inlineStr">
        <is>
          <t>Application Software</t>
        </is>
      </c>
      <c r="F260" s="32" t="inlineStr">
        <is>
          <t>Solana Beach, CA</t>
        </is>
      </c>
      <c r="G260" s="33" t="inlineStr">
        <is>
          <t>Privately Held (backing)</t>
        </is>
      </c>
      <c r="H260" s="34" t="inlineStr">
        <is>
          <t>Venture Capital-Backed</t>
        </is>
      </c>
      <c r="I260" s="35" t="inlineStr">
        <is>
          <t>Avery Dennison, Doug Hecht, EvoNexus, Haystack, Jason Calacanis, Ludlow Ventures, Mingfeng Wu, Saad AlSogair, Seed Sumo, Serra Ventures, Social Capital, The LAUNCH Incubator, ZenStone Venture Capital</t>
        </is>
      </c>
      <c r="J260" s="36" t="inlineStr">
        <is>
          <t>www.wrapify.com</t>
        </is>
      </c>
      <c r="K260" s="37" t="inlineStr">
        <is>
          <t/>
        </is>
      </c>
      <c r="L260" s="38" t="inlineStr">
        <is>
          <t>+1 (858) 461-9124</t>
        </is>
      </c>
      <c r="M260" s="39" t="inlineStr">
        <is>
          <t>James Heller</t>
        </is>
      </c>
      <c r="N260" s="40" t="inlineStr">
        <is>
          <t>Co-Founder, Board Member, Chief Executive Officer &amp; President</t>
        </is>
      </c>
      <c r="O260" s="41" t="inlineStr">
        <is>
          <t>james@wrapify.com</t>
        </is>
      </c>
      <c r="P260" s="42" t="inlineStr">
        <is>
          <t>+1 (858) 349-6394</t>
        </is>
      </c>
      <c r="Q260" s="43" t="n">
        <v>2015.0</v>
      </c>
      <c r="R260" s="114">
        <f>HYPERLINK("https://my.pitchbook.com?c=115403-68", "View company online")</f>
      </c>
    </row>
    <row r="261">
      <c r="A261" s="9" t="inlineStr">
        <is>
          <t>125636-23</t>
        </is>
      </c>
      <c r="B261" s="10" t="inlineStr">
        <is>
          <t>Wranggle</t>
        </is>
      </c>
      <c r="C261" s="11" t="inlineStr">
        <is>
          <t>94103</t>
        </is>
      </c>
      <c r="D261" s="12" t="inlineStr">
        <is>
          <t>Developer of a cloud-based accounting software. The company's software enables users to organize requests, automatically build shopping carts on the vendor's e-commerce website, generate purchase orders and expense reports.</t>
        </is>
      </c>
      <c r="E261" s="13" t="inlineStr">
        <is>
          <t>Other Financial Services</t>
        </is>
      </c>
      <c r="F261" s="14" t="inlineStr">
        <is>
          <t>San Francisco, CA</t>
        </is>
      </c>
      <c r="G261" s="15" t="inlineStr">
        <is>
          <t>Privately Held (backing)</t>
        </is>
      </c>
      <c r="H261" s="16" t="inlineStr">
        <is>
          <t>Venture Capital-Backed</t>
        </is>
      </c>
      <c r="I261" s="17" t="inlineStr">
        <is>
          <t>Bodley Group, Kevin Mahaffey, Surender Punia</t>
        </is>
      </c>
      <c r="J261" s="18" t="inlineStr">
        <is>
          <t>www.wranggle.com</t>
        </is>
      </c>
      <c r="K261" s="19" t="inlineStr">
        <is>
          <t/>
        </is>
      </c>
      <c r="L261" s="20" t="inlineStr">
        <is>
          <t/>
        </is>
      </c>
      <c r="M261" s="21" t="inlineStr">
        <is>
          <t>Paul Baumgart</t>
        </is>
      </c>
      <c r="N261" s="22" t="inlineStr">
        <is>
          <t>Co-Founder &amp; Advisor</t>
        </is>
      </c>
      <c r="O261" s="23" t="inlineStr">
        <is>
          <t>paul@wranggle.com</t>
        </is>
      </c>
      <c r="P261" s="24" t="inlineStr">
        <is>
          <t/>
        </is>
      </c>
      <c r="Q261" s="25" t="n">
        <v>2011.0</v>
      </c>
      <c r="R261" s="113">
        <f>HYPERLINK("https://my.pitchbook.com?c=125636-23", "View company online")</f>
      </c>
    </row>
    <row r="262">
      <c r="A262" s="27" t="inlineStr">
        <is>
          <t>60487-39</t>
        </is>
      </c>
      <c r="B262" s="28" t="inlineStr">
        <is>
          <t>WPS Office</t>
        </is>
      </c>
      <c r="C262" s="29" t="inlineStr">
        <is>
          <t>94301</t>
        </is>
      </c>
      <c r="D262" s="30" t="inlineStr">
        <is>
          <t>Provider of office productivity suite designed to offer an alternative to Micosoft Office and is fully compatible and comparable to Microsoft PowerPoint, Excel and Word. The company's office productivity suite includes Kingsoft Writer, Kingsoft Presentation and Kingsoft Spreadsheets to be used with Windows, Linux, iOS and Android OS.</t>
        </is>
      </c>
      <c r="E262" s="31" t="inlineStr">
        <is>
          <t>Operating Systems Software</t>
        </is>
      </c>
      <c r="F262" s="32" t="inlineStr">
        <is>
          <t>Palo Alto, CA</t>
        </is>
      </c>
      <c r="G262" s="33" t="inlineStr">
        <is>
          <t>Privately Held (backing)</t>
        </is>
      </c>
      <c r="H262" s="34" t="inlineStr">
        <is>
          <t>Venture Capital-Backed</t>
        </is>
      </c>
      <c r="I262" s="35" t="inlineStr">
        <is>
          <t>Chinese Ministry of Science and Technology, GGV Capital, Ministry of Industry and Information Technology, Morningside Group, Shunwei Capital</t>
        </is>
      </c>
      <c r="J262" s="36" t="inlineStr">
        <is>
          <t>www.wps.com</t>
        </is>
      </c>
      <c r="K262" s="37" t="inlineStr">
        <is>
          <t>press@wps.com</t>
        </is>
      </c>
      <c r="L262" s="38" t="inlineStr">
        <is>
          <t>+1 (650) 617-3328</t>
        </is>
      </c>
      <c r="M262" s="39" t="inlineStr">
        <is>
          <t>Yuk Ng</t>
        </is>
      </c>
      <c r="N262" s="40" t="inlineStr">
        <is>
          <t>Chief Financial Officer</t>
        </is>
      </c>
      <c r="O262" s="41" t="inlineStr">
        <is>
          <t/>
        </is>
      </c>
      <c r="P262" s="42" t="inlineStr">
        <is>
          <t>+1 (650) 617-3328</t>
        </is>
      </c>
      <c r="Q262" s="43" t="n">
        <v>1988.0</v>
      </c>
      <c r="R262" s="114">
        <f>HYPERLINK("https://my.pitchbook.com?c=60487-39", "View company online")</f>
      </c>
    </row>
    <row r="263">
      <c r="A263" s="9" t="inlineStr">
        <is>
          <t>156593-17</t>
        </is>
      </c>
      <c r="B263" s="10" t="inlineStr">
        <is>
          <t>WOW Explorations</t>
        </is>
      </c>
      <c r="C263" s="11" t="inlineStr">
        <is>
          <t/>
        </is>
      </c>
      <c r="D263" s="12" t="inlineStr">
        <is>
          <t>Provider of recreation experiences for kids and families. The company designs and develops recreation experiences for kids and families which will focus on inspiring kids with the wonder of the world through physical play, hands-on creating and active multi-sensory experiences.</t>
        </is>
      </c>
      <c r="E263" s="13" t="inlineStr">
        <is>
          <t>Other Services (B2C Non-Financial)</t>
        </is>
      </c>
      <c r="F263" s="14" t="inlineStr">
        <is>
          <t>San Francisco, CA</t>
        </is>
      </c>
      <c r="G263" s="15" t="inlineStr">
        <is>
          <t>Privately Held (backing)</t>
        </is>
      </c>
      <c r="H263" s="16" t="inlineStr">
        <is>
          <t>Venture Capital-Backed</t>
        </is>
      </c>
      <c r="I263" s="17" t="inlineStr">
        <is>
          <t>Lyrical Partners</t>
        </is>
      </c>
      <c r="J263" s="18" t="inlineStr">
        <is>
          <t>www.wowexplorations.com</t>
        </is>
      </c>
      <c r="K263" s="19" t="inlineStr">
        <is>
          <t/>
        </is>
      </c>
      <c r="L263" s="20" t="inlineStr">
        <is>
          <t/>
        </is>
      </c>
      <c r="M263" s="21" t="inlineStr">
        <is>
          <t>Donna Meir</t>
        </is>
      </c>
      <c r="N263" s="22" t="inlineStr">
        <is>
          <t>Founder &amp; Chief Executive Officer</t>
        </is>
      </c>
      <c r="O263" s="23" t="inlineStr">
        <is>
          <t>donna@wowexplorations.com</t>
        </is>
      </c>
      <c r="P263" s="24" t="inlineStr">
        <is>
          <t/>
        </is>
      </c>
      <c r="Q263" s="25" t="n">
        <v>2015.0</v>
      </c>
      <c r="R263" s="113">
        <f>HYPERLINK("https://my.pitchbook.com?c=156593-17", "View company online")</f>
      </c>
    </row>
    <row r="264">
      <c r="A264" s="27" t="inlineStr">
        <is>
          <t>113850-64</t>
        </is>
      </c>
      <c r="B264" s="28" t="inlineStr">
        <is>
          <t>Worthix</t>
        </is>
      </c>
      <c r="C264" s="29" t="inlineStr">
        <is>
          <t>94104</t>
        </is>
      </c>
      <c r="D264" s="30" t="inlineStr">
        <is>
          <t>Developer of a platform for customer survey designed to give its users the power to drive customers to positive decisions. The company's platform for customer survey pinpoints the top influencing factors behind customers' decisions, enabling enterprises to retain their customers and increase sales.</t>
        </is>
      </c>
      <c r="E264" s="31" t="inlineStr">
        <is>
          <t>Business/Productivity Software</t>
        </is>
      </c>
      <c r="F264" s="32" t="inlineStr">
        <is>
          <t>San Francisco, CA</t>
        </is>
      </c>
      <c r="G264" s="33" t="inlineStr">
        <is>
          <t>Privately Held (backing)</t>
        </is>
      </c>
      <c r="H264" s="34" t="inlineStr">
        <is>
          <t>Venture Capital-Backed</t>
        </is>
      </c>
      <c r="I264" s="35" t="inlineStr">
        <is>
          <t>500 Startups, FundersClub, Geraldo Majela, QuestManager.com, Redpoint eventures, Ricardo Majela, Valor Capital Group</t>
        </is>
      </c>
      <c r="J264" s="36" t="inlineStr">
        <is>
          <t>www.worthix.com</t>
        </is>
      </c>
      <c r="K264" s="37" t="inlineStr">
        <is>
          <t>contact@worthix.com</t>
        </is>
      </c>
      <c r="L264" s="38" t="inlineStr">
        <is>
          <t/>
        </is>
      </c>
      <c r="M264" s="39" t="inlineStr">
        <is>
          <t>Guilherme Cerqueira</t>
        </is>
      </c>
      <c r="N264" s="40" t="inlineStr">
        <is>
          <t>Co-Founder &amp; Chief Executive Officer</t>
        </is>
      </c>
      <c r="O264" s="41" t="inlineStr">
        <is>
          <t>guilherme.cerqueira@worthix.com</t>
        </is>
      </c>
      <c r="P264" s="42" t="inlineStr">
        <is>
          <t/>
        </is>
      </c>
      <c r="Q264" s="43" t="n">
        <v>2015.0</v>
      </c>
      <c r="R264" s="114">
        <f>HYPERLINK("https://my.pitchbook.com?c=113850-64", "View company online")</f>
      </c>
    </row>
    <row r="265">
      <c r="A265" s="9" t="inlineStr">
        <is>
          <t>54749-26</t>
        </is>
      </c>
      <c r="B265" s="10" t="inlineStr">
        <is>
          <t>Wortal</t>
        </is>
      </c>
      <c r="C265" s="11" t="inlineStr">
        <is>
          <t>94303</t>
        </is>
      </c>
      <c r="D265" s="12" t="inlineStr">
        <is>
          <t>Owner and operator of a website for events and entertainment promotions. The company provides information for consumers to make choices in the areas of entertainment, home needs and work related aspects.</t>
        </is>
      </c>
      <c r="E265" s="13" t="inlineStr">
        <is>
          <t>Application Software</t>
        </is>
      </c>
      <c r="F265" s="14" t="inlineStr">
        <is>
          <t>Palo Alto, CA</t>
        </is>
      </c>
      <c r="G265" s="15" t="inlineStr">
        <is>
          <t>Privately Held (backing)</t>
        </is>
      </c>
      <c r="H265" s="16" t="inlineStr">
        <is>
          <t>Venture Capital-Backed</t>
        </is>
      </c>
      <c r="I265" s="17" t="inlineStr">
        <is>
          <t>Intel Capital</t>
        </is>
      </c>
      <c r="J265" s="18" t="inlineStr">
        <is>
          <t>www.wortalinc.com</t>
        </is>
      </c>
      <c r="K265" s="19" t="inlineStr">
        <is>
          <t>info@wortalinc.com</t>
        </is>
      </c>
      <c r="L265" s="20" t="inlineStr">
        <is>
          <t>+1 (650) 320-1622</t>
        </is>
      </c>
      <c r="M265" s="21" t="inlineStr">
        <is>
          <t>Uday Bellary</t>
        </is>
      </c>
      <c r="N265" s="22" t="inlineStr">
        <is>
          <t>Chief Executive Officer &amp; President</t>
        </is>
      </c>
      <c r="O265" s="23" t="inlineStr">
        <is>
          <t>uday.bellary@kaybus.com</t>
        </is>
      </c>
      <c r="P265" s="24" t="inlineStr">
        <is>
          <t>+1 (800) 408-5161</t>
        </is>
      </c>
      <c r="Q265" s="25" t="n">
        <v>2006.0</v>
      </c>
      <c r="R265" s="113">
        <f>HYPERLINK("https://my.pitchbook.com?c=54749-26", "View company online")</f>
      </c>
    </row>
    <row r="266">
      <c r="A266" s="27" t="inlineStr">
        <is>
          <t>99642-25</t>
        </is>
      </c>
      <c r="B266" s="28" t="inlineStr">
        <is>
          <t>WorldViz</t>
        </is>
      </c>
      <c r="C266" s="29" t="inlineStr">
        <is>
          <t>93101</t>
        </is>
      </c>
      <c r="D266" s="30" t="inlineStr">
        <is>
          <t>Provider of virtual reality (VR) platform technology and services. The company provides interactive 3D visualization and simulation software, VR systems, custom design services and application development to research scientists, government leaders and business entities.</t>
        </is>
      </c>
      <c r="E266" s="31" t="inlineStr">
        <is>
          <t>Multimedia and Design Software</t>
        </is>
      </c>
      <c r="F266" s="32" t="inlineStr">
        <is>
          <t>Santa Barbara, CA</t>
        </is>
      </c>
      <c r="G266" s="33" t="inlineStr">
        <is>
          <t>Privately Held (backing)</t>
        </is>
      </c>
      <c r="H266" s="34" t="inlineStr">
        <is>
          <t>Venture Capital-Backed</t>
        </is>
      </c>
      <c r="I266" s="35" t="inlineStr">
        <is>
          <t>Intel Capital</t>
        </is>
      </c>
      <c r="J266" s="36" t="inlineStr">
        <is>
          <t>www.worldviz.com</t>
        </is>
      </c>
      <c r="K266" s="37" t="inlineStr">
        <is>
          <t>contact@worldviz.com</t>
        </is>
      </c>
      <c r="L266" s="38" t="inlineStr">
        <is>
          <t>+1 (805) 966-0786</t>
        </is>
      </c>
      <c r="M266" s="39" t="inlineStr">
        <is>
          <t>Phil Schlageter</t>
        </is>
      </c>
      <c r="N266" s="40" t="inlineStr">
        <is>
          <t>Chief Financial Officer</t>
        </is>
      </c>
      <c r="O266" s="41" t="inlineStr">
        <is>
          <t>schlageter@worldviz.com</t>
        </is>
      </c>
      <c r="P266" s="42" t="inlineStr">
        <is>
          <t>+1 (805) 966-0786</t>
        </is>
      </c>
      <c r="Q266" s="43" t="n">
        <v>2002.0</v>
      </c>
      <c r="R266" s="114">
        <f>HYPERLINK("https://my.pitchbook.com?c=99642-25", "View company online")</f>
      </c>
    </row>
    <row r="267">
      <c r="A267" s="9" t="inlineStr">
        <is>
          <t>55178-65</t>
        </is>
      </c>
      <c r="B267" s="10" t="inlineStr">
        <is>
          <t>World Wrapps International</t>
        </is>
      </c>
      <c r="C267" s="11" t="inlineStr">
        <is>
          <t>94925</t>
        </is>
      </c>
      <c r="D267" s="12" t="inlineStr">
        <is>
          <t>Operator of franchise restaurants in Washington and Northern California. The company offers salads, hot soups, boxes and fresh fruit smoothies and gift certificates for birthdays, holidays, stocking-stuffers, bosses' day, graduation presents or employee appreciation.</t>
        </is>
      </c>
      <c r="E267" s="13" t="inlineStr">
        <is>
          <t>Restaurants and Bars</t>
        </is>
      </c>
      <c r="F267" s="14" t="inlineStr">
        <is>
          <t>Corte Madera, CA</t>
        </is>
      </c>
      <c r="G267" s="15" t="inlineStr">
        <is>
          <t>Privately Held (backing)</t>
        </is>
      </c>
      <c r="H267" s="16" t="inlineStr">
        <is>
          <t>Venture Capital-Backed</t>
        </is>
      </c>
      <c r="I267" s="17" t="inlineStr">
        <is>
          <t>Northwest Venture Associates, Tennessee Community Ventures</t>
        </is>
      </c>
      <c r="J267" s="18" t="inlineStr">
        <is>
          <t>www.worldwrapps.com</t>
        </is>
      </c>
      <c r="K267" s="19" t="inlineStr">
        <is>
          <t/>
        </is>
      </c>
      <c r="L267" s="20" t="inlineStr">
        <is>
          <t>+1 (206) 851-8411</t>
        </is>
      </c>
      <c r="M267" s="21" t="inlineStr">
        <is>
          <t>Donald Flynn</t>
        </is>
      </c>
      <c r="N267" s="22" t="inlineStr">
        <is>
          <t>Co-Chairman &amp; Chief Executive Officer</t>
        </is>
      </c>
      <c r="O267" s="23" t="inlineStr">
        <is>
          <t/>
        </is>
      </c>
      <c r="P267" s="24" t="inlineStr">
        <is>
          <t>+1 (206) 851-8411</t>
        </is>
      </c>
      <c r="Q267" s="25" t="n">
        <v>1996.0</v>
      </c>
      <c r="R267" s="113">
        <f>HYPERLINK("https://my.pitchbook.com?c=55178-65", "View company online")</f>
      </c>
    </row>
    <row r="268">
      <c r="A268" s="27" t="inlineStr">
        <is>
          <t>52902-73</t>
        </is>
      </c>
      <c r="B268" s="28" t="inlineStr">
        <is>
          <t>WorkWell</t>
        </is>
      </c>
      <c r="C268" s="29" t="inlineStr">
        <is>
          <t>55802</t>
        </is>
      </c>
      <c r="D268" s="30" t="inlineStr">
        <is>
          <t>Provider of radiology services management. The company offers health care diagnostic services for worker's compensation insurance, group health insurance, self-insured employers, third party administrators and other consumers.</t>
        </is>
      </c>
      <c r="E268" s="31" t="inlineStr">
        <is>
          <t>Clinics/Outpatient Services</t>
        </is>
      </c>
      <c r="F268" s="32" t="inlineStr">
        <is>
          <t>Duluth, MN</t>
        </is>
      </c>
      <c r="G268" s="33" t="inlineStr">
        <is>
          <t>Privately Held (backing)</t>
        </is>
      </c>
      <c r="H268" s="34" t="inlineStr">
        <is>
          <t>Venture Capital-Backed</t>
        </is>
      </c>
      <c r="I268" s="35" t="inlineStr">
        <is>
          <t>Chrysalis Ventures, Trinity Capital Investment</t>
        </is>
      </c>
      <c r="J268" s="36" t="inlineStr">
        <is>
          <t>www.workwellpreventionandcare.com</t>
        </is>
      </c>
      <c r="K268" s="37" t="inlineStr">
        <is>
          <t>info@workwell.com</t>
        </is>
      </c>
      <c r="L268" s="38" t="inlineStr">
        <is>
          <t/>
        </is>
      </c>
      <c r="M268" s="39" t="inlineStr">
        <is>
          <t>Jon Oxidine</t>
        </is>
      </c>
      <c r="N268" s="40" t="inlineStr">
        <is>
          <t>Chief Financial Officer</t>
        </is>
      </c>
      <c r="O268" s="41" t="inlineStr">
        <is>
          <t/>
        </is>
      </c>
      <c r="P268" s="42" t="inlineStr">
        <is>
          <t>+1 (888) 318-5111</t>
        </is>
      </c>
      <c r="Q268" s="43" t="n">
        <v>1991.0</v>
      </c>
      <c r="R268" s="114">
        <f>HYPERLINK("https://my.pitchbook.com?c=52902-73", "View company online")</f>
      </c>
    </row>
    <row r="269">
      <c r="A269" s="9" t="inlineStr">
        <is>
          <t>56145-88</t>
        </is>
      </c>
      <c r="B269" s="10" t="inlineStr">
        <is>
          <t>Workspot</t>
        </is>
      </c>
      <c r="C269" s="11" t="inlineStr">
        <is>
          <t>95014</t>
        </is>
      </c>
      <c r="D269" s="12" t="inlineStr">
        <is>
          <t>Provider of enterprise mobility and remote access technology. The company's product allows users to securely transfer business data to any device - phone, tablet or personal computers.</t>
        </is>
      </c>
      <c r="E269" s="13" t="inlineStr">
        <is>
          <t>Business/Productivity Software</t>
        </is>
      </c>
      <c r="F269" s="14" t="inlineStr">
        <is>
          <t>Cupertino, CA</t>
        </is>
      </c>
      <c r="G269" s="15" t="inlineStr">
        <is>
          <t>Privately Held (backing)</t>
        </is>
      </c>
      <c r="H269" s="16" t="inlineStr">
        <is>
          <t>Venture Capital-Backed</t>
        </is>
      </c>
      <c r="I269" s="17" t="inlineStr">
        <is>
          <t>Cloud Capital Partners, Follow [the] Seed, Gaurav Garg, Helion Venture Partners, Ignition Venture Partners, Kleiner Perkins Caufield &amp; Byers, Norwest Venture Partners, Peter Wagner, Presidio Ventures, Qualcomm Ventures, Redpoint Ventures, TransLink Capital, Webb Investment Network, Wing Venture Partners, WTI</t>
        </is>
      </c>
      <c r="J269" s="18" t="inlineStr">
        <is>
          <t>www.workspot.com</t>
        </is>
      </c>
      <c r="K269" s="19" t="inlineStr">
        <is>
          <t>info@workspot.com</t>
        </is>
      </c>
      <c r="L269" s="20" t="inlineStr">
        <is>
          <t>+1 (888) 426-8113</t>
        </is>
      </c>
      <c r="M269" s="21" t="inlineStr">
        <is>
          <t>Amitabh Sinha</t>
        </is>
      </c>
      <c r="N269" s="22" t="inlineStr">
        <is>
          <t>Co-Founder, President, Chief Executive Officer &amp; Board Member</t>
        </is>
      </c>
      <c r="O269" s="23" t="inlineStr">
        <is>
          <t>amitabh@workspot.com</t>
        </is>
      </c>
      <c r="P269" s="24" t="inlineStr">
        <is>
          <t>+1 (888) 426-8113</t>
        </is>
      </c>
      <c r="Q269" s="25" t="n">
        <v>2012.0</v>
      </c>
      <c r="R269" s="113">
        <f>HYPERLINK("https://my.pitchbook.com?c=56145-88", "View company online")</f>
      </c>
    </row>
    <row r="270">
      <c r="A270" s="27" t="inlineStr">
        <is>
          <t>103751-92</t>
        </is>
      </c>
      <c r="B270" s="28" t="inlineStr">
        <is>
          <t>Workshop Cafe</t>
        </is>
      </c>
      <c r="C270" s="29" t="inlineStr">
        <is>
          <t>94104</t>
        </is>
      </c>
      <c r="D270" s="30" t="inlineStr">
        <is>
          <t>Provider of leased working space designed to offer a healthy and productive lifestyle. The company's cafe offers a high-paced dynamic environment along with hand-crafted food, as well as a mobile application, enabling consumers to connect with other people in real-time.</t>
        </is>
      </c>
      <c r="E270" s="31" t="inlineStr">
        <is>
          <t>Restaurants and Bars</t>
        </is>
      </c>
      <c r="F270" s="32" t="inlineStr">
        <is>
          <t>San Francisco, CA</t>
        </is>
      </c>
      <c r="G270" s="33" t="inlineStr">
        <is>
          <t>Privately Held (backing)</t>
        </is>
      </c>
      <c r="H270" s="34" t="inlineStr">
        <is>
          <t>Venture Capital-Backed</t>
        </is>
      </c>
      <c r="I270" s="35" t="inlineStr">
        <is>
          <t>Hone Capital, Pete Szymanski, Servando Saavedra</t>
        </is>
      </c>
      <c r="J270" s="36" t="inlineStr">
        <is>
          <t>www.workshopcafe.com</t>
        </is>
      </c>
      <c r="K270" s="37" t="inlineStr">
        <is>
          <t>info@workshopcafe.com</t>
        </is>
      </c>
      <c r="L270" s="38" t="inlineStr">
        <is>
          <t>+1 (415) 322-1048</t>
        </is>
      </c>
      <c r="M270" s="39" t="inlineStr">
        <is>
          <t>Rich Menendez</t>
        </is>
      </c>
      <c r="N270" s="40" t="inlineStr">
        <is>
          <t>Founder, Chief Executive Officer and Board Member</t>
        </is>
      </c>
      <c r="O270" s="41" t="inlineStr">
        <is>
          <t>rich.menendez@workshopcafe.com</t>
        </is>
      </c>
      <c r="P270" s="42" t="inlineStr">
        <is>
          <t>+1 (415) 322-1048</t>
        </is>
      </c>
      <c r="Q270" s="43" t="n">
        <v>2012.0</v>
      </c>
      <c r="R270" s="114">
        <f>HYPERLINK("https://my.pitchbook.com?c=103751-92", "View company online")</f>
      </c>
    </row>
    <row r="271">
      <c r="A271" s="9" t="inlineStr">
        <is>
          <t>172460-62</t>
        </is>
      </c>
      <c r="B271" s="10" t="inlineStr">
        <is>
          <t>WorkSeek.com</t>
        </is>
      </c>
      <c r="C271" s="85">
        <f>HYPERLINK("https://my.pitchbook.com?rrp=172460-62&amp;type=c", "This Company's information is not available to download. Need this Company? Request availability")</f>
      </c>
      <c r="D271" s="12" t="inlineStr">
        <is>
          <t/>
        </is>
      </c>
      <c r="E271" s="13" t="inlineStr">
        <is>
          <t/>
        </is>
      </c>
      <c r="F271" s="14" t="inlineStr">
        <is>
          <t/>
        </is>
      </c>
      <c r="G271" s="15" t="inlineStr">
        <is>
          <t/>
        </is>
      </c>
      <c r="H271" s="16" t="inlineStr">
        <is>
          <t/>
        </is>
      </c>
      <c r="I271" s="17" t="inlineStr">
        <is>
          <t/>
        </is>
      </c>
      <c r="J271" s="18" t="inlineStr">
        <is>
          <t/>
        </is>
      </c>
      <c r="K271" s="19" t="inlineStr">
        <is>
          <t/>
        </is>
      </c>
      <c r="L271" s="20" t="inlineStr">
        <is>
          <t/>
        </is>
      </c>
      <c r="M271" s="21" t="inlineStr">
        <is>
          <t/>
        </is>
      </c>
      <c r="N271" s="22" t="inlineStr">
        <is>
          <t/>
        </is>
      </c>
      <c r="O271" s="23" t="inlineStr">
        <is>
          <t/>
        </is>
      </c>
      <c r="P271" s="24" t="inlineStr">
        <is>
          <t/>
        </is>
      </c>
      <c r="Q271" s="25" t="inlineStr">
        <is>
          <t/>
        </is>
      </c>
      <c r="R271" s="26" t="inlineStr">
        <is>
          <t/>
        </is>
      </c>
    </row>
    <row r="272">
      <c r="A272" s="27" t="inlineStr">
        <is>
          <t>164355-31</t>
        </is>
      </c>
      <c r="B272" s="28" t="inlineStr">
        <is>
          <t>WorkRamp</t>
        </is>
      </c>
      <c r="C272" s="29" t="inlineStr">
        <is>
          <t>94025</t>
        </is>
      </c>
      <c r="D272" s="30" t="inlineStr">
        <is>
          <t>Developer of an employee training software. The company provides an employee training platform with real-time analytics tools that allow managers to interact with team development data as well as enrich performance data with training insights to identify knowledge gaps and improve skill development.</t>
        </is>
      </c>
      <c r="E272" s="31" t="inlineStr">
        <is>
          <t>Application Software</t>
        </is>
      </c>
      <c r="F272" s="32" t="inlineStr">
        <is>
          <t>Menlo Park, CA</t>
        </is>
      </c>
      <c r="G272" s="33" t="inlineStr">
        <is>
          <t>Privately Held (backing)</t>
        </is>
      </c>
      <c r="H272" s="34" t="inlineStr">
        <is>
          <t>Venture Capital-Backed</t>
        </is>
      </c>
      <c r="I272" s="35" t="inlineStr">
        <is>
          <t>Adrian Aoun, Charles Songhurst, Elad Gil, Haystack, Initialized Capital, Liquid 2 Ventures, Slack Technologies, Susa Ventures, Wei Guo, Y Combinator</t>
        </is>
      </c>
      <c r="J272" s="36" t="inlineStr">
        <is>
          <t>www.workramp.com</t>
        </is>
      </c>
      <c r="K272" s="37" t="inlineStr">
        <is>
          <t/>
        </is>
      </c>
      <c r="L272" s="38" t="inlineStr">
        <is>
          <t>+1 (888) 336-8797</t>
        </is>
      </c>
      <c r="M272" s="39" t="inlineStr">
        <is>
          <t>Arshdeep Mand</t>
        </is>
      </c>
      <c r="N272" s="40" t="inlineStr">
        <is>
          <t>Co-Founder</t>
        </is>
      </c>
      <c r="O272" s="41" t="inlineStr">
        <is>
          <t>arsh@workramp.com</t>
        </is>
      </c>
      <c r="P272" s="42" t="inlineStr">
        <is>
          <t>+1 (888) 336-8797</t>
        </is>
      </c>
      <c r="Q272" s="43" t="n">
        <v>2015.0</v>
      </c>
      <c r="R272" s="114">
        <f>HYPERLINK("https://my.pitchbook.com?c=164355-31", "View company online")</f>
      </c>
    </row>
    <row r="273">
      <c r="A273" s="9" t="inlineStr">
        <is>
          <t>164216-53</t>
        </is>
      </c>
      <c r="B273" s="10" t="inlineStr">
        <is>
          <t>WorkPuls</t>
        </is>
      </c>
      <c r="C273" s="11" t="inlineStr">
        <is>
          <t>94103</t>
        </is>
      </c>
      <c r="D273" s="12" t="inlineStr">
        <is>
          <t>Developer and provider of a productivity assessment technology. The company provides an automatic time tracking software for organizations. It monitors applications and websites which employees use, shows how they work and generates productivity reports.</t>
        </is>
      </c>
      <c r="E273" s="13" t="inlineStr">
        <is>
          <t>Automation/Workflow Software</t>
        </is>
      </c>
      <c r="F273" s="14" t="inlineStr">
        <is>
          <t>San Francisco, CA</t>
        </is>
      </c>
      <c r="G273" s="15" t="inlineStr">
        <is>
          <t>Privately Held (backing)</t>
        </is>
      </c>
      <c r="H273" s="16" t="inlineStr">
        <is>
          <t>Venture Capital-Backed</t>
        </is>
      </c>
      <c r="I273" s="17" t="inlineStr">
        <is>
          <t>South Central Ventures, StartLabs (San Francisco)</t>
        </is>
      </c>
      <c r="J273" s="18" t="inlineStr">
        <is>
          <t>www.workpuls.com</t>
        </is>
      </c>
      <c r="K273" s="19" t="inlineStr">
        <is>
          <t/>
        </is>
      </c>
      <c r="L273" s="20" t="inlineStr">
        <is>
          <t>+1 (415) 800-4284</t>
        </is>
      </c>
      <c r="M273" s="21" t="inlineStr">
        <is>
          <t>Ivan Petrovic</t>
        </is>
      </c>
      <c r="N273" s="22" t="inlineStr">
        <is>
          <t>Co-Founder, Chief Executive Officer &amp; Software Developer</t>
        </is>
      </c>
      <c r="O273" s="23" t="inlineStr">
        <is>
          <t>ivan@workpuls.com</t>
        </is>
      </c>
      <c r="P273" s="24" t="inlineStr">
        <is>
          <t>+1 (415) 800-4284</t>
        </is>
      </c>
      <c r="Q273" s="25" t="n">
        <v>2015.0</v>
      </c>
      <c r="R273" s="113">
        <f>HYPERLINK("https://my.pitchbook.com?c=164216-53", "View company online")</f>
      </c>
    </row>
    <row r="274">
      <c r="A274" s="27" t="inlineStr">
        <is>
          <t>97131-07</t>
        </is>
      </c>
      <c r="B274" s="28" t="inlineStr">
        <is>
          <t>Workpop</t>
        </is>
      </c>
      <c r="C274" s="29" t="inlineStr">
        <is>
          <t>90404</t>
        </is>
      </c>
      <c r="D274" s="30" t="inlineStr">
        <is>
          <t>Provider of a online platform for searching jobs. The company offers an online marketplace that enable recruiters to create job listings by filling out requirements, job descriptions and information about the workplace.</t>
        </is>
      </c>
      <c r="E274" s="31" t="inlineStr">
        <is>
          <t>Social/Platform Software</t>
        </is>
      </c>
      <c r="F274" s="32" t="inlineStr">
        <is>
          <t>Santa Monica, CA</t>
        </is>
      </c>
      <c r="G274" s="33" t="inlineStr">
        <is>
          <t>Privately Held (backing)</t>
        </is>
      </c>
      <c r="H274" s="34" t="inlineStr">
        <is>
          <t>Venture Capital-Backed</t>
        </is>
      </c>
      <c r="I274" s="35" t="inlineStr">
        <is>
          <t>Aaron Levie, Biz Stone, BoxGroup, Cornerstone OnDemand, Dave Morin, Dennis Phelps, Evan Williams, Ironfire Ventures, James Joaquin, James Pallotta, Joe Lonsdale, Kevin Colleran, Lee Linden, Michael Marchetti, Obvious Ventures, Plus Capital, Raptor Group, Slow Ventures, SV Angel, Trinity Ventures, Vectr Ventures</t>
        </is>
      </c>
      <c r="J274" s="36" t="inlineStr">
        <is>
          <t>www.workpop.com</t>
        </is>
      </c>
      <c r="K274" s="37" t="inlineStr">
        <is>
          <t>media@workpop.com</t>
        </is>
      </c>
      <c r="L274" s="38" t="inlineStr">
        <is>
          <t>+1 (888) 509-3392</t>
        </is>
      </c>
      <c r="M274" s="39" t="inlineStr">
        <is>
          <t>Christopher Ovitz</t>
        </is>
      </c>
      <c r="N274" s="40" t="inlineStr">
        <is>
          <t>Co-Chief Executive Officer &amp; Co-Founder</t>
        </is>
      </c>
      <c r="O274" s="41" t="inlineStr">
        <is>
          <t>chris@workpop.com</t>
        </is>
      </c>
      <c r="P274" s="42" t="inlineStr">
        <is>
          <t>+1 (888) 509-3392</t>
        </is>
      </c>
      <c r="Q274" s="43" t="n">
        <v>2014.0</v>
      </c>
      <c r="R274" s="114">
        <f>HYPERLINK("https://my.pitchbook.com?c=97131-07", "View company online")</f>
      </c>
    </row>
    <row r="275">
      <c r="A275" s="9" t="inlineStr">
        <is>
          <t>128454-76</t>
        </is>
      </c>
      <c r="B275" s="10" t="inlineStr">
        <is>
          <t>Workit Health</t>
        </is>
      </c>
      <c r="C275" s="11" t="inlineStr">
        <is>
          <t>48104</t>
        </is>
      </c>
      <c r="D275" s="12" t="inlineStr">
        <is>
          <t>Developer of mobile recovery tools for substance abuse disorders designed to deliver treatment to people who are unwilling or unable to access conventional analog services. The company's mobile application software offers engaging programs to help people overcome addictive behaviors and to provide support to the loved ones of individuals struggling with these behaviors.</t>
        </is>
      </c>
      <c r="E275" s="13" t="inlineStr">
        <is>
          <t>Application Software</t>
        </is>
      </c>
      <c r="F275" s="14" t="inlineStr">
        <is>
          <t>Ann Arbor, MI</t>
        </is>
      </c>
      <c r="G275" s="15" t="inlineStr">
        <is>
          <t>Privately Held (backing)</t>
        </is>
      </c>
      <c r="H275" s="16" t="inlineStr">
        <is>
          <t>Venture Capital-Backed</t>
        </is>
      </c>
      <c r="I275" s="17" t="inlineStr">
        <is>
          <t>Accelerate Michigan Innovation Competition, Ann Arbor SPARK, Impact Engine, Invest Detroit Ventures, Lux Capital, Montage Ventures, National Science Foundation, Seamless Accelerator, Wakestream Ventures</t>
        </is>
      </c>
      <c r="J275" s="18" t="inlineStr">
        <is>
          <t>www.workithealth.com</t>
        </is>
      </c>
      <c r="K275" s="19" t="inlineStr">
        <is>
          <t/>
        </is>
      </c>
      <c r="L275" s="20" t="inlineStr">
        <is>
          <t>+1 (415) 610-4535</t>
        </is>
      </c>
      <c r="M275" s="21" t="inlineStr">
        <is>
          <t>Lisa McLaughlin</t>
        </is>
      </c>
      <c r="N275" s="22" t="inlineStr">
        <is>
          <t>Co-Founder and Chief Executive Officer</t>
        </is>
      </c>
      <c r="O275" s="23" t="inlineStr">
        <is>
          <t>lisa@workithealth.com</t>
        </is>
      </c>
      <c r="P275" s="24" t="inlineStr">
        <is>
          <t>+1 (734) 730-3747</t>
        </is>
      </c>
      <c r="Q275" s="25" t="n">
        <v>2015.0</v>
      </c>
      <c r="R275" s="113">
        <f>HYPERLINK("https://my.pitchbook.com?c=128454-76", "View company online")</f>
      </c>
    </row>
    <row r="276">
      <c r="A276" s="27" t="inlineStr">
        <is>
          <t>103730-14</t>
        </is>
      </c>
      <c r="B276" s="28" t="inlineStr">
        <is>
          <t>WorkingGroupLink</t>
        </is>
      </c>
      <c r="C276" s="29" t="inlineStr">
        <is>
          <t>94401</t>
        </is>
      </c>
      <c r="D276" s="30" t="inlineStr">
        <is>
          <t>Provider of a vertical-specific collaboration tool to the global corporate and investment banking industry. Company has a SaaS application that allows professionals executing capital markets and M&amp;A transactions to work more efficiently and accurately, make themselves more available to their clients, and differentiate themselves from competitors.</t>
        </is>
      </c>
      <c r="E276" s="31" t="inlineStr">
        <is>
          <t>Financial Software</t>
        </is>
      </c>
      <c r="F276" s="32" t="inlineStr">
        <is>
          <t>San Mateo, CA</t>
        </is>
      </c>
      <c r="G276" s="33" t="inlineStr">
        <is>
          <t>Privately Held (backing)</t>
        </is>
      </c>
      <c r="H276" s="34" t="inlineStr">
        <is>
          <t>Venture Capital-Backed</t>
        </is>
      </c>
      <c r="I276" s="35" t="inlineStr">
        <is>
          <t>Acceleprise, Inspiration Ventures, Landscape Capital Management, Right Side Capital Management, Tihan Seale</t>
        </is>
      </c>
      <c r="J276" s="36" t="inlineStr">
        <is>
          <t>www.workinggrouplink.com</t>
        </is>
      </c>
      <c r="K276" s="37" t="inlineStr">
        <is>
          <t/>
        </is>
      </c>
      <c r="L276" s="38" t="inlineStr">
        <is>
          <t>+1 (917) 456-6922</t>
        </is>
      </c>
      <c r="M276" s="39" t="inlineStr">
        <is>
          <t>Brian Bissonette</t>
        </is>
      </c>
      <c r="N276" s="40" t="inlineStr">
        <is>
          <t>Co-Founder &amp; President</t>
        </is>
      </c>
      <c r="O276" s="41" t="inlineStr">
        <is>
          <t>brian@workinggrouplink.com</t>
        </is>
      </c>
      <c r="P276" s="42" t="inlineStr">
        <is>
          <t>+1 (917) 456-6922</t>
        </is>
      </c>
      <c r="Q276" s="43" t="n">
        <v>2012.0</v>
      </c>
      <c r="R276" s="114">
        <f>HYPERLINK("https://my.pitchbook.com?c=103730-14", "View company online")</f>
      </c>
    </row>
    <row r="277">
      <c r="A277" s="9" t="inlineStr">
        <is>
          <t>179964-55</t>
        </is>
      </c>
      <c r="B277" s="10" t="inlineStr">
        <is>
          <t>Workhood</t>
        </is>
      </c>
      <c r="C277" s="11" t="inlineStr">
        <is>
          <t>94301</t>
        </is>
      </c>
      <c r="D277" s="12" t="inlineStr">
        <is>
          <t>Developer of location-based social network designed to make it easier for users to connect with the people working around them. The company's social network Workhood, offers each other local insight and up-to-date information specific to user's shared area, enabling users to see on their news feed information relevant to the community from restaurant suggestions and traffic updates to outsourcing recommendations for the office.</t>
        </is>
      </c>
      <c r="E277" s="13" t="inlineStr">
        <is>
          <t>Social/Platform Software</t>
        </is>
      </c>
      <c r="F277" s="14" t="inlineStr">
        <is>
          <t>Palo Alto, CA</t>
        </is>
      </c>
      <c r="G277" s="15" t="inlineStr">
        <is>
          <t>Privately Held (backing)</t>
        </is>
      </c>
      <c r="H277" s="16" t="inlineStr">
        <is>
          <t>Venture Capital-Backed</t>
        </is>
      </c>
      <c r="I277" s="17" t="inlineStr">
        <is>
          <t>Precursor Ventures</t>
        </is>
      </c>
      <c r="J277" s="18" t="inlineStr">
        <is>
          <t>www.workhood.com</t>
        </is>
      </c>
      <c r="K277" s="19" t="inlineStr">
        <is>
          <t/>
        </is>
      </c>
      <c r="L277" s="20" t="inlineStr">
        <is>
          <t/>
        </is>
      </c>
      <c r="M277" s="21" t="inlineStr">
        <is>
          <t>Noah Kindler</t>
        </is>
      </c>
      <c r="N277" s="22" t="inlineStr">
        <is>
          <t>Chief Executive Officer &amp; Co-Founder</t>
        </is>
      </c>
      <c r="O277" s="23" t="inlineStr">
        <is>
          <t>noah@workhood.com</t>
        </is>
      </c>
      <c r="P277" s="24" t="inlineStr">
        <is>
          <t/>
        </is>
      </c>
      <c r="Q277" s="25" t="n">
        <v>2015.0</v>
      </c>
      <c r="R277" s="113">
        <f>HYPERLINK("https://my.pitchbook.com?c=179964-55", "View company online")</f>
      </c>
    </row>
    <row r="278">
      <c r="A278" s="27" t="inlineStr">
        <is>
          <t>103651-21</t>
        </is>
      </c>
      <c r="B278" s="28" t="inlineStr">
        <is>
          <t>WorkHands</t>
        </is>
      </c>
      <c r="C278" s="29" t="inlineStr">
        <is>
          <t>94112</t>
        </is>
      </c>
      <c r="D278" s="30" t="inlineStr">
        <is>
          <t>Provider of an online social platform for skilled trades workers. The company offers blue collar jobs that makes it easier to showcase the skills and find work in the market through online portal.</t>
        </is>
      </c>
      <c r="E278" s="31" t="inlineStr">
        <is>
          <t>Human Capital Services</t>
        </is>
      </c>
      <c r="F278" s="32" t="inlineStr">
        <is>
          <t>San Francisco, CA</t>
        </is>
      </c>
      <c r="G278" s="33" t="inlineStr">
        <is>
          <t>Privately Held (backing)</t>
        </is>
      </c>
      <c r="H278" s="34" t="inlineStr">
        <is>
          <t>Venture Capital-Backed</t>
        </is>
      </c>
      <c r="I278" s="35" t="inlineStr">
        <is>
          <t>Alchemist Accelerator, Deciens Capital, Lawrence Goode, Lowe's Ventures, Patrick Jones, Sean Byrnes, Steelhead Ventures, Tumml</t>
        </is>
      </c>
      <c r="J278" s="36" t="inlineStr">
        <is>
          <t>www.workhands.us</t>
        </is>
      </c>
      <c r="K278" s="37" t="inlineStr">
        <is>
          <t>info@workhands.us</t>
        </is>
      </c>
      <c r="L278" s="38" t="inlineStr">
        <is>
          <t/>
        </is>
      </c>
      <c r="M278" s="39" t="inlineStr">
        <is>
          <t>Patrick Cushing</t>
        </is>
      </c>
      <c r="N278" s="40" t="inlineStr">
        <is>
          <t>Co-Founder</t>
        </is>
      </c>
      <c r="O278" s="41" t="inlineStr">
        <is>
          <t/>
        </is>
      </c>
      <c r="P278" s="42" t="inlineStr">
        <is>
          <t/>
        </is>
      </c>
      <c r="Q278" s="43" t="n">
        <v>2013.0</v>
      </c>
      <c r="R278" s="114">
        <f>HYPERLINK("https://my.pitchbook.com?c=103651-21", "View company online")</f>
      </c>
    </row>
    <row r="279">
      <c r="A279" s="9" t="inlineStr">
        <is>
          <t>61712-47</t>
        </is>
      </c>
      <c r="B279" s="10" t="inlineStr">
        <is>
          <t>WorkFlowy</t>
        </is>
      </c>
      <c r="C279" s="11" t="inlineStr">
        <is>
          <t>94110</t>
        </is>
      </c>
      <c r="D279" s="12" t="inlineStr">
        <is>
          <t>Developer of a Web-based application designed to manage daily workflows of people. The company's Web-based application uses a powerful interface to organize activities such as daily work, team projects, research papers and journals, enabling users to organize their personal work and collaborate with others.</t>
        </is>
      </c>
      <c r="E279" s="13" t="inlineStr">
        <is>
          <t>Automation/Workflow Software</t>
        </is>
      </c>
      <c r="F279" s="14" t="inlineStr">
        <is>
          <t>San Francisco, CA</t>
        </is>
      </c>
      <c r="G279" s="15" t="inlineStr">
        <is>
          <t>Privately Held (backing)</t>
        </is>
      </c>
      <c r="H279" s="16" t="inlineStr">
        <is>
          <t>Venture Capital-Backed</t>
        </is>
      </c>
      <c r="I279" s="17" t="inlineStr">
        <is>
          <t>New Ground Ventures, Y Combinator</t>
        </is>
      </c>
      <c r="J279" s="18" t="inlineStr">
        <is>
          <t>www.workflowy.com</t>
        </is>
      </c>
      <c r="K279" s="19" t="inlineStr">
        <is>
          <t>help@workflowy.com</t>
        </is>
      </c>
      <c r="L279" s="20" t="inlineStr">
        <is>
          <t/>
        </is>
      </c>
      <c r="M279" s="21" t="inlineStr">
        <is>
          <t>Michael Turitzin</t>
        </is>
      </c>
      <c r="N279" s="22" t="inlineStr">
        <is>
          <t>Co-Founder</t>
        </is>
      </c>
      <c r="O279" s="23" t="inlineStr">
        <is>
          <t>turitzin@workflowy.com</t>
        </is>
      </c>
      <c r="P279" s="24" t="inlineStr">
        <is>
          <t/>
        </is>
      </c>
      <c r="Q279" s="25" t="n">
        <v>2010.0</v>
      </c>
      <c r="R279" s="113">
        <f>HYPERLINK("https://my.pitchbook.com?c=61712-47", "View company online")</f>
      </c>
    </row>
    <row r="280">
      <c r="A280" s="27" t="inlineStr">
        <is>
          <t>170959-51</t>
        </is>
      </c>
      <c r="B280" s="28" t="inlineStr">
        <is>
          <t>Workfit</t>
        </is>
      </c>
      <c r="C280" s="29" t="inlineStr">
        <is>
          <t>94025</t>
        </is>
      </c>
      <c r="D280" s="30" t="inlineStr">
        <is>
          <t>Developer of enterprise voice assistant created to transform how business users interact with company systems, and bridge the gap between complex workflows and simple voice interactions. The company's enterprise voice assistant, Eva, is an intelligent meeting facilitator that helps people have more productive meetings by making meetings searchable, taking note of decisions, and encouraging follow-up on action-items, take note of important decisions, and highlight key moments of a call by leveraging a blend of artificial intelligence and speech recognition, enabling, professionals to facilitate meetings and be efficient, effective and creative.</t>
        </is>
      </c>
      <c r="E280" s="31" t="inlineStr">
        <is>
          <t>Business/Productivity Software</t>
        </is>
      </c>
      <c r="F280" s="32" t="inlineStr">
        <is>
          <t>Menlo Park, CA</t>
        </is>
      </c>
      <c r="G280" s="33" t="inlineStr">
        <is>
          <t>Privately Held (backing)</t>
        </is>
      </c>
      <c r="H280" s="34" t="inlineStr">
        <is>
          <t>Venture Capital-Backed</t>
        </is>
      </c>
      <c r="I280" s="35" t="inlineStr">
        <is>
          <t>Battery Ventures, Greycroft Partners, Salesforce Ventures</t>
        </is>
      </c>
      <c r="J280" s="36" t="inlineStr">
        <is>
          <t>www.workfit.com</t>
        </is>
      </c>
      <c r="K280" s="37" t="inlineStr">
        <is>
          <t/>
        </is>
      </c>
      <c r="L280" s="38" t="inlineStr">
        <is>
          <t/>
        </is>
      </c>
      <c r="M280" s="39" t="inlineStr">
        <is>
          <t>Omar Tawakol</t>
        </is>
      </c>
      <c r="N280" s="40" t="inlineStr">
        <is>
          <t>Co-Founder &amp; Chief Executive Officer</t>
        </is>
      </c>
      <c r="O280" s="41" t="inlineStr">
        <is>
          <t>omar@workfit.io</t>
        </is>
      </c>
      <c r="P280" s="42" t="inlineStr">
        <is>
          <t/>
        </is>
      </c>
      <c r="Q280" s="43" t="inlineStr">
        <is>
          <t/>
        </is>
      </c>
      <c r="R280" s="114">
        <f>HYPERLINK("https://my.pitchbook.com?c=170959-51", "View company online")</f>
      </c>
    </row>
    <row r="281">
      <c r="A281" s="9" t="inlineStr">
        <is>
          <t>61664-77</t>
        </is>
      </c>
      <c r="B281" s="10" t="inlineStr">
        <is>
          <t>Workboard</t>
        </is>
      </c>
      <c r="C281" s="11" t="inlineStr">
        <is>
          <t/>
        </is>
      </c>
      <c r="D281" s="12" t="inlineStr">
        <is>
          <t>Provider of an execution intelligence application for enterprise managers. The company offers real-time goal management services that allow leaders and teams to operate efficiently and achieve goals.</t>
        </is>
      </c>
      <c r="E281" s="13" t="inlineStr">
        <is>
          <t>Business/Productivity Software</t>
        </is>
      </c>
      <c r="F281" s="14" t="inlineStr">
        <is>
          <t/>
        </is>
      </c>
      <c r="G281" s="15" t="inlineStr">
        <is>
          <t>Privately Held (backing)</t>
        </is>
      </c>
      <c r="H281" s="16" t="inlineStr">
        <is>
          <t>Venture Capital-Backed</t>
        </is>
      </c>
      <c r="I281" s="17" t="inlineStr">
        <is>
          <t>Crosslink Capital, Granite Ventures, Opus Capital, Shea Ventures</t>
        </is>
      </c>
      <c r="J281" s="18" t="inlineStr">
        <is>
          <t>www.workboard.com</t>
        </is>
      </c>
      <c r="K281" s="19" t="inlineStr">
        <is>
          <t/>
        </is>
      </c>
      <c r="L281" s="20" t="inlineStr">
        <is>
          <t/>
        </is>
      </c>
      <c r="M281" s="21" t="inlineStr">
        <is>
          <t>Deidre Paknad</t>
        </is>
      </c>
      <c r="N281" s="22" t="inlineStr">
        <is>
          <t>Co-Founder, Chief Executive Officer &amp; Board Member</t>
        </is>
      </c>
      <c r="O281" s="23" t="inlineStr">
        <is>
          <t>deidre@workboard.com</t>
        </is>
      </c>
      <c r="P281" s="24" t="inlineStr">
        <is>
          <t/>
        </is>
      </c>
      <c r="Q281" s="25" t="n">
        <v>2013.0</v>
      </c>
      <c r="R281" s="113">
        <f>HYPERLINK("https://my.pitchbook.com?c=61664-77", "View company online")</f>
      </c>
    </row>
    <row r="282">
      <c r="A282" s="27" t="inlineStr">
        <is>
          <t>104504-05</t>
        </is>
      </c>
      <c r="B282" s="28" t="inlineStr">
        <is>
          <t>Workato</t>
        </is>
      </c>
      <c r="C282" s="29" t="inlineStr">
        <is>
          <t>95014</t>
        </is>
      </c>
      <c r="D282" s="30" t="inlineStr">
        <is>
          <t>Developer of an integration platform designed to automate businesses. The company's Workato platform is a cloud application integration platform that enables users to connect multiple applications and automate their work, enabling businesses to connect their cloud based apps.</t>
        </is>
      </c>
      <c r="E282" s="31" t="inlineStr">
        <is>
          <t>Automation/Workflow Software</t>
        </is>
      </c>
      <c r="F282" s="32" t="inlineStr">
        <is>
          <t>Cupertino, CA</t>
        </is>
      </c>
      <c r="G282" s="33" t="inlineStr">
        <is>
          <t>Privately Held (backing)</t>
        </is>
      </c>
      <c r="H282" s="34" t="inlineStr">
        <is>
          <t>Venture Capital-Backed</t>
        </is>
      </c>
      <c r="I282" s="35" t="inlineStr">
        <is>
          <t>Anshu Sharma, Bhaskar Roy, Rishi Mallik, Storm Ventures</t>
        </is>
      </c>
      <c r="J282" s="36" t="inlineStr">
        <is>
          <t>www.workato.com</t>
        </is>
      </c>
      <c r="K282" s="37" t="inlineStr">
        <is>
          <t>info@workato.com</t>
        </is>
      </c>
      <c r="L282" s="38" t="inlineStr">
        <is>
          <t>+1 (844) 469-6752</t>
        </is>
      </c>
      <c r="M282" s="39" t="inlineStr">
        <is>
          <t>Thomas Ream</t>
        </is>
      </c>
      <c r="N282" s="40" t="inlineStr">
        <is>
          <t>Chief Financial Officer</t>
        </is>
      </c>
      <c r="O282" s="41" t="inlineStr">
        <is>
          <t>tom@workato.com</t>
        </is>
      </c>
      <c r="P282" s="42" t="inlineStr">
        <is>
          <t>+1 (844) 469-6752</t>
        </is>
      </c>
      <c r="Q282" s="43" t="n">
        <v>2013.0</v>
      </c>
      <c r="R282" s="114">
        <f>HYPERLINK("https://my.pitchbook.com?c=104504-05", "View company online")</f>
      </c>
    </row>
    <row r="283">
      <c r="A283" s="9" t="inlineStr">
        <is>
          <t>56244-97</t>
        </is>
      </c>
      <c r="B283" s="10" t="inlineStr">
        <is>
          <t>Workable</t>
        </is>
      </c>
      <c r="C283" s="11" t="inlineStr">
        <is>
          <t>EC2Y 5EJ</t>
        </is>
      </c>
      <c r="D283" s="12" t="inlineStr">
        <is>
          <t>Provider of recruiting software designed to streamline the hiring process. The company's recruiting software has single-submission posting to all the important job boards that makes it easy to browse, enabling candidates to keep track of new jobs as soon as they are notified.</t>
        </is>
      </c>
      <c r="E283" s="13" t="inlineStr">
        <is>
          <t>Application Software</t>
        </is>
      </c>
      <c r="F283" s="14" t="inlineStr">
        <is>
          <t>London, United Kingdom</t>
        </is>
      </c>
      <c r="G283" s="15" t="inlineStr">
        <is>
          <t>Privately Held (backing)</t>
        </is>
      </c>
      <c r="H283" s="16" t="inlineStr">
        <is>
          <t>Venture Capital-Backed</t>
        </is>
      </c>
      <c r="I283" s="17" t="inlineStr">
        <is>
          <t>83North, Alexis Pantazis, Balderton Capital, Chrysanthos Chrysanthou, Dimitris Vranopoulos, Marco Veremis, Notion Capital, OpenFund</t>
        </is>
      </c>
      <c r="J283" s="18" t="inlineStr">
        <is>
          <t>www.workable.com</t>
        </is>
      </c>
      <c r="K283" s="19" t="inlineStr">
        <is>
          <t/>
        </is>
      </c>
      <c r="L283" s="20" t="inlineStr">
        <is>
          <t/>
        </is>
      </c>
      <c r="M283" s="21" t="inlineStr">
        <is>
          <t>Elsa Sahnas</t>
        </is>
      </c>
      <c r="N283" s="22" t="inlineStr">
        <is>
          <t>Finance Director</t>
        </is>
      </c>
      <c r="O283" s="23" t="inlineStr">
        <is>
          <t>elsa@workable.com</t>
        </is>
      </c>
      <c r="P283" s="24" t="inlineStr">
        <is>
          <t/>
        </is>
      </c>
      <c r="Q283" s="25" t="n">
        <v>2012.0</v>
      </c>
      <c r="R283" s="113">
        <f>HYPERLINK("https://my.pitchbook.com?c=56244-97", "View company online")</f>
      </c>
    </row>
    <row r="284">
      <c r="A284" s="27" t="inlineStr">
        <is>
          <t>55203-76</t>
        </is>
      </c>
      <c r="B284" s="28" t="inlineStr">
        <is>
          <t>Work4 Labs</t>
        </is>
      </c>
      <c r="C284" s="29" t="inlineStr">
        <is>
          <t>94103</t>
        </is>
      </c>
      <c r="D284" s="30" t="inlineStr">
        <is>
          <t>Developer of recruiting tools for social networking sites. The company's technology transforms social networks into a source of quality talent, enabling enterprises to extend their employer brands, drive referrals organically and target specific profiles.</t>
        </is>
      </c>
      <c r="E284" s="31" t="inlineStr">
        <is>
          <t>Social/Platform Software</t>
        </is>
      </c>
      <c r="F284" s="32" t="inlineStr">
        <is>
          <t>San Francisco, CA</t>
        </is>
      </c>
      <c r="G284" s="33" t="inlineStr">
        <is>
          <t>Privately Held (backing)</t>
        </is>
      </c>
      <c r="H284" s="34" t="inlineStr">
        <is>
          <t>Venture Capital-Backed</t>
        </is>
      </c>
      <c r="I284" s="35" t="inlineStr">
        <is>
          <t>Clara Shih, Matrix Partners, Pinnacle Ventures, Serena Capital, Steve Pogorzelski, Yuri Milner</t>
        </is>
      </c>
      <c r="J284" s="36" t="inlineStr">
        <is>
          <t>www.work4labs.com</t>
        </is>
      </c>
      <c r="K284" s="37" t="inlineStr">
        <is>
          <t>contact@work4labs.com</t>
        </is>
      </c>
      <c r="L284" s="38" t="inlineStr">
        <is>
          <t>+1 (415) 912-1511</t>
        </is>
      </c>
      <c r="M284" s="39" t="inlineStr">
        <is>
          <t>Stéphane Le Viet</t>
        </is>
      </c>
      <c r="N284" s="40" t="inlineStr">
        <is>
          <t>Co-Founder &amp; Chairman</t>
        </is>
      </c>
      <c r="O284" s="41" t="inlineStr">
        <is>
          <t>sleviet@work4labs.com</t>
        </is>
      </c>
      <c r="P284" s="42" t="inlineStr">
        <is>
          <t>+1 (415) 912-1511</t>
        </is>
      </c>
      <c r="Q284" s="43" t="n">
        <v>2010.0</v>
      </c>
      <c r="R284" s="114">
        <f>HYPERLINK("https://my.pitchbook.com?c=55203-76", "View company online")</f>
      </c>
    </row>
    <row r="285">
      <c r="A285" s="9" t="inlineStr">
        <is>
          <t>114429-07</t>
        </is>
      </c>
      <c r="B285" s="10" t="inlineStr">
        <is>
          <t>Work Truck Solutions</t>
        </is>
      </c>
      <c r="C285" s="11" t="inlineStr">
        <is>
          <t>95928</t>
        </is>
      </c>
      <c r="D285" s="12" t="inlineStr">
        <is>
          <t>Provider of an online truck inventory platform designed for displaying and reporting on commercial truck inventory. The company's online truck inventory platform partners with OEM's, body manufacturers, distributors and commercial dealers in an effort to streamline the process of getting the right commercial vehicle to the end buyer in the most effective and efficient manner, enabling potential buyers to search for trucks by upfit and vocation, provides a trade network for commercial dealers subscribing to its SaaS products and also provides inventory data to the commercial truck industry.</t>
        </is>
      </c>
      <c r="E285" s="13" t="inlineStr">
        <is>
          <t>Business/Productivity Software</t>
        </is>
      </c>
      <c r="F285" s="14" t="inlineStr">
        <is>
          <t>Chico, CA</t>
        </is>
      </c>
      <c r="G285" s="15" t="inlineStr">
        <is>
          <t>Privately Held (backing)</t>
        </is>
      </c>
      <c r="H285" s="16" t="inlineStr">
        <is>
          <t>Venture Capital-Backed</t>
        </is>
      </c>
      <c r="I285" s="17" t="inlineStr">
        <is>
          <t>Alicia Syrett, BELLE Michigan, Chicostart, Dustin Weirich, Golden Seeds, Moneta Ventures, Sacramento Angels, Supply Chain Ventures, Wakestream Ventures</t>
        </is>
      </c>
      <c r="J285" s="18" t="inlineStr">
        <is>
          <t>www.worktrucksolutions.com</t>
        </is>
      </c>
      <c r="K285" s="19" t="inlineStr">
        <is>
          <t>info@worktrucksolutions.com</t>
        </is>
      </c>
      <c r="L285" s="20" t="inlineStr">
        <is>
          <t>+1 (855) 987-4544</t>
        </is>
      </c>
      <c r="M285" s="21" t="inlineStr">
        <is>
          <t>Gretchen Krugler</t>
        </is>
      </c>
      <c r="N285" s="22" t="inlineStr">
        <is>
          <t>Chief Financial Officer &amp; Board Member</t>
        </is>
      </c>
      <c r="O285" s="23" t="inlineStr">
        <is>
          <t>gretchen.krugler@worktrucksolutions.com</t>
        </is>
      </c>
      <c r="P285" s="24" t="inlineStr">
        <is>
          <t>+1 (855) 987-4544</t>
        </is>
      </c>
      <c r="Q285" s="25" t="n">
        <v>2012.0</v>
      </c>
      <c r="R285" s="113">
        <f>HYPERLINK("https://my.pitchbook.com?c=114429-07", "View company online")</f>
      </c>
    </row>
    <row r="286">
      <c r="A286" s="27" t="inlineStr">
        <is>
          <t>52386-94</t>
        </is>
      </c>
      <c r="B286" s="28" t="inlineStr">
        <is>
          <t>WordWatch</t>
        </is>
      </c>
      <c r="C286" s="29" t="inlineStr">
        <is>
          <t>94404</t>
        </is>
      </c>
      <c r="D286" s="30" t="inlineStr">
        <is>
          <t>Provider of pay-per-click (PPC) bid management services for online marketing. The company helps to manage keyword bidding and product listing advertisements automatically while helping advertisers and agencies in automated bid management for Google AdWords and Google shopping.</t>
        </is>
      </c>
      <c r="E286" s="31" t="inlineStr">
        <is>
          <t>Business/Productivity Software</t>
        </is>
      </c>
      <c r="F286" s="32" t="inlineStr">
        <is>
          <t>Foster City, CA</t>
        </is>
      </c>
      <c r="G286" s="33" t="inlineStr">
        <is>
          <t>Privately Held (backing)</t>
        </is>
      </c>
      <c r="H286" s="34" t="inlineStr">
        <is>
          <t>Venture Capital-Backed</t>
        </is>
      </c>
      <c r="I286" s="35" t="inlineStr">
        <is>
          <t>Credo Ventures</t>
        </is>
      </c>
      <c r="J286" s="36" t="inlineStr">
        <is>
          <t>www.wordwatch.com</t>
        </is>
      </c>
      <c r="K286" s="37" t="inlineStr">
        <is>
          <t/>
        </is>
      </c>
      <c r="L286" s="38" t="inlineStr">
        <is>
          <t>+1 (888) 703-8701</t>
        </is>
      </c>
      <c r="M286" s="39" t="inlineStr">
        <is>
          <t>Marcin Pyla</t>
        </is>
      </c>
      <c r="N286" s="40" t="inlineStr">
        <is>
          <t>Co-Founder</t>
        </is>
      </c>
      <c r="O286" s="41" t="inlineStr">
        <is>
          <t>marcin@socialbicycles.com</t>
        </is>
      </c>
      <c r="P286" s="42" t="inlineStr">
        <is>
          <t>+1 (716) 407-7474</t>
        </is>
      </c>
      <c r="Q286" s="43" t="n">
        <v>2008.0</v>
      </c>
      <c r="R286" s="114">
        <f>HYPERLINK("https://my.pitchbook.com?c=52386-94", "View company online")</f>
      </c>
    </row>
    <row r="287">
      <c r="A287" s="9" t="inlineStr">
        <is>
          <t>103623-94</t>
        </is>
      </c>
      <c r="B287" s="10" t="inlineStr">
        <is>
          <t>Wootric</t>
        </is>
      </c>
      <c r="C287" s="11" t="inlineStr">
        <is>
          <t>94110</t>
        </is>
      </c>
      <c r="D287" s="12" t="inlineStr">
        <is>
          <t>Provider of an in-application net promoter score platform. The company offers a net promoter (NPS) management and tracking tool for online businesses, that helps them to measure their customer's happiness.</t>
        </is>
      </c>
      <c r="E287" s="13" t="inlineStr">
        <is>
          <t>Social/Platform Software</t>
        </is>
      </c>
      <c r="F287" s="14" t="inlineStr">
        <is>
          <t>San Francisco, CA</t>
        </is>
      </c>
      <c r="G287" s="15" t="inlineStr">
        <is>
          <t>Privately Held (backing)</t>
        </is>
      </c>
      <c r="H287" s="16" t="inlineStr">
        <is>
          <t>Venture Capital-Backed</t>
        </is>
      </c>
      <c r="I287" s="17" t="inlineStr">
        <is>
          <t>ArcheMatrix Ventures, Array Ventures, Cloud Apps Capital Partners, CSC UpShot Ventures, Green D Ventures, The Salesforce Incubator</t>
        </is>
      </c>
      <c r="J287" s="18" t="inlineStr">
        <is>
          <t>www.wootric.com</t>
        </is>
      </c>
      <c r="K287" s="19" t="inlineStr">
        <is>
          <t/>
        </is>
      </c>
      <c r="L287" s="20" t="inlineStr">
        <is>
          <t/>
        </is>
      </c>
      <c r="M287" s="21" t="inlineStr">
        <is>
          <t>Deepa Subramanian</t>
        </is>
      </c>
      <c r="N287" s="22" t="inlineStr">
        <is>
          <t>Chief Executive Officer &amp; Co-Founder</t>
        </is>
      </c>
      <c r="O287" s="23" t="inlineStr">
        <is>
          <t>deepa@wootric.com</t>
        </is>
      </c>
      <c r="P287" s="24" t="inlineStr">
        <is>
          <t/>
        </is>
      </c>
      <c r="Q287" s="25" t="n">
        <v>2013.0</v>
      </c>
      <c r="R287" s="113">
        <f>HYPERLINK("https://my.pitchbook.com?c=103623-94", "View company online")</f>
      </c>
    </row>
    <row r="288">
      <c r="A288" s="27" t="inlineStr">
        <is>
          <t>102805-66</t>
        </is>
      </c>
      <c r="B288" s="28" t="inlineStr">
        <is>
          <t>Wooqer</t>
        </is>
      </c>
      <c r="C288" s="29" t="inlineStr">
        <is>
          <t>94025</t>
        </is>
      </c>
      <c r="D288" s="30" t="inlineStr">
        <is>
          <t>Provider of a cloud based mobile and Web application for organizations. The company helps large companies and forums to communicate and share files via a single online platform.</t>
        </is>
      </c>
      <c r="E288" s="31" t="inlineStr">
        <is>
          <t>Social/Platform Software</t>
        </is>
      </c>
      <c r="F288" s="32" t="inlineStr">
        <is>
          <t>Menlo Park, CA</t>
        </is>
      </c>
      <c r="G288" s="33" t="inlineStr">
        <is>
          <t>Privately Held (backing)</t>
        </is>
      </c>
      <c r="H288" s="34" t="inlineStr">
        <is>
          <t>Venture Capital-Backed</t>
        </is>
      </c>
      <c r="I288" s="35" t="inlineStr">
        <is>
          <t>B. Nagesh, Bijou Kurien, Harsh Mariwala, IndusAge Partners, Jim Davidson, Michael Marks</t>
        </is>
      </c>
      <c r="J288" s="36" t="inlineStr">
        <is>
          <t>www.wooqer.com</t>
        </is>
      </c>
      <c r="K288" s="37" t="inlineStr">
        <is>
          <t/>
        </is>
      </c>
      <c r="L288" s="38" t="inlineStr">
        <is>
          <t/>
        </is>
      </c>
      <c r="M288" s="39" t="inlineStr">
        <is>
          <t>Vishal Purohit</t>
        </is>
      </c>
      <c r="N288" s="40" t="inlineStr">
        <is>
          <t>Chief Executive Officer &amp; Co-Founder</t>
        </is>
      </c>
      <c r="O288" s="41" t="inlineStr">
        <is>
          <t>vishal@wooqer.com</t>
        </is>
      </c>
      <c r="P288" s="42" t="inlineStr">
        <is>
          <t/>
        </is>
      </c>
      <c r="Q288" s="43" t="n">
        <v>2008.0</v>
      </c>
      <c r="R288" s="114">
        <f>HYPERLINK("https://my.pitchbook.com?c=102805-66", "View company online")</f>
      </c>
    </row>
    <row r="289">
      <c r="A289" s="9" t="inlineStr">
        <is>
          <t>60266-26</t>
        </is>
      </c>
      <c r="B289" s="10" t="inlineStr">
        <is>
          <t>Woopra</t>
        </is>
      </c>
      <c r="C289" s="11" t="inlineStr">
        <is>
          <t>94103</t>
        </is>
      </c>
      <c r="D289" s="12" t="inlineStr">
        <is>
          <t>Developer of a real-time web-analytic tool. The company offers a platform that provides real-time customer analytics and customer engagement services and helps businesses to track, analyze, and take action on live customer data.</t>
        </is>
      </c>
      <c r="E289" s="13" t="inlineStr">
        <is>
          <t>Media and Information Services (B2B)</t>
        </is>
      </c>
      <c r="F289" s="14" t="inlineStr">
        <is>
          <t>San Francisco, CA</t>
        </is>
      </c>
      <c r="G289" s="15" t="inlineStr">
        <is>
          <t>Privately Held (backing)</t>
        </is>
      </c>
      <c r="H289" s="16" t="inlineStr">
        <is>
          <t>Venture Capital-Backed</t>
        </is>
      </c>
      <c r="I289" s="17" t="inlineStr">
        <is>
          <t>Individual Investor, MENA Venture Investments, Wamda Capital</t>
        </is>
      </c>
      <c r="J289" s="18" t="inlineStr">
        <is>
          <t>www.woopra.com</t>
        </is>
      </c>
      <c r="K289" s="19" t="inlineStr">
        <is>
          <t/>
        </is>
      </c>
      <c r="L289" s="20" t="inlineStr">
        <is>
          <t>+1 (415) 618-0629</t>
        </is>
      </c>
      <c r="M289" s="21" t="inlineStr">
        <is>
          <t>Elie Khoury</t>
        </is>
      </c>
      <c r="N289" s="22" t="inlineStr">
        <is>
          <t>Chief Executive Officer &amp; Co-Founder</t>
        </is>
      </c>
      <c r="O289" s="23" t="inlineStr">
        <is>
          <t/>
        </is>
      </c>
      <c r="P289" s="24" t="inlineStr">
        <is>
          <t>+1 (415) 618-0629</t>
        </is>
      </c>
      <c r="Q289" s="25" t="n">
        <v>2007.0</v>
      </c>
      <c r="R289" s="113">
        <f>HYPERLINK("https://my.pitchbook.com?c=60266-26", "View company online")</f>
      </c>
    </row>
    <row r="290">
      <c r="A290" s="27" t="inlineStr">
        <is>
          <t>57052-00</t>
        </is>
      </c>
      <c r="B290" s="28" t="inlineStr">
        <is>
          <t>Woopie</t>
        </is>
      </c>
      <c r="C290" s="29" t="inlineStr">
        <is>
          <t>2</t>
        </is>
      </c>
      <c r="D290" s="30" t="inlineStr">
        <is>
          <t>Provider of a digital publishing platform that helps businesses extend their message to consumers. The company offers a custom built digital content publishing tool focused on responsive design through which it empowers writers and publishers to reach their audiences on any device, from desktops to tablets and mobile phones.</t>
        </is>
      </c>
      <c r="E290" s="31" t="inlineStr">
        <is>
          <t>Social/Platform Software</t>
        </is>
      </c>
      <c r="F290" s="32" t="inlineStr">
        <is>
          <t>Dublin, Ireland</t>
        </is>
      </c>
      <c r="G290" s="33" t="inlineStr">
        <is>
          <t>Privately Held (backing)</t>
        </is>
      </c>
      <c r="H290" s="34" t="inlineStr">
        <is>
          <t>Venture Capital-Backed</t>
        </is>
      </c>
      <c r="I290" s="35" t="inlineStr">
        <is>
          <t>Enterprise Ireland, Matter Ventures, Wayra</t>
        </is>
      </c>
      <c r="J290" s="36" t="inlineStr">
        <is>
          <t>www.woop.ie</t>
        </is>
      </c>
      <c r="K290" s="37" t="inlineStr">
        <is>
          <t>info@woop.ie</t>
        </is>
      </c>
      <c r="L290" s="38" t="inlineStr">
        <is>
          <t/>
        </is>
      </c>
      <c r="M290" s="39" t="inlineStr">
        <is>
          <t>Martha Rotter</t>
        </is>
      </c>
      <c r="N290" s="40" t="inlineStr">
        <is>
          <t>Co-Founder, Chief Executive Officer, Developer and Chief Technology Officer</t>
        </is>
      </c>
      <c r="O290" s="41" t="inlineStr">
        <is>
          <t>martha@woop.ie</t>
        </is>
      </c>
      <c r="P290" s="42" t="inlineStr">
        <is>
          <t/>
        </is>
      </c>
      <c r="Q290" s="43" t="n">
        <v>2011.0</v>
      </c>
      <c r="R290" s="114">
        <f>HYPERLINK("https://my.pitchbook.com?c=57052-00", "View company online")</f>
      </c>
    </row>
    <row r="291">
      <c r="A291" s="9" t="inlineStr">
        <is>
          <t>103623-22</t>
        </is>
      </c>
      <c r="B291" s="10" t="inlineStr">
        <is>
          <t>Wonolo</t>
        </is>
      </c>
      <c r="C291" s="11" t="inlineStr">
        <is>
          <t>94102</t>
        </is>
      </c>
      <c r="D291" s="12" t="inlineStr">
        <is>
          <t>Developer of an on-demand staffing platform. The company removes the friction for companies to find talent for on-demand hourly or daily job needs, while creating freedom through flexibility for job seekers.</t>
        </is>
      </c>
      <c r="E291" s="13" t="inlineStr">
        <is>
          <t>Human Capital Services</t>
        </is>
      </c>
      <c r="F291" s="14" t="inlineStr">
        <is>
          <t>San Francisco, CA</t>
        </is>
      </c>
      <c r="G291" s="15" t="inlineStr">
        <is>
          <t>Privately Held (backing)</t>
        </is>
      </c>
      <c r="H291" s="16" t="inlineStr">
        <is>
          <t>Venture Capital-Backed</t>
        </is>
      </c>
      <c r="I291" s="17" t="inlineStr">
        <is>
          <t>Aslanoba Capital, Brad Garlinghouse, Coca-Cola Founders, CrunchFund, David Butler, Drummond Road Capital, Eric Ries, Foundry Group, Haystack, Jeff Heitzman, Marc Bell Capital Partners, Morris Wheeler, PivotNorth Capital</t>
        </is>
      </c>
      <c r="J291" s="18" t="inlineStr">
        <is>
          <t>www.wonolo.com</t>
        </is>
      </c>
      <c r="K291" s="19" t="inlineStr">
        <is>
          <t/>
        </is>
      </c>
      <c r="L291" s="20" t="inlineStr">
        <is>
          <t>+1 (978) 317-7264</t>
        </is>
      </c>
      <c r="M291" s="21" t="inlineStr">
        <is>
          <t>Yong Kim</t>
        </is>
      </c>
      <c r="N291" s="22" t="inlineStr">
        <is>
          <t>Co-Founder, Chief Executive Officer &amp; Board Member</t>
        </is>
      </c>
      <c r="O291" s="23" t="inlineStr">
        <is>
          <t>yong.kim@wonolo.com</t>
        </is>
      </c>
      <c r="P291" s="24" t="inlineStr">
        <is>
          <t>+1 (978) 317-7264</t>
        </is>
      </c>
      <c r="Q291" s="25" t="n">
        <v>2013.0</v>
      </c>
      <c r="R291" s="113">
        <f>HYPERLINK("https://my.pitchbook.com?c=103623-22", "View company online")</f>
      </c>
    </row>
    <row r="292">
      <c r="A292" s="27" t="inlineStr">
        <is>
          <t>64578-25</t>
        </is>
      </c>
      <c r="B292" s="28" t="inlineStr">
        <is>
          <t>Wondershake</t>
        </is>
      </c>
      <c r="C292" s="29" t="inlineStr">
        <is>
          <t>94085</t>
        </is>
      </c>
      <c r="D292" s="30" t="inlineStr">
        <is>
          <t>Developer of applications for wireless devices. The engages in developing social media applications which help mobile phone users to connect with others.</t>
        </is>
      </c>
      <c r="E292" s="31" t="inlineStr">
        <is>
          <t>Application Software</t>
        </is>
      </c>
      <c r="F292" s="32" t="inlineStr">
        <is>
          <t>Sunnyvale, CA</t>
        </is>
      </c>
      <c r="G292" s="33" t="inlineStr">
        <is>
          <t>Privately Held (backing)</t>
        </is>
      </c>
      <c r="H292" s="34" t="inlineStr">
        <is>
          <t>Venture Capital-Backed</t>
        </is>
      </c>
      <c r="I292" s="35" t="inlineStr">
        <is>
          <t>CyberAgent Ventures, Digital Garage, Open Network Lab, Social Starts, SunBridge Global Ventures</t>
        </is>
      </c>
      <c r="J292" s="36" t="inlineStr">
        <is>
          <t>www.wondershake.com</t>
        </is>
      </c>
      <c r="K292" s="37" t="inlineStr">
        <is>
          <t>contact@wondershake.com</t>
        </is>
      </c>
      <c r="L292" s="38" t="inlineStr">
        <is>
          <t/>
        </is>
      </c>
      <c r="M292" s="39" t="inlineStr">
        <is>
          <t>Satoshi Suzuki</t>
        </is>
      </c>
      <c r="N292" s="40" t="inlineStr">
        <is>
          <t>Co-Founder, President &amp; Chief Executive Officer</t>
        </is>
      </c>
      <c r="O292" s="41" t="inlineStr">
        <is>
          <t>satoshi@wondershake.com</t>
        </is>
      </c>
      <c r="P292" s="42" t="inlineStr">
        <is>
          <t/>
        </is>
      </c>
      <c r="Q292" s="43" t="n">
        <v>2009.0</v>
      </c>
      <c r="R292" s="114">
        <f>HYPERLINK("https://my.pitchbook.com?c=64578-25", "View company online")</f>
      </c>
    </row>
    <row r="293">
      <c r="A293" s="9" t="inlineStr">
        <is>
          <t>61538-86</t>
        </is>
      </c>
      <c r="B293" s="10" t="inlineStr">
        <is>
          <t>Wondermall</t>
        </is>
      </c>
      <c r="C293" s="11" t="inlineStr">
        <is>
          <t>94043</t>
        </is>
      </c>
      <c r="D293" s="12" t="inlineStr">
        <is>
          <t>Provider of a mobile shopping application. The company provides a mobile application enabling users to shop online from different brand stores while providing online coupons as well as allowing users to create multi-store product wish lists.</t>
        </is>
      </c>
      <c r="E293" s="13" t="inlineStr">
        <is>
          <t>Internet Retail</t>
        </is>
      </c>
      <c r="F293" s="14" t="inlineStr">
        <is>
          <t>Mountain View, CA</t>
        </is>
      </c>
      <c r="G293" s="15" t="inlineStr">
        <is>
          <t>Privately Held (backing)</t>
        </is>
      </c>
      <c r="H293" s="16" t="inlineStr">
        <is>
          <t>Venture Capital-Backed</t>
        </is>
      </c>
      <c r="I293" s="17" t="inlineStr">
        <is>
          <t>Barry McCarthy, Commerce Ventures, Harris Barton, Individual Investor, Oren Zeev, Robert Wuttke, SGVC</t>
        </is>
      </c>
      <c r="J293" s="18" t="inlineStr">
        <is>
          <t>www.wondermall.com</t>
        </is>
      </c>
      <c r="K293" s="19" t="inlineStr">
        <is>
          <t>info@wondermall.com</t>
        </is>
      </c>
      <c r="L293" s="20" t="inlineStr">
        <is>
          <t/>
        </is>
      </c>
      <c r="M293" s="21" t="inlineStr">
        <is>
          <t>Oren Dobronsky</t>
        </is>
      </c>
      <c r="N293" s="22" t="inlineStr">
        <is>
          <t>Chief Executive Officer &amp; Co-Founder</t>
        </is>
      </c>
      <c r="O293" s="23" t="inlineStr">
        <is>
          <t>oren@ownerlistens.com</t>
        </is>
      </c>
      <c r="P293" s="24" t="inlineStr">
        <is>
          <t>+1 (650) 825-1166</t>
        </is>
      </c>
      <c r="Q293" s="25" t="n">
        <v>2012.0</v>
      </c>
      <c r="R293" s="113">
        <f>HYPERLINK("https://my.pitchbook.com?c=61538-86", "View company online")</f>
      </c>
    </row>
    <row r="294">
      <c r="A294" s="27" t="inlineStr">
        <is>
          <t>62805-97</t>
        </is>
      </c>
      <c r="B294" s="28" t="inlineStr">
        <is>
          <t>Wonderloop</t>
        </is>
      </c>
      <c r="C294" s="29" t="inlineStr">
        <is>
          <t>94043</t>
        </is>
      </c>
      <c r="D294" s="30" t="inlineStr">
        <is>
          <t>Provider of a video-profile platform. The company provides a video-profile identity platform enabling people to meet and connect within seconds of watching introductory videos.</t>
        </is>
      </c>
      <c r="E294" s="31" t="inlineStr">
        <is>
          <t>Social/Platform Software</t>
        </is>
      </c>
      <c r="F294" s="32" t="inlineStr">
        <is>
          <t>Mountain View, CA</t>
        </is>
      </c>
      <c r="G294" s="33" t="inlineStr">
        <is>
          <t>Privately Held (backing)</t>
        </is>
      </c>
      <c r="H294" s="34" t="inlineStr">
        <is>
          <t>Venture Capital-Backed</t>
        </is>
      </c>
      <c r="I294" s="35" t="inlineStr">
        <is>
          <t>Evan Luthra, Heirs Holdings, Innovasion Norge, Peter Anker, Ugland Holdings</t>
        </is>
      </c>
      <c r="J294" s="36" t="inlineStr">
        <is>
          <t>www.wonderloop.me</t>
        </is>
      </c>
      <c r="K294" s="37" t="inlineStr">
        <is>
          <t>info@wonderloop.me</t>
        </is>
      </c>
      <c r="L294" s="38" t="inlineStr">
        <is>
          <t/>
        </is>
      </c>
      <c r="M294" s="39" t="inlineStr">
        <is>
          <t>Hanna Aase</t>
        </is>
      </c>
      <c r="N294" s="40" t="inlineStr">
        <is>
          <t>Founder &amp; Chief Executive Officer</t>
        </is>
      </c>
      <c r="O294" s="41" t="inlineStr">
        <is>
          <t>hanna@wonderloop.me</t>
        </is>
      </c>
      <c r="P294" s="42" t="inlineStr">
        <is>
          <t/>
        </is>
      </c>
      <c r="Q294" s="43" t="n">
        <v>2013.0</v>
      </c>
      <c r="R294" s="114">
        <f>HYPERLINK("https://my.pitchbook.com?c=62805-97", "View company online")</f>
      </c>
    </row>
    <row r="295">
      <c r="A295" s="9" t="inlineStr">
        <is>
          <t>52939-09</t>
        </is>
      </c>
      <c r="B295" s="10" t="inlineStr">
        <is>
          <t>WonderHowTo</t>
        </is>
      </c>
      <c r="C295" s="11" t="inlineStr">
        <is>
          <t>90402</t>
        </is>
      </c>
      <c r="D295" s="12" t="inlineStr">
        <is>
          <t>Provider of search engine and directory services for how-to videos. The company aggregates community-submitted links and reviews of how-to video from across the Internet related to beauty, art, crafts, science and lifestyle.</t>
        </is>
      </c>
      <c r="E295" s="13" t="inlineStr">
        <is>
          <t>Social/Platform Software</t>
        </is>
      </c>
      <c r="F295" s="14" t="inlineStr">
        <is>
          <t>Santa Monica, CA</t>
        </is>
      </c>
      <c r="G295" s="15" t="inlineStr">
        <is>
          <t>Privately Held (backing)</t>
        </is>
      </c>
      <c r="H295" s="16" t="inlineStr">
        <is>
          <t>Venture Capital-Backed</t>
        </is>
      </c>
      <c r="I295" s="17" t="inlineStr">
        <is>
          <t>General Catalyst Partners, Individual Investor</t>
        </is>
      </c>
      <c r="J295" s="18" t="inlineStr">
        <is>
          <t>www.wonderhowto.com</t>
        </is>
      </c>
      <c r="K295" s="19" t="inlineStr">
        <is>
          <t>contact@wonderhowto.com</t>
        </is>
      </c>
      <c r="L295" s="20" t="inlineStr">
        <is>
          <t/>
        </is>
      </c>
      <c r="M295" s="21" t="inlineStr">
        <is>
          <t>Bryan Crow</t>
        </is>
      </c>
      <c r="N295" s="22" t="inlineStr">
        <is>
          <t>Chief Executive Officer</t>
        </is>
      </c>
      <c r="O295" s="23" t="inlineStr">
        <is>
          <t>bcrow@wonderhowto.com</t>
        </is>
      </c>
      <c r="P295" s="24" t="inlineStr">
        <is>
          <t/>
        </is>
      </c>
      <c r="Q295" s="25" t="n">
        <v>2008.0</v>
      </c>
      <c r="R295" s="113">
        <f>HYPERLINK("https://my.pitchbook.com?c=52939-09", "View company online")</f>
      </c>
    </row>
    <row r="296">
      <c r="A296" s="27" t="inlineStr">
        <is>
          <t>122516-56</t>
        </is>
      </c>
      <c r="B296" s="28" t="inlineStr">
        <is>
          <t>WonderDads</t>
        </is>
      </c>
      <c r="C296" s="29" t="inlineStr">
        <is>
          <t>94949</t>
        </is>
      </c>
      <c r="D296" s="30" t="inlineStr">
        <is>
          <t>Provider of dad and child guide books designed to programming, products and monthly activities. The company's guide books help to share ideas for unique activities or provide invaluable services to challenge all dads, enabling them to access the family activities as well as save their own personal ideas, notes and goals for each of their children.</t>
        </is>
      </c>
      <c r="E296" s="31" t="inlineStr">
        <is>
          <t>Social Content</t>
        </is>
      </c>
      <c r="F296" s="32" t="inlineStr">
        <is>
          <t>Novato, CA</t>
        </is>
      </c>
      <c r="G296" s="33" t="inlineStr">
        <is>
          <t>Privately Held (backing)</t>
        </is>
      </c>
      <c r="H296" s="34" t="inlineStr">
        <is>
          <t>Venture Capital-Backed</t>
        </is>
      </c>
      <c r="I296" s="35" t="inlineStr">
        <is>
          <t>Verb Ventures</t>
        </is>
      </c>
      <c r="J296" s="36" t="inlineStr">
        <is>
          <t>www.wonderdads.com</t>
        </is>
      </c>
      <c r="K296" s="37" t="inlineStr">
        <is>
          <t>info@wonderdads.com</t>
        </is>
      </c>
      <c r="L296" s="38" t="inlineStr">
        <is>
          <t>+1 (415) 888-8548</t>
        </is>
      </c>
      <c r="M296" s="39" t="inlineStr">
        <is>
          <t>Jonathan Aspatore</t>
        </is>
      </c>
      <c r="N296" s="40" t="inlineStr">
        <is>
          <t>Founder &amp; Chief Executive Officer</t>
        </is>
      </c>
      <c r="O296" s="41" t="inlineStr">
        <is>
          <t/>
        </is>
      </c>
      <c r="P296" s="42" t="inlineStr">
        <is>
          <t>+1 (415) 578-2090</t>
        </is>
      </c>
      <c r="Q296" s="43" t="n">
        <v>2012.0</v>
      </c>
      <c r="R296" s="114">
        <f>HYPERLINK("https://my.pitchbook.com?c=122516-56", "View company online")</f>
      </c>
    </row>
    <row r="297">
      <c r="A297" s="9" t="inlineStr">
        <is>
          <t>57092-41</t>
        </is>
      </c>
      <c r="B297" s="10" t="inlineStr">
        <is>
          <t>Wonder Workshop</t>
        </is>
      </c>
      <c r="C297" s="11" t="inlineStr">
        <is>
          <t>94404</t>
        </is>
      </c>
      <c r="D297" s="12" t="inlineStr">
        <is>
          <t>Developer of educational programming applications. The company provides tools that make programming accessible to children of all ages and teaches children the basics of programming.</t>
        </is>
      </c>
      <c r="E297" s="13" t="inlineStr">
        <is>
          <t>Electronics (B2C)</t>
        </is>
      </c>
      <c r="F297" s="14" t="inlineStr">
        <is>
          <t>San Mateo, CA</t>
        </is>
      </c>
      <c r="G297" s="15" t="inlineStr">
        <is>
          <t>Privately Held (backing)</t>
        </is>
      </c>
      <c r="H297" s="16" t="inlineStr">
        <is>
          <t>Venture Capital-Backed</t>
        </is>
      </c>
      <c r="I297" s="17" t="inlineStr">
        <is>
          <t>Bright Success Capital, Charles River Ventures, Dave Sobota, GV, Hemant Bhanoo, Learn Capital, Madrona Venture Group, Maven Ventures, Mikhail Seregine, Reza Hussein, Richard Dalzell, Rudy Gadre, Sinovation Ventures, Suren Markosian, TCL Venture Capital, Vijay Ravindran, Vikas Gupta, WI Harper Group</t>
        </is>
      </c>
      <c r="J297" s="18" t="inlineStr">
        <is>
          <t>www.makewonder.com</t>
        </is>
      </c>
      <c r="K297" s="19" t="inlineStr">
        <is>
          <t/>
        </is>
      </c>
      <c r="L297" s="20" t="inlineStr">
        <is>
          <t>+1 (408) 842-9632</t>
        </is>
      </c>
      <c r="M297" s="21" t="inlineStr">
        <is>
          <t>Vikas Gupta</t>
        </is>
      </c>
      <c r="N297" s="22" t="inlineStr">
        <is>
          <t>Chief Executive Officer &amp; Co-Founder</t>
        </is>
      </c>
      <c r="O297" s="23" t="inlineStr">
        <is>
          <t>vikas@makewonder.com</t>
        </is>
      </c>
      <c r="P297" s="24" t="inlineStr">
        <is>
          <t>+1 (408) 842-9632</t>
        </is>
      </c>
      <c r="Q297" s="25" t="n">
        <v>2012.0</v>
      </c>
      <c r="R297" s="113">
        <f>HYPERLINK("https://my.pitchbook.com?c=57092-41", "View company online")</f>
      </c>
    </row>
    <row r="298">
      <c r="A298" s="27" t="inlineStr">
        <is>
          <t>65614-78</t>
        </is>
      </c>
      <c r="B298" s="28" t="inlineStr">
        <is>
          <t>Wonder Technologies</t>
        </is>
      </c>
      <c r="C298" s="29" t="inlineStr">
        <is>
          <t>94010</t>
        </is>
      </c>
      <c r="D298" s="30" t="inlineStr">
        <is>
          <t>Developer of an e-gift card application. The company offers an online marketplace that allows users to discover and purchase e-gift cards from national retailers and local specialty stores.</t>
        </is>
      </c>
      <c r="E298" s="31" t="inlineStr">
        <is>
          <t>Social/Platform Software</t>
        </is>
      </c>
      <c r="F298" s="32" t="inlineStr">
        <is>
          <t>Burlingame, CA</t>
        </is>
      </c>
      <c r="G298" s="33" t="inlineStr">
        <is>
          <t>Privately Held (backing)</t>
        </is>
      </c>
      <c r="H298" s="34" t="inlineStr">
        <is>
          <t>Venture Capital-Backed</t>
        </is>
      </c>
      <c r="I298" s="35" t="inlineStr">
        <is>
          <t>Bill Glass, Bril Flint, Central Texas Angel Network, David Perry, Eran Goren, F50, Houston Angel Network, Individual Investor, Joe Canterbury, K5 Ventures, Michael Margolies, Mosaik Partners, Robin Pimentel, Rui Pereira, Tech Coast Angels, Texas Halo Fund</t>
        </is>
      </c>
      <c r="J298" s="36" t="inlineStr">
        <is>
          <t>www.gowonder.com</t>
        </is>
      </c>
      <c r="K298" s="37" t="inlineStr">
        <is>
          <t>hello@gowonder.com</t>
        </is>
      </c>
      <c r="L298" s="38" t="inlineStr">
        <is>
          <t/>
        </is>
      </c>
      <c r="M298" s="39" t="inlineStr">
        <is>
          <t>Gerry Goldstein</t>
        </is>
      </c>
      <c r="N298" s="40" t="inlineStr">
        <is>
          <t>Co-Founder &amp; Chief Executive Officer</t>
        </is>
      </c>
      <c r="O298" s="41" t="inlineStr">
        <is>
          <t>gerry@gowonder.com</t>
        </is>
      </c>
      <c r="P298" s="42" t="inlineStr">
        <is>
          <t/>
        </is>
      </c>
      <c r="Q298" s="43" t="n">
        <v>2012.0</v>
      </c>
      <c r="R298" s="114">
        <f>HYPERLINK("https://my.pitchbook.com?c=65614-78", "View company online")</f>
      </c>
    </row>
    <row r="299">
      <c r="A299" s="9" t="inlineStr">
        <is>
          <t>163155-43</t>
        </is>
      </c>
      <c r="B299" s="10" t="inlineStr">
        <is>
          <t>Wonder (Gaming Company)</t>
        </is>
      </c>
      <c r="C299" s="11" t="inlineStr">
        <is>
          <t>90291</t>
        </is>
      </c>
      <c r="D299" s="12" t="inlineStr">
        <is>
          <t>Manufacturer of smartphones for gamers. The company develops mobile telephonic devices with features that can power a mobile virtual reality headset.</t>
        </is>
      </c>
      <c r="E299" s="13" t="inlineStr">
        <is>
          <t>Electronics (B2C)</t>
        </is>
      </c>
      <c r="F299" s="14" t="inlineStr">
        <is>
          <t>Los Angeles, CA</t>
        </is>
      </c>
      <c r="G299" s="15" t="inlineStr">
        <is>
          <t>Privately Held (backing)</t>
        </is>
      </c>
      <c r="H299" s="16" t="inlineStr">
        <is>
          <t>Venture Capital-Backed</t>
        </is>
      </c>
      <c r="I299" s="17" t="inlineStr">
        <is>
          <t>8VC, Allen Debevoise, Arab Angel, Arian Foster, Dana Brunetti, David Stern, Greg Silverman, Greycroft Partners, Hayao Nakayama, John Pleasants, Kevin Spacey, Nolan Bushnell, Owen Van Natta, Pieter Knook, Third Wave Digital, Virtual Reality Investments</t>
        </is>
      </c>
      <c r="J299" s="18" t="inlineStr">
        <is>
          <t>www.wonder.com</t>
        </is>
      </c>
      <c r="K299" s="19" t="inlineStr">
        <is>
          <t/>
        </is>
      </c>
      <c r="L299" s="20" t="inlineStr">
        <is>
          <t/>
        </is>
      </c>
      <c r="M299" s="21" t="inlineStr">
        <is>
          <t>Andy Kleinman</t>
        </is>
      </c>
      <c r="N299" s="22" t="inlineStr">
        <is>
          <t>Co-Founder &amp; Chief Executive Officer</t>
        </is>
      </c>
      <c r="O299" s="23" t="inlineStr">
        <is>
          <t>andy@wonder.com</t>
        </is>
      </c>
      <c r="P299" s="24" t="inlineStr">
        <is>
          <t/>
        </is>
      </c>
      <c r="Q299" s="25" t="n">
        <v>2016.0</v>
      </c>
      <c r="R299" s="113">
        <f>HYPERLINK("https://my.pitchbook.com?c=163155-43", "View company online")</f>
      </c>
    </row>
    <row r="300">
      <c r="A300" s="27" t="inlineStr">
        <is>
          <t>152862-67</t>
        </is>
      </c>
      <c r="B300" s="28" t="inlineStr">
        <is>
          <t>Women.com</t>
        </is>
      </c>
      <c r="C300" s="29" t="inlineStr">
        <is>
          <t/>
        </is>
      </c>
      <c r="D300" s="30" t="inlineStr">
        <is>
          <t>Provider of an online interactive publishing platform. The company operates an online discussion forum for women that enables them to communicate with each other, share their experiences and knowledge and create quizzes.</t>
        </is>
      </c>
      <c r="E300" s="31" t="inlineStr">
        <is>
          <t>Social/Platform Software</t>
        </is>
      </c>
      <c r="F300" s="32" t="inlineStr">
        <is>
          <t>Los Angeles, CA</t>
        </is>
      </c>
      <c r="G300" s="33" t="inlineStr">
        <is>
          <t>Privately Held (backing)</t>
        </is>
      </c>
      <c r="H300" s="34" t="inlineStr">
        <is>
          <t>Venture Capital-Backed</t>
        </is>
      </c>
      <c r="I300" s="35" t="inlineStr">
        <is>
          <t>Advancit Capital, Brian Armstrong, ChinaRock Capital Management, Christian Sullivan, Female Founders Fund, Fenox Venture Capital, Greylock Partners, Hampus Jakobsson, J.R. Johnson, Lowercase Capital, Middle Bridge Partners, Pritzker Group Venture Capital, Rakesh Agrawal, Tencent, William Morris Endeavor Entertainment, Y Combinator, Yun-Fang Juan</t>
        </is>
      </c>
      <c r="J300" s="36" t="inlineStr">
        <is>
          <t>www.women.com</t>
        </is>
      </c>
      <c r="K300" s="37" t="inlineStr">
        <is>
          <t>feedback@women.com</t>
        </is>
      </c>
      <c r="L300" s="38" t="inlineStr">
        <is>
          <t/>
        </is>
      </c>
      <c r="M300" s="39" t="inlineStr">
        <is>
          <t>Susan Johnson</t>
        </is>
      </c>
      <c r="N300" s="40" t="inlineStr">
        <is>
          <t>Chief Executive Officer &amp; Co-Founder</t>
        </is>
      </c>
      <c r="O300" s="41" t="inlineStr">
        <is>
          <t>susan@women.com</t>
        </is>
      </c>
      <c r="P300" s="42" t="inlineStr">
        <is>
          <t/>
        </is>
      </c>
      <c r="Q300" s="43" t="n">
        <v>2012.0</v>
      </c>
      <c r="R300" s="114">
        <f>HYPERLINK("https://my.pitchbook.com?c=152862-67", "View company online")</f>
      </c>
    </row>
    <row r="301">
      <c r="A301" s="9" t="inlineStr">
        <is>
          <t>144298-18</t>
        </is>
      </c>
      <c r="B301" s="10" t="inlineStr">
        <is>
          <t>Wizr</t>
        </is>
      </c>
      <c r="C301" s="11" t="inlineStr">
        <is>
          <t>90401</t>
        </is>
      </c>
      <c r="D301" s="12" t="inlineStr">
        <is>
          <t>Developer of a computer vision platform designed to offer video analytics. The company's computer vision platform offers identification, community and alerting technologies, enabling consumers to access video security at home and office environment.</t>
        </is>
      </c>
      <c r="E301" s="13" t="inlineStr">
        <is>
          <t>Network Management Software</t>
        </is>
      </c>
      <c r="F301" s="14" t="inlineStr">
        <is>
          <t>Santa Monica, CA</t>
        </is>
      </c>
      <c r="G301" s="15" t="inlineStr">
        <is>
          <t>Privately Held (backing)</t>
        </is>
      </c>
      <c r="H301" s="16" t="inlineStr">
        <is>
          <t>Venture Capital-Backed</t>
        </is>
      </c>
      <c r="I301" s="17" t="inlineStr">
        <is>
          <t>NewDo Venture, Zuma Ventures</t>
        </is>
      </c>
      <c r="J301" s="18" t="inlineStr">
        <is>
          <t>www.wizr.com</t>
        </is>
      </c>
      <c r="K301" s="19" t="inlineStr">
        <is>
          <t/>
        </is>
      </c>
      <c r="L301" s="20" t="inlineStr">
        <is>
          <t/>
        </is>
      </c>
      <c r="M301" s="21" t="inlineStr">
        <is>
          <t>Tony Jiang</t>
        </is>
      </c>
      <c r="N301" s="22" t="inlineStr">
        <is>
          <t>Co-Founder</t>
        </is>
      </c>
      <c r="O301" s="23" t="inlineStr">
        <is>
          <t>tony@wizr.com</t>
        </is>
      </c>
      <c r="P301" s="24" t="inlineStr">
        <is>
          <t>+1 (213) 610-3687</t>
        </is>
      </c>
      <c r="Q301" s="25" t="n">
        <v>2015.0</v>
      </c>
      <c r="R301" s="113">
        <f>HYPERLINK("https://my.pitchbook.com?c=144298-18", "View company online")</f>
      </c>
    </row>
    <row r="302">
      <c r="A302" s="27" t="inlineStr">
        <is>
          <t>163084-69</t>
        </is>
      </c>
      <c r="B302" s="28" t="inlineStr">
        <is>
          <t>Wizely Finance</t>
        </is>
      </c>
      <c r="C302" s="29" t="inlineStr">
        <is>
          <t>90015</t>
        </is>
      </c>
      <c r="D302" s="30" t="inlineStr">
        <is>
          <t>Provides a mobile application that aids users in personal financial goals. The company provides a personal plan for each individual client that maps out potential financial plans and options.</t>
        </is>
      </c>
      <c r="E302" s="31" t="inlineStr">
        <is>
          <t>Financial Software</t>
        </is>
      </c>
      <c r="F302" s="32" t="inlineStr">
        <is>
          <t>Los Angeles, CA</t>
        </is>
      </c>
      <c r="G302" s="33" t="inlineStr">
        <is>
          <t>Privately Held (backing)</t>
        </is>
      </c>
      <c r="H302" s="34" t="inlineStr">
        <is>
          <t>Venture Capital-Backed</t>
        </is>
      </c>
      <c r="I302" s="35" t="inlineStr">
        <is>
          <t>Mucker Capital</t>
        </is>
      </c>
      <c r="J302" s="36" t="inlineStr">
        <is>
          <t>wizelyfinance.com</t>
        </is>
      </c>
      <c r="K302" s="37" t="inlineStr">
        <is>
          <t>hi@wizelyfinance.com</t>
        </is>
      </c>
      <c r="L302" s="38" t="inlineStr">
        <is>
          <t>+1 (855) 683-7439</t>
        </is>
      </c>
      <c r="M302" s="39" t="inlineStr">
        <is>
          <t>Bob Curry</t>
        </is>
      </c>
      <c r="N302" s="40" t="inlineStr">
        <is>
          <t>Chief Financial Officer &amp; Director</t>
        </is>
      </c>
      <c r="O302" s="41" t="inlineStr">
        <is>
          <t>bob@wizelyfinance.com</t>
        </is>
      </c>
      <c r="P302" s="42" t="inlineStr">
        <is>
          <t>+1 (855) 683-7439</t>
        </is>
      </c>
      <c r="Q302" s="43" t="n">
        <v>2013.0</v>
      </c>
      <c r="R302" s="114">
        <f>HYPERLINK("https://my.pitchbook.com?c=163084-69", "View company online")</f>
      </c>
    </row>
    <row r="303">
      <c r="A303" s="9" t="inlineStr">
        <is>
          <t>61616-53</t>
        </is>
      </c>
      <c r="B303" s="10" t="inlineStr">
        <is>
          <t>Wizeline</t>
        </is>
      </c>
      <c r="C303" s="11" t="inlineStr">
        <is>
          <t>94104</t>
        </is>
      </c>
      <c r="D303" s="12" t="inlineStr">
        <is>
          <t>Operator of an analytics company for B2B applications. The company helps companies to build cloud based products and increase their product engagement. It helps software companies determine which features in a particular product are most important and which they should invest in next.</t>
        </is>
      </c>
      <c r="E303" s="13" t="inlineStr">
        <is>
          <t>Other Commercial Services</t>
        </is>
      </c>
      <c r="F303" s="14" t="inlineStr">
        <is>
          <t>San Francisco, CA</t>
        </is>
      </c>
      <c r="G303" s="15" t="inlineStr">
        <is>
          <t>Privately Held (backing)</t>
        </is>
      </c>
      <c r="H303" s="16" t="inlineStr">
        <is>
          <t>Venture Capital-Backed</t>
        </is>
      </c>
      <c r="I303" s="17" t="inlineStr">
        <is>
          <t>A.Capital Ventures, Bowery Capital, Lowercase Capital, Sierra Ventures, SV Angel, XG Ventures</t>
        </is>
      </c>
      <c r="J303" s="18" t="inlineStr">
        <is>
          <t>www.wizeline.com</t>
        </is>
      </c>
      <c r="K303" s="19" t="inlineStr">
        <is>
          <t>contact@wizeline.com</t>
        </is>
      </c>
      <c r="L303" s="20" t="inlineStr">
        <is>
          <t>+1 (415) 373-6365</t>
        </is>
      </c>
      <c r="M303" s="21" t="inlineStr">
        <is>
          <t>Bismarck Lepe</t>
        </is>
      </c>
      <c r="N303" s="22" t="inlineStr">
        <is>
          <t>Co-Founder &amp; Chief Executive Officer</t>
        </is>
      </c>
      <c r="O303" s="23" t="inlineStr">
        <is>
          <t>bismarck@wizeline.com</t>
        </is>
      </c>
      <c r="P303" s="24" t="inlineStr">
        <is>
          <t>+1 (415) 373-6365</t>
        </is>
      </c>
      <c r="Q303" s="25" t="n">
        <v>2013.0</v>
      </c>
      <c r="R303" s="113">
        <f>HYPERLINK("https://my.pitchbook.com?c=61616-53", "View company online")</f>
      </c>
    </row>
    <row r="304">
      <c r="A304" s="27" t="inlineStr">
        <is>
          <t>64846-00</t>
        </is>
      </c>
      <c r="B304" s="28" t="inlineStr">
        <is>
          <t>Wizdee</t>
        </is>
      </c>
      <c r="C304" s="29" t="inlineStr">
        <is>
          <t>3030-199</t>
        </is>
      </c>
      <c r="D304" s="30" t="inlineStr">
        <is>
          <t>Provider of natural language business intelligence technology designed to create powerful and well prepared workforces. The company's natural language business intelligence technology helps to explore data from multiple sources by using plain language, enabling organizations to analyze their business data and get instant visual answers.</t>
        </is>
      </c>
      <c r="E304" s="31" t="inlineStr">
        <is>
          <t>Database Software</t>
        </is>
      </c>
      <c r="F304" s="32" t="inlineStr">
        <is>
          <t>Coimbra, Portugal</t>
        </is>
      </c>
      <c r="G304" s="33" t="inlineStr">
        <is>
          <t>Privately Held (backing)</t>
        </is>
      </c>
      <c r="H304" s="34" t="inlineStr">
        <is>
          <t>Venture Capital-Backed</t>
        </is>
      </c>
      <c r="I304" s="35" t="inlineStr">
        <is>
          <t>Beta-i, IPN Incubator, Novabase, Portugal Capital Ventures, Seedcamp</t>
        </is>
      </c>
      <c r="J304" s="36" t="inlineStr">
        <is>
          <t>www.wizdee.com</t>
        </is>
      </c>
      <c r="K304" s="37" t="inlineStr">
        <is>
          <t>info@wizdee.com</t>
        </is>
      </c>
      <c r="L304" s="38" t="inlineStr">
        <is>
          <t>+351 23 970 0324</t>
        </is>
      </c>
      <c r="M304" s="39" t="inlineStr">
        <is>
          <t>Paulo Gomes</t>
        </is>
      </c>
      <c r="N304" s="40" t="inlineStr">
        <is>
          <t>Co-Founder &amp; Chief Executive Officer</t>
        </is>
      </c>
      <c r="O304" s="41" t="inlineStr">
        <is>
          <t>pgomes@wizdee.com</t>
        </is>
      </c>
      <c r="P304" s="42" t="inlineStr">
        <is>
          <t>+351 23 970 0324</t>
        </is>
      </c>
      <c r="Q304" s="43" t="n">
        <v>2009.0</v>
      </c>
      <c r="R304" s="114">
        <f>HYPERLINK("https://my.pitchbook.com?c=64846-00", "View company online")</f>
      </c>
    </row>
    <row r="305">
      <c r="A305" s="9" t="inlineStr">
        <is>
          <t>117068-59</t>
        </is>
      </c>
      <c r="B305" s="10" t="inlineStr">
        <is>
          <t>Within (Virtual reality)</t>
        </is>
      </c>
      <c r="C305" s="11" t="inlineStr">
        <is>
          <t>90038</t>
        </is>
      </c>
      <c r="D305" s="12" t="inlineStr">
        <is>
          <t>Developer and provider of virtual reality (VR) content and technology platform. The company uses custom-built tools and a VR application to create and distribute story-driven experiences in virtual reality. It also operates a production house, which produces all of its VR films, as well as VR experiences for corporate and non-profit clients.</t>
        </is>
      </c>
      <c r="E305" s="13" t="inlineStr">
        <is>
          <t>Movies, Music and Entertainment</t>
        </is>
      </c>
      <c r="F305" s="14" t="inlineStr">
        <is>
          <t>Los Angeles, CA</t>
        </is>
      </c>
      <c r="G305" s="15" t="inlineStr">
        <is>
          <t>Privately Held (backing)</t>
        </is>
      </c>
      <c r="H305" s="16" t="inlineStr">
        <is>
          <t>Venture Capital-Backed</t>
        </is>
      </c>
      <c r="I305" s="17" t="inlineStr">
        <is>
          <t>21st Century Fox, Andreessen Horowitz, Annapurna Pictures, Freelands Ventures, Gordon Rubenstein, Legendary Entertainment, Live Nation Entertainment, Marker, Raine Ventures, Steve Chen, Tribeca Enterprises, VICE Media, William Morris Endeavor Entertainment, WME Venture Partners</t>
        </is>
      </c>
      <c r="J305" s="18" t="inlineStr">
        <is>
          <t>www.with.in</t>
        </is>
      </c>
      <c r="K305" s="19" t="inlineStr">
        <is>
          <t>hello@with.in</t>
        </is>
      </c>
      <c r="L305" s="20" t="inlineStr">
        <is>
          <t>+1 (323) 817-3300</t>
        </is>
      </c>
      <c r="M305" s="21" t="inlineStr">
        <is>
          <t>Drew Larner</t>
        </is>
      </c>
      <c r="N305" s="22" t="inlineStr">
        <is>
          <t>Chief Operating Officer</t>
        </is>
      </c>
      <c r="O305" s="23" t="inlineStr">
        <is>
          <t>drew@vrse.com</t>
        </is>
      </c>
      <c r="P305" s="24" t="inlineStr">
        <is>
          <t>+1 (323) 817-3300</t>
        </is>
      </c>
      <c r="Q305" s="25" t="n">
        <v>2014.0</v>
      </c>
      <c r="R305" s="113">
        <f>HYPERLINK("https://my.pitchbook.com?c=117068-59", "View company online")</f>
      </c>
    </row>
    <row r="306">
      <c r="A306" s="27" t="inlineStr">
        <is>
          <t>54930-16</t>
        </is>
      </c>
      <c r="B306" s="28" t="inlineStr">
        <is>
          <t>WiSTONE Wireless Entertainment</t>
        </is>
      </c>
      <c r="C306" s="29" t="inlineStr">
        <is>
          <t>100102</t>
        </is>
      </c>
      <c r="D306" s="30" t="inlineStr">
        <is>
          <t>Provider of wireless entertainment software. The company develops online and mobile phone games.</t>
        </is>
      </c>
      <c r="E306" s="31" t="inlineStr">
        <is>
          <t>Entertainment Software</t>
        </is>
      </c>
      <c r="F306" s="32" t="inlineStr">
        <is>
          <t>Beijing, China</t>
        </is>
      </c>
      <c r="G306" s="33" t="inlineStr">
        <is>
          <t>Privately Held (backing)</t>
        </is>
      </c>
      <c r="H306" s="34" t="inlineStr">
        <is>
          <t>Venture Capital-Backed</t>
        </is>
      </c>
      <c r="I306" s="35" t="inlineStr">
        <is>
          <t>Chengwei Capital, IDG Capital, Trustbridge Partners</t>
        </is>
      </c>
      <c r="J306" s="36" t="inlineStr">
        <is>
          <t>www.wistone.com</t>
        </is>
      </c>
      <c r="K306" s="37" t="inlineStr">
        <is>
          <t>info@wistone.com</t>
        </is>
      </c>
      <c r="L306" s="38" t="inlineStr">
        <is>
          <t>+86 (0)10 8454 2845</t>
        </is>
      </c>
      <c r="M306" s="39" t="inlineStr">
        <is>
          <t>Jing Nie</t>
        </is>
      </c>
      <c r="N306" s="40" t="inlineStr">
        <is>
          <t>Chief Operating Officer</t>
        </is>
      </c>
      <c r="O306" s="41" t="inlineStr">
        <is>
          <t>jing.nie@wistone.com</t>
        </is>
      </c>
      <c r="P306" s="42" t="inlineStr">
        <is>
          <t>+86 (0)10 8454 2845</t>
        </is>
      </c>
      <c r="Q306" s="43" t="n">
        <v>2006.0</v>
      </c>
      <c r="R306" s="114">
        <f>HYPERLINK("https://my.pitchbook.com?c=54930-16", "View company online")</f>
      </c>
    </row>
    <row r="307">
      <c r="A307" s="9" t="inlineStr">
        <is>
          <t>137600-56</t>
        </is>
      </c>
      <c r="B307" s="10" t="inlineStr">
        <is>
          <t>WiSilica</t>
        </is>
      </c>
      <c r="C307" s="11" t="inlineStr">
        <is>
          <t>92656</t>
        </is>
      </c>
      <c r="D307" s="12" t="inlineStr">
        <is>
          <t>Provider of an Internet of Things (IoT) platform helps to connect objects, locations and people. The company provides an IoT platform that enables devices to connect to the IoT by using Bluetooth Low Energy (BLE) protocols which helps to connect objects, location and people to create smart environments that have predictive intelligence. It also helps customers to connect energy, public infrastructure and healthcare systems with intelligent devices managed by mobile applications and the Cloud.</t>
        </is>
      </c>
      <c r="E307" s="13" t="inlineStr">
        <is>
          <t>Electronics (B2C)</t>
        </is>
      </c>
      <c r="F307" s="14" t="inlineStr">
        <is>
          <t>Aliso Viejo, CA</t>
        </is>
      </c>
      <c r="G307" s="15" t="inlineStr">
        <is>
          <t>Privately Held (backing)</t>
        </is>
      </c>
      <c r="H307" s="16" t="inlineStr">
        <is>
          <t>Venture Capital-Backed</t>
        </is>
      </c>
      <c r="I307" s="17" t="inlineStr">
        <is>
          <t>Anchor Asia Management, Aurotek Corporation/, FirstFloor Capital</t>
        </is>
      </c>
      <c r="J307" s="18" t="inlineStr">
        <is>
          <t>wisilica.com</t>
        </is>
      </c>
      <c r="K307" s="19" t="inlineStr">
        <is>
          <t>info@wisilica.com</t>
        </is>
      </c>
      <c r="L307" s="20" t="inlineStr">
        <is>
          <t>+1 (949) 397-9330</t>
        </is>
      </c>
      <c r="M307" s="21" t="inlineStr">
        <is>
          <t>Suresh Singamsetty</t>
        </is>
      </c>
      <c r="N307" s="22" t="inlineStr">
        <is>
          <t>Co-Founder, Board of Director and Chief Executive Officer</t>
        </is>
      </c>
      <c r="O307" s="23" t="inlineStr">
        <is>
          <t>ssingamsetty@wisilica.com</t>
        </is>
      </c>
      <c r="P307" s="24" t="inlineStr">
        <is>
          <t>+1 (949) 397-9330</t>
        </is>
      </c>
      <c r="Q307" s="25" t="n">
        <v>2013.0</v>
      </c>
      <c r="R307" s="113">
        <f>HYPERLINK("https://my.pitchbook.com?c=137600-56", "View company online")</f>
      </c>
    </row>
    <row r="308">
      <c r="A308" s="27" t="inlineStr">
        <is>
          <t>108889-57</t>
        </is>
      </c>
      <c r="B308" s="28" t="inlineStr">
        <is>
          <t>WishPop</t>
        </is>
      </c>
      <c r="C308" s="29" t="inlineStr">
        <is>
          <t>94118</t>
        </is>
      </c>
      <c r="D308" s="30" t="inlineStr">
        <is>
          <t>Provider of a mobile application designed to help children, parents, and other family members better manage gift lists and thank you notes. The company's mobile application provides kids with a place to create gift wish lists and thank you cards and helps grownups know what to buy for children's special events.</t>
        </is>
      </c>
      <c r="E308" s="31" t="inlineStr">
        <is>
          <t>Application Software</t>
        </is>
      </c>
      <c r="F308" s="32" t="inlineStr">
        <is>
          <t>San Francisco, CA</t>
        </is>
      </c>
      <c r="G308" s="33" t="inlineStr">
        <is>
          <t>Privately Held (backing)</t>
        </is>
      </c>
      <c r="H308" s="34" t="inlineStr">
        <is>
          <t>Venture Capital-Backed</t>
        </is>
      </c>
      <c r="I308" s="35" t="inlineStr">
        <is>
          <t>Inara Ventures</t>
        </is>
      </c>
      <c r="J308" s="36" t="inlineStr">
        <is>
          <t>www.wishpop.com</t>
        </is>
      </c>
      <c r="K308" s="37" t="inlineStr">
        <is>
          <t>hello@wishpop.com</t>
        </is>
      </c>
      <c r="L308" s="38" t="inlineStr">
        <is>
          <t>+1 (415) 967-3749</t>
        </is>
      </c>
      <c r="M308" s="39" t="inlineStr">
        <is>
          <t/>
        </is>
      </c>
      <c r="N308" s="40" t="inlineStr">
        <is>
          <t/>
        </is>
      </c>
      <c r="O308" s="41" t="inlineStr">
        <is>
          <t/>
        </is>
      </c>
      <c r="P308" s="42" t="inlineStr">
        <is>
          <t/>
        </is>
      </c>
      <c r="Q308" s="43" t="n">
        <v>2012.0</v>
      </c>
      <c r="R308" s="114">
        <f>HYPERLINK("https://my.pitchbook.com?c=108889-57", "View company online")</f>
      </c>
    </row>
    <row r="309">
      <c r="A309" s="9" t="inlineStr">
        <is>
          <t>58776-13</t>
        </is>
      </c>
      <c r="B309" s="10" t="inlineStr">
        <is>
          <t>Wishi</t>
        </is>
      </c>
      <c r="C309" s="11" t="inlineStr">
        <is>
          <t>94113</t>
        </is>
      </c>
      <c r="D309" s="12" t="inlineStr">
        <is>
          <t>Operator of an online community of stylists designed to give people confidence of professional styling. The company's online platform of stylists allows users to chat and share photos of their wardrobe and receive suggestions for new styles from stylists, while also receiving recommendations for new purchases, enabling users to get a professional guidance on fashion.</t>
        </is>
      </c>
      <c r="E309" s="13" t="inlineStr">
        <is>
          <t>Social/Platform Software</t>
        </is>
      </c>
      <c r="F309" s="14" t="inlineStr">
        <is>
          <t>San Francisco, CA</t>
        </is>
      </c>
      <c r="G309" s="15" t="inlineStr">
        <is>
          <t>Privately Held (backing)</t>
        </is>
      </c>
      <c r="H309" s="16" t="inlineStr">
        <is>
          <t>Venture Capital-Backed</t>
        </is>
      </c>
      <c r="I309" s="17" t="inlineStr">
        <is>
          <t>Carmen Busquets, Jerusalem Venture Partners, Pembroke Venture Capital Trust, Runway Incubator, Wekix</t>
        </is>
      </c>
      <c r="J309" s="18" t="inlineStr">
        <is>
          <t>www.wishi.me</t>
        </is>
      </c>
      <c r="K309" s="19" t="inlineStr">
        <is>
          <t>hello@wishi.me</t>
        </is>
      </c>
      <c r="L309" s="20" t="inlineStr">
        <is>
          <t/>
        </is>
      </c>
      <c r="M309" s="21" t="inlineStr">
        <is>
          <t>Hila Angel</t>
        </is>
      </c>
      <c r="N309" s="22" t="inlineStr">
        <is>
          <t>Co-Founder</t>
        </is>
      </c>
      <c r="O309" s="23" t="inlineStr">
        <is>
          <t>hila@wishi.me</t>
        </is>
      </c>
      <c r="P309" s="24" t="inlineStr">
        <is>
          <t/>
        </is>
      </c>
      <c r="Q309" s="25" t="n">
        <v>2010.0</v>
      </c>
      <c r="R309" s="113">
        <f>HYPERLINK("https://my.pitchbook.com?c=58776-13", "View company online")</f>
      </c>
    </row>
    <row r="310">
      <c r="A310" s="27" t="inlineStr">
        <is>
          <t>163953-64</t>
        </is>
      </c>
      <c r="B310" s="28" t="inlineStr">
        <is>
          <t>Wishbone (Compare Anything)</t>
        </is>
      </c>
      <c r="C310" s="29" t="inlineStr">
        <is>
          <t>90401</t>
        </is>
      </c>
      <c r="D310" s="30" t="inlineStr">
        <is>
          <t>Provider of an application for comparing social contents. The company enables its users to compare news related to humor, fashion, celebrities, sports and music.</t>
        </is>
      </c>
      <c r="E310" s="31" t="inlineStr">
        <is>
          <t>Social/Platform Software</t>
        </is>
      </c>
      <c r="F310" s="32" t="inlineStr">
        <is>
          <t>Santa Monica, CA</t>
        </is>
      </c>
      <c r="G310" s="33" t="inlineStr">
        <is>
          <t>Privately Held (backing)</t>
        </is>
      </c>
      <c r="H310" s="34" t="inlineStr">
        <is>
          <t>Venture Capital-Backed</t>
        </is>
      </c>
      <c r="I310" s="35" t="inlineStr">
        <is>
          <t>Science</t>
        </is>
      </c>
      <c r="J310" s="36" t="inlineStr">
        <is>
          <t>wishbone.io</t>
        </is>
      </c>
      <c r="K310" s="37" t="inlineStr">
        <is>
          <t>info@getwishboneapp.cpm</t>
        </is>
      </c>
      <c r="L310" s="38" t="inlineStr">
        <is>
          <t/>
        </is>
      </c>
      <c r="M310" s="39" t="inlineStr">
        <is>
          <t>Adam Huie</t>
        </is>
      </c>
      <c r="N310" s="40" t="inlineStr">
        <is>
          <t>General Manager</t>
        </is>
      </c>
      <c r="O310" s="41" t="inlineStr">
        <is>
          <t>adam@wishbone.io</t>
        </is>
      </c>
      <c r="P310" s="42" t="inlineStr">
        <is>
          <t/>
        </is>
      </c>
      <c r="Q310" s="43" t="inlineStr">
        <is>
          <t/>
        </is>
      </c>
      <c r="R310" s="114">
        <f>HYPERLINK("https://my.pitchbook.com?c=163953-64", "View company online")</f>
      </c>
    </row>
    <row r="311">
      <c r="A311" s="9" t="inlineStr">
        <is>
          <t>53780-77</t>
        </is>
      </c>
      <c r="B311" s="10" t="inlineStr">
        <is>
          <t>Wish</t>
        </is>
      </c>
      <c r="C311" s="11" t="inlineStr">
        <is>
          <t>94104</t>
        </is>
      </c>
      <c r="D311" s="12" t="inlineStr">
        <is>
          <t>Provider of a mobile e-commerce platform intended to sell items directly from the manufacturer. The company's e-commerce platform offers digital shopping by leveraging a global supply chain of direct suppliers and avoiding retail overhead costs. It leverages big data principles to provide personalized browsing services to individual users directly from their smartphones.</t>
        </is>
      </c>
      <c r="E311" s="13" t="inlineStr">
        <is>
          <t>Social/Platform Software</t>
        </is>
      </c>
      <c r="F311" s="14" t="inlineStr">
        <is>
          <t>San Francisco, CA</t>
        </is>
      </c>
      <c r="G311" s="15" t="inlineStr">
        <is>
          <t>Privately Held (backing)</t>
        </is>
      </c>
      <c r="H311" s="16" t="inlineStr">
        <is>
          <t>Venture Capital-Backed</t>
        </is>
      </c>
      <c r="I311" s="17" t="inlineStr">
        <is>
          <t>Acequia Capital, AFSquare, Alpha Venture Partners, AME Cloud Ventures, Brian Koo, Charles River Ventures, Cherubic Ventures, China Everbright, Danhua Capital, Digital Garage, DST Global, Elad Gil, Felicis Ventures, FJ Labs, Formation 8, Founders Fund, Fritz Lanman, GGV Capital, Gil Elbaz, Hank Vigil, IDG Capital, IT-Farm Corporation, Jared Leto, JD.com, Keith Rabois, Legend Capital, Michael Stoppelman, Morado Venture Partners, Naval Ravikant, Nils Johnson, Nima Capital, Paige Craig, Paul Bricault, Raptor Group, Raymond Tonsing, Sizhao Yang, Steve Chen, SV Angel, Temasek Holdings, TenOneTen Ventures, Third Point Ventures, Transmedia Capital, Western Technology Investment, William Tai, XG Ventures</t>
        </is>
      </c>
      <c r="J311" s="18" t="inlineStr">
        <is>
          <t>www.wish.com</t>
        </is>
      </c>
      <c r="K311" s="19" t="inlineStr">
        <is>
          <t>info@wish.com</t>
        </is>
      </c>
      <c r="L311" s="20" t="inlineStr">
        <is>
          <t/>
        </is>
      </c>
      <c r="M311" s="21" t="inlineStr">
        <is>
          <t>Thomas Chuang</t>
        </is>
      </c>
      <c r="N311" s="22" t="inlineStr">
        <is>
          <t>Head of Finance</t>
        </is>
      </c>
      <c r="O311" s="23" t="inlineStr">
        <is>
          <t>thomas@contextlogic.com</t>
        </is>
      </c>
      <c r="P311" s="24" t="inlineStr">
        <is>
          <t/>
        </is>
      </c>
      <c r="Q311" s="25" t="n">
        <v>2010.0</v>
      </c>
      <c r="R311" s="113">
        <f>HYPERLINK("https://my.pitchbook.com?c=53780-77", "View company online")</f>
      </c>
    </row>
    <row r="312">
      <c r="A312" s="27" t="inlineStr">
        <is>
          <t>55377-73</t>
        </is>
      </c>
      <c r="B312" s="28" t="inlineStr">
        <is>
          <t>WiserCare</t>
        </is>
      </c>
      <c r="C312" s="29" t="inlineStr">
        <is>
          <t>90024</t>
        </is>
      </c>
      <c r="D312" s="30" t="inlineStr">
        <is>
          <t>Provider of a healthcare decision making platform. The company provides personalized reports that include evidence based treatment options, medical records, personal values, preferences regarding patients treatment options and details to patients about the success rates of each treatment and its associated side effects.</t>
        </is>
      </c>
      <c r="E312" s="31" t="inlineStr">
        <is>
          <t>Social/Platform Software</t>
        </is>
      </c>
      <c r="F312" s="32" t="inlineStr">
        <is>
          <t>Los Angeles, CA</t>
        </is>
      </c>
      <c r="G312" s="33" t="inlineStr">
        <is>
          <t>Privately Held (backing)</t>
        </is>
      </c>
      <c r="H312" s="34" t="inlineStr">
        <is>
          <t>Venture Capital-Backed</t>
        </is>
      </c>
      <c r="I312" s="35" t="inlineStr">
        <is>
          <t>Abundant Ventures, Arthur Bilger, Christopher Ahearn, Dmitri Mehlhorn, HX360, Inevitable Ventures, Jeffrey McCormick, Mayo Clinic, Mayo Clinic Foundation, Okapi Venture Capital, Oxeon Partners, Peter Liu, Pritzker Group Venture Capital, Rajit Malhotra, Ted Meisel, Todd Daum, Vidinovo</t>
        </is>
      </c>
      <c r="J312" s="36" t="inlineStr">
        <is>
          <t>www.wisercare.com</t>
        </is>
      </c>
      <c r="K312" s="37" t="inlineStr">
        <is>
          <t>info@wisercare.com</t>
        </is>
      </c>
      <c r="L312" s="38" t="inlineStr">
        <is>
          <t>+1 (310) 957-2077</t>
        </is>
      </c>
      <c r="M312" s="39" t="inlineStr">
        <is>
          <t>Christopher Saigal</t>
        </is>
      </c>
      <c r="N312" s="40" t="inlineStr">
        <is>
          <t>Co-Founder and Board Member</t>
        </is>
      </c>
      <c r="O312" s="41" t="inlineStr">
        <is>
          <t>chris.saigal@wisercare.com</t>
        </is>
      </c>
      <c r="P312" s="42" t="inlineStr">
        <is>
          <t>+1 (310) 957-2077</t>
        </is>
      </c>
      <c r="Q312" s="43" t="n">
        <v>2012.0</v>
      </c>
      <c r="R312" s="114">
        <f>HYPERLINK("https://my.pitchbook.com?c=55377-73", "View company online")</f>
      </c>
    </row>
    <row r="313">
      <c r="A313" s="9" t="inlineStr">
        <is>
          <t>56361-43</t>
        </is>
      </c>
      <c r="B313" s="10" t="inlineStr">
        <is>
          <t>Wiser</t>
        </is>
      </c>
      <c r="C313" s="11" t="inlineStr">
        <is>
          <t>10004</t>
        </is>
      </c>
      <c r="D313" s="12" t="inlineStr">
        <is>
          <t>Provider of a social news reader software designed to deliver news and insight for workforce. The company's social news reader software offers a powerful alternative via a personalized, curated list of stories for each employee, which allows professionals find and share important reads with their coworkers.</t>
        </is>
      </c>
      <c r="E313" s="13" t="inlineStr">
        <is>
          <t>Publishing</t>
        </is>
      </c>
      <c r="F313" s="14" t="inlineStr">
        <is>
          <t>New York, NY</t>
        </is>
      </c>
      <c r="G313" s="15" t="inlineStr">
        <is>
          <t>Privately Held (backing)</t>
        </is>
      </c>
      <c r="H313" s="16" t="inlineStr">
        <is>
          <t>Venture Capital-Backed</t>
        </is>
      </c>
      <c r="I313" s="17" t="inlineStr">
        <is>
          <t>Actinic Ventures, FirstGrowth Venture Network, Mogility Capital, New Coast Ventures, NextNews Ventures, Plug and Play Tech Center, Thomas Glocer, TimeSpace, Tom Rutledge, WeWork, Zachary Aarons</t>
        </is>
      </c>
      <c r="J313" s="18" t="inlineStr">
        <is>
          <t>www.getwiser.com</t>
        </is>
      </c>
      <c r="K313" s="19" t="inlineStr">
        <is>
          <t>info@delvenews.com</t>
        </is>
      </c>
      <c r="L313" s="20" t="inlineStr">
        <is>
          <t/>
        </is>
      </c>
      <c r="M313" s="21" t="inlineStr">
        <is>
          <t>Sandeep Ayyappan</t>
        </is>
      </c>
      <c r="N313" s="22" t="inlineStr">
        <is>
          <t>Co-Founder &amp; Chief Executive Officer</t>
        </is>
      </c>
      <c r="O313" s="23" t="inlineStr">
        <is>
          <t>sandeep@delvenews.com</t>
        </is>
      </c>
      <c r="P313" s="24" t="inlineStr">
        <is>
          <t/>
        </is>
      </c>
      <c r="Q313" s="25" t="n">
        <v>2011.0</v>
      </c>
      <c r="R313" s="113">
        <f>HYPERLINK("https://my.pitchbook.com?c=56361-43", "View company online")</f>
      </c>
    </row>
    <row r="314">
      <c r="A314" s="27" t="inlineStr">
        <is>
          <t>84236-41</t>
        </is>
      </c>
      <c r="B314" s="28" t="inlineStr">
        <is>
          <t>Wiselike</t>
        </is>
      </c>
      <c r="C314" s="29" t="inlineStr">
        <is>
          <t/>
        </is>
      </c>
      <c r="D314" s="30" t="inlineStr">
        <is>
          <t>Provider of social-networking platform. The company provides an online community for software engineers to learn and share career advice and information.</t>
        </is>
      </c>
      <c r="E314" s="31" t="inlineStr">
        <is>
          <t>Social/Platform Software</t>
        </is>
      </c>
      <c r="F314" s="32" t="inlineStr">
        <is>
          <t>Mountain View, CA</t>
        </is>
      </c>
      <c r="G314" s="33" t="inlineStr">
        <is>
          <t>Privately Held (backing)</t>
        </is>
      </c>
      <c r="H314" s="34" t="inlineStr">
        <is>
          <t>Venture Capital-Backed</t>
        </is>
      </c>
      <c r="I314" s="35" t="inlineStr">
        <is>
          <t>500 Startups, Adam Draper, Boost VC, Brennan O'Donnell, Daniel Chen, David McClure, Eric Kwan, Evan Rapoport, GGV Capital, GREE Ventures, Jay Eum, Jeff Ryan, Oliver Ryan, PreAngel, Sassan Salehipour, Sugath Warnakulasuriya, Wei Guo, Yusuke Asakura</t>
        </is>
      </c>
      <c r="J314" s="36" t="inlineStr">
        <is>
          <t>www.wiselike.com</t>
        </is>
      </c>
      <c r="K314" s="37" t="inlineStr">
        <is>
          <t>hello@careerdean.com</t>
        </is>
      </c>
      <c r="L314" s="38" t="inlineStr">
        <is>
          <t>+1 (408) 220-4173</t>
        </is>
      </c>
      <c r="M314" s="39" t="inlineStr">
        <is>
          <t>Kyu Lee</t>
        </is>
      </c>
      <c r="N314" s="40" t="inlineStr">
        <is>
          <t>Co-Founder, Chief Executive Officer &amp; Board Member</t>
        </is>
      </c>
      <c r="O314" s="41" t="inlineStr">
        <is>
          <t>kyu@careerdean.com</t>
        </is>
      </c>
      <c r="P314" s="42" t="inlineStr">
        <is>
          <t>+1 (408) 220-4173</t>
        </is>
      </c>
      <c r="Q314" s="43" t="n">
        <v>2013.0</v>
      </c>
      <c r="R314" s="114">
        <f>HYPERLINK("https://my.pitchbook.com?c=84236-41", "View company online")</f>
      </c>
    </row>
    <row r="315">
      <c r="A315" s="9" t="inlineStr">
        <is>
          <t>168652-54</t>
        </is>
      </c>
      <c r="B315" s="10" t="inlineStr">
        <is>
          <t>Wisecrack</t>
        </is>
      </c>
      <c r="C315" s="11" t="inlineStr">
        <is>
          <t>90027</t>
        </is>
      </c>
      <c r="D315" s="12" t="inlineStr">
        <is>
          <t>Operator of an online media platform in the United States. The company provides a web platform which is engages in providing the deeper meaning of a variety of movies, TV shows, video games and music.</t>
        </is>
      </c>
      <c r="E315" s="13" t="inlineStr">
        <is>
          <t>Information Services (B2C)</t>
        </is>
      </c>
      <c r="F315" s="14" t="inlineStr">
        <is>
          <t>Los Angeles, CA</t>
        </is>
      </c>
      <c r="G315" s="15" t="inlineStr">
        <is>
          <t>Privately Held (backing)</t>
        </is>
      </c>
      <c r="H315" s="16" t="inlineStr">
        <is>
          <t>Venture Capital-Backed</t>
        </is>
      </c>
      <c r="I315" s="17" t="inlineStr">
        <is>
          <t>Brett Hurt, Gregg Spiridellis, Steve Bornstein, Third Wave Digital</t>
        </is>
      </c>
      <c r="J315" s="18" t="inlineStr">
        <is>
          <t>www.wisecrack.co</t>
        </is>
      </c>
      <c r="K315" s="19" t="inlineStr">
        <is>
          <t/>
        </is>
      </c>
      <c r="L315" s="20" t="inlineStr">
        <is>
          <t/>
        </is>
      </c>
      <c r="M315" s="21" t="inlineStr">
        <is>
          <t>Jacob Salamon</t>
        </is>
      </c>
      <c r="N315" s="22" t="inlineStr">
        <is>
          <t>Co-Founder &amp; Chief Executive Officer</t>
        </is>
      </c>
      <c r="O315" s="23" t="inlineStr">
        <is>
          <t>jacob@wisecrack.co</t>
        </is>
      </c>
      <c r="P315" s="24" t="inlineStr">
        <is>
          <t/>
        </is>
      </c>
      <c r="Q315" s="25" t="n">
        <v>2014.0</v>
      </c>
      <c r="R315" s="113">
        <f>HYPERLINK("https://my.pitchbook.com?c=168652-54", "View company online")</f>
      </c>
    </row>
    <row r="316">
      <c r="A316" s="27" t="inlineStr">
        <is>
          <t>118193-59</t>
        </is>
      </c>
      <c r="B316" s="28" t="inlineStr">
        <is>
          <t>Wise Sons Deli</t>
        </is>
      </c>
      <c r="C316" s="29" t="inlineStr">
        <is>
          <t>94110</t>
        </is>
      </c>
      <c r="D316" s="30" t="inlineStr">
        <is>
          <t>Operator of a restaurant in San Francisco, California. The company offers a menu of home-style Jewish foods.</t>
        </is>
      </c>
      <c r="E316" s="31" t="inlineStr">
        <is>
          <t>Restaurants and Bars</t>
        </is>
      </c>
      <c r="F316" s="32" t="inlineStr">
        <is>
          <t>San Francisco, CA</t>
        </is>
      </c>
      <c r="G316" s="33" t="inlineStr">
        <is>
          <t>Privately Held (backing)</t>
        </is>
      </c>
      <c r="H316" s="34" t="inlineStr">
        <is>
          <t>Venture Capital-Backed</t>
        </is>
      </c>
      <c r="I316" s="35" t="inlineStr">
        <is>
          <t>Simon Equity Partners</t>
        </is>
      </c>
      <c r="J316" s="36" t="inlineStr">
        <is>
          <t>www.wisesonsdeli.com</t>
        </is>
      </c>
      <c r="K316" s="37" t="inlineStr">
        <is>
          <t/>
        </is>
      </c>
      <c r="L316" s="38" t="inlineStr">
        <is>
          <t>+1 (415) 787-3354</t>
        </is>
      </c>
      <c r="M316" s="39" t="inlineStr">
        <is>
          <t>Evan Bloom</t>
        </is>
      </c>
      <c r="N316" s="40" t="inlineStr">
        <is>
          <t>Co-Founder</t>
        </is>
      </c>
      <c r="O316" s="41" t="inlineStr">
        <is>
          <t>evan@wisesonsdeli.com</t>
        </is>
      </c>
      <c r="P316" s="42" t="inlineStr">
        <is>
          <t>+1 (415) 787-3354</t>
        </is>
      </c>
      <c r="Q316" s="43" t="n">
        <v>2012.0</v>
      </c>
      <c r="R316" s="114">
        <f>HYPERLINK("https://my.pitchbook.com?c=118193-59", "View company online")</f>
      </c>
    </row>
    <row r="317">
      <c r="A317" s="9" t="inlineStr">
        <is>
          <t>103045-51</t>
        </is>
      </c>
      <c r="B317" s="10" t="inlineStr">
        <is>
          <t>WireX Cube Systems</t>
        </is>
      </c>
      <c r="C317" s="11" t="inlineStr">
        <is>
          <t>5647003</t>
        </is>
      </c>
      <c r="D317" s="12" t="inlineStr">
        <is>
          <t>Provider of network intelligence services. The company offers network forensics services that enables businesses to resolve cyber-attacks. Its platform analyses all parts of the enterprise network and translates it into human-readable intelligence, providing full and instant understanding to network security incidents.</t>
        </is>
      </c>
      <c r="E317" s="13" t="inlineStr">
        <is>
          <t>Network Management Software</t>
        </is>
      </c>
      <c r="F317" s="14" t="inlineStr">
        <is>
          <t>Yehud, Israel</t>
        </is>
      </c>
      <c r="G317" s="15" t="inlineStr">
        <is>
          <t>Privately Held (backing)</t>
        </is>
      </c>
      <c r="H317" s="16" t="inlineStr">
        <is>
          <t>Venture Capital-Backed</t>
        </is>
      </c>
      <c r="I317" s="17" t="inlineStr">
        <is>
          <t>8200 EISP, Entrée Capital, Idan Plotnik, Magma Venture Partners, Michael Boodaei, Rakesh Loonkar, Vertex Ventures Israel</t>
        </is>
      </c>
      <c r="J317" s="18" t="inlineStr">
        <is>
          <t>www.wirexsystems.com</t>
        </is>
      </c>
      <c r="K317" s="19" t="inlineStr">
        <is>
          <t>info@wirex-systems.com</t>
        </is>
      </c>
      <c r="L317" s="20" t="inlineStr">
        <is>
          <t>+972 (0)77 515 0803</t>
        </is>
      </c>
      <c r="M317" s="21" t="inlineStr">
        <is>
          <t>Tomer Saban</t>
        </is>
      </c>
      <c r="N317" s="22" t="inlineStr">
        <is>
          <t>Co-Founder, Board Member &amp; Chief Executive Officer</t>
        </is>
      </c>
      <c r="O317" s="23" t="inlineStr">
        <is>
          <t>tomer@wirex-systems.com</t>
        </is>
      </c>
      <c r="P317" s="24" t="inlineStr">
        <is>
          <t>+972 (0)77 515 0803</t>
        </is>
      </c>
      <c r="Q317" s="25" t="n">
        <v>2010.0</v>
      </c>
      <c r="R317" s="113">
        <f>HYPERLINK("https://my.pitchbook.com?c=103045-51", "View company online")</f>
      </c>
    </row>
    <row r="318">
      <c r="A318" s="27" t="inlineStr">
        <is>
          <t>57606-67</t>
        </is>
      </c>
      <c r="B318" s="28" t="inlineStr">
        <is>
          <t>Wirewax</t>
        </is>
      </c>
      <c r="C318" s="29" t="inlineStr">
        <is>
          <t>W1T 2RB</t>
        </is>
      </c>
      <c r="D318" s="30" t="inlineStr">
        <is>
          <t>Provider of digital interactive platform designed to creating immersive experiences. The company's digital interactive platform offers to to add clickable hotspots, or tags, to any moving person or object in video, enabling users explore extra content opportunities.</t>
        </is>
      </c>
      <c r="E318" s="31" t="inlineStr">
        <is>
          <t>Multimedia and Design Software</t>
        </is>
      </c>
      <c r="F318" s="32" t="inlineStr">
        <is>
          <t>London, United Kingdom</t>
        </is>
      </c>
      <c r="G318" s="33" t="inlineStr">
        <is>
          <t>Privately Held (backing)</t>
        </is>
      </c>
      <c r="H318" s="34" t="inlineStr">
        <is>
          <t>Venture Capital-Backed</t>
        </is>
      </c>
      <c r="I318" s="35" t="inlineStr">
        <is>
          <t>Adam Knight, BBC Worldwide Labs, Passion Capital, Spencer Hyman</t>
        </is>
      </c>
      <c r="J318" s="36" t="inlineStr">
        <is>
          <t>www.wirewax.com</t>
        </is>
      </c>
      <c r="K318" s="37" t="inlineStr">
        <is>
          <t>hello@wirewax.com</t>
        </is>
      </c>
      <c r="L318" s="38" t="inlineStr">
        <is>
          <t>+44 (0)20 7637 9394</t>
        </is>
      </c>
      <c r="M318" s="39" t="inlineStr">
        <is>
          <t>Steve Callanan</t>
        </is>
      </c>
      <c r="N318" s="40" t="inlineStr">
        <is>
          <t>Chief Executive Officer &amp; Co-Founder</t>
        </is>
      </c>
      <c r="O318" s="41" t="inlineStr">
        <is>
          <t>steve@wirewax.com</t>
        </is>
      </c>
      <c r="P318" s="42" t="inlineStr">
        <is>
          <t>+44 (0)20 7637 9394</t>
        </is>
      </c>
      <c r="Q318" s="43" t="n">
        <v>2009.0</v>
      </c>
      <c r="R318" s="114">
        <f>HYPERLINK("https://my.pitchbook.com?c=57606-67", "View company online")</f>
      </c>
    </row>
    <row r="319">
      <c r="A319" s="9" t="inlineStr">
        <is>
          <t>55190-62</t>
        </is>
      </c>
      <c r="B319" s="10" t="inlineStr">
        <is>
          <t>Wirestone</t>
        </is>
      </c>
      <c r="C319" s="11" t="inlineStr">
        <is>
          <t>94104</t>
        </is>
      </c>
      <c r="D319" s="12" t="inlineStr">
        <is>
          <t>Provider of technology services that allow businesses to connect with their customers. The company provides several types of software that interacts with customers on the internet. The company was formed through the merger of Priscomm (Costa Mesa, Calif.), LiveWire Interactive, (Seattle) Digital Effects (Boise, Idaho), Mediaphex (Boise, Idaho) and Talaria Research (Sacramento, Calif.).</t>
        </is>
      </c>
      <c r="E319" s="13" t="inlineStr">
        <is>
          <t>Communication Software</t>
        </is>
      </c>
      <c r="F319" s="14" t="inlineStr">
        <is>
          <t>San Francisco, CA</t>
        </is>
      </c>
      <c r="G319" s="15" t="inlineStr">
        <is>
          <t>Privately Held (backing)</t>
        </is>
      </c>
      <c r="H319" s="16" t="inlineStr">
        <is>
          <t>Venture Capital-Backed</t>
        </is>
      </c>
      <c r="I319" s="17" t="inlineStr">
        <is>
          <t>b2b Solutions, Edgewater Ventures, Plantagenet Capital Management, PPM America, Prime Ventures</t>
        </is>
      </c>
      <c r="J319" s="18" t="inlineStr">
        <is>
          <t>www.wirestone.com</t>
        </is>
      </c>
      <c r="K319" s="19" t="inlineStr">
        <is>
          <t/>
        </is>
      </c>
      <c r="L319" s="20" t="inlineStr">
        <is>
          <t>+1 (415) 864-0220</t>
        </is>
      </c>
      <c r="M319" s="21" t="inlineStr">
        <is>
          <t>Dan Lynch</t>
        </is>
      </c>
      <c r="N319" s="22" t="inlineStr">
        <is>
          <t>President &amp; Chief Executive Officer</t>
        </is>
      </c>
      <c r="O319" s="23" t="inlineStr">
        <is>
          <t>dan.lynch@wirestone.com</t>
        </is>
      </c>
      <c r="P319" s="24" t="inlineStr">
        <is>
          <t>+1 (415) 864-0220</t>
        </is>
      </c>
      <c r="Q319" s="25" t="n">
        <v>2000.0</v>
      </c>
      <c r="R319" s="113">
        <f>HYPERLINK("https://my.pitchbook.com?c=55190-62", "View company online")</f>
      </c>
    </row>
    <row r="320">
      <c r="A320" s="27" t="inlineStr">
        <is>
          <t>98739-55</t>
        </is>
      </c>
      <c r="B320" s="28" t="inlineStr">
        <is>
          <t>Wirepas</t>
        </is>
      </c>
      <c r="C320" s="29" t="inlineStr">
        <is>
          <t>33720</t>
        </is>
      </c>
      <c r="D320" s="30" t="inlineStr">
        <is>
          <t>Provider of wireless communication services. The company offers multi-hop services and a network stack platform for use in a range of sensor, control and low-bandwidth communication applications.</t>
        </is>
      </c>
      <c r="E320" s="31" t="inlineStr">
        <is>
          <t>Wireless Communications Equipment</t>
        </is>
      </c>
      <c r="F320" s="32" t="inlineStr">
        <is>
          <t>Tampere, Finland</t>
        </is>
      </c>
      <c r="G320" s="33" t="inlineStr">
        <is>
          <t>Privately Held (backing)</t>
        </is>
      </c>
      <c r="H320" s="34" t="inlineStr">
        <is>
          <t>Venture Capital-Backed</t>
        </is>
      </c>
      <c r="I320" s="35" t="inlineStr">
        <is>
          <t>ETF Partners, Inventure, Vito Ventures</t>
        </is>
      </c>
      <c r="J320" s="36" t="inlineStr">
        <is>
          <t>www.wirepas.com</t>
        </is>
      </c>
      <c r="K320" s="37" t="inlineStr">
        <is>
          <t/>
        </is>
      </c>
      <c r="L320" s="38" t="inlineStr">
        <is>
          <t>+358 (0)40 037 5915</t>
        </is>
      </c>
      <c r="M320" s="39" t="inlineStr">
        <is>
          <t>Teppo Hemiä</t>
        </is>
      </c>
      <c r="N320" s="40" t="inlineStr">
        <is>
          <t>Co-Founder, Chief Executive Officer &amp; Partner</t>
        </is>
      </c>
      <c r="O320" s="41" t="inlineStr">
        <is>
          <t>teppo.hemia@wirepas.com</t>
        </is>
      </c>
      <c r="P320" s="42" t="inlineStr">
        <is>
          <t>+35(0)85 056 1019 8</t>
        </is>
      </c>
      <c r="Q320" s="43" t="n">
        <v>2010.0</v>
      </c>
      <c r="R320" s="114">
        <f>HYPERLINK("https://my.pitchbook.com?c=98739-55", "View company online")</f>
      </c>
    </row>
    <row r="321">
      <c r="A321" s="9" t="inlineStr">
        <is>
          <t>56172-88</t>
        </is>
      </c>
      <c r="B321" s="10" t="inlineStr">
        <is>
          <t>Wireless Glue</t>
        </is>
      </c>
      <c r="C321" s="11" t="inlineStr">
        <is>
          <t>94506</t>
        </is>
      </c>
      <c r="D321" s="12" t="inlineStr">
        <is>
          <t>Provider of a software for improving energy efficiency. The company offers a technology platform that captures and delivers energy data from home which helps users to manage, control and analyze energy efficiency.</t>
        </is>
      </c>
      <c r="E321" s="13" t="inlineStr">
        <is>
          <t>Application Software</t>
        </is>
      </c>
      <c r="F321" s="14" t="inlineStr">
        <is>
          <t>Danville, CA</t>
        </is>
      </c>
      <c r="G321" s="15" t="inlineStr">
        <is>
          <t>Privately Held (backing)</t>
        </is>
      </c>
      <c r="H321" s="16" t="inlineStr">
        <is>
          <t>Venture Capital-Backed</t>
        </is>
      </c>
      <c r="I321" s="17" t="inlineStr">
        <is>
          <t>Clean Pacific Ventures, Hosiden Corporation, Innovation Network Corporation of Japan, Momenta Partners, Toko Electric Corporation</t>
        </is>
      </c>
      <c r="J321" s="18" t="inlineStr">
        <is>
          <t>www.wirelessglue.com</t>
        </is>
      </c>
      <c r="K321" s="19" t="inlineStr">
        <is>
          <t>info@wirelessglue.com</t>
        </is>
      </c>
      <c r="L321" s="20" t="inlineStr">
        <is>
          <t>+1 (925) 310-4561</t>
        </is>
      </c>
      <c r="M321" s="21" t="inlineStr">
        <is>
          <t>Peter McCabe</t>
        </is>
      </c>
      <c r="N321" s="22" t="inlineStr">
        <is>
          <t>Chief Executive Officer, Board Member &amp; Co-Founder</t>
        </is>
      </c>
      <c r="O321" s="23" t="inlineStr">
        <is>
          <t>pmccabe@wirelessglue.com</t>
        </is>
      </c>
      <c r="P321" s="24" t="inlineStr">
        <is>
          <t>+1 (925) 310-4561</t>
        </is>
      </c>
      <c r="Q321" s="25" t="n">
        <v>2006.0</v>
      </c>
      <c r="R321" s="113">
        <f>HYPERLINK("https://my.pitchbook.com?c=56172-88", "View company online")</f>
      </c>
    </row>
    <row r="322">
      <c r="A322" s="27" t="inlineStr">
        <is>
          <t>103710-88</t>
        </is>
      </c>
      <c r="B322" s="28" t="inlineStr">
        <is>
          <t>WinView</t>
        </is>
      </c>
      <c r="C322" s="29" t="inlineStr">
        <is>
          <t>94063</t>
        </is>
      </c>
      <c r="D322" s="30" t="inlineStr">
        <is>
          <t>Provider of a TV synchronization platform created for content monetization. The company's platform provides sponsors and advertisers with exclusive access to all the two-screen game participants through sponsorship of the game, in-game videos and incentivized interactive commercials in sports telecasts enabling them to monetize their content and establish a two-screen synchronization standard.</t>
        </is>
      </c>
      <c r="E322" s="31" t="inlineStr">
        <is>
          <t>Entertainment Software</t>
        </is>
      </c>
      <c r="F322" s="32" t="inlineStr">
        <is>
          <t>Redwood City, CA</t>
        </is>
      </c>
      <c r="G322" s="33" t="inlineStr">
        <is>
          <t>Privately Held (backing)</t>
        </is>
      </c>
      <c r="H322" s="34" t="inlineStr">
        <is>
          <t>Venture Capital-Backed</t>
        </is>
      </c>
      <c r="I322" s="35" t="inlineStr">
        <is>
          <t>Discovery Communications, Graham Holdings, Hank Ratner, LionTree Advisors, Monumental Sports &amp; Entertainment, Tom Rogers</t>
        </is>
      </c>
      <c r="J322" s="36" t="inlineStr">
        <is>
          <t>www.winviewgames.com</t>
        </is>
      </c>
      <c r="K322" s="37" t="inlineStr">
        <is>
          <t>info@winview.tv</t>
        </is>
      </c>
      <c r="L322" s="38" t="inlineStr">
        <is>
          <t>+1 (650) 587-5801</t>
        </is>
      </c>
      <c r="M322" s="39" t="inlineStr">
        <is>
          <t>David Lockton</t>
        </is>
      </c>
      <c r="N322" s="40" t="inlineStr">
        <is>
          <t>Co-Founder, Chairman &amp; Chief Executive Officer</t>
        </is>
      </c>
      <c r="O322" s="41" t="inlineStr">
        <is>
          <t>david@winview.tv</t>
        </is>
      </c>
      <c r="P322" s="42" t="inlineStr">
        <is>
          <t>+1 (650) 587-5801</t>
        </is>
      </c>
      <c r="Q322" s="43" t="n">
        <v>2008.0</v>
      </c>
      <c r="R322" s="114">
        <f>HYPERLINK("https://my.pitchbook.com?c=103710-88", "View company online")</f>
      </c>
    </row>
    <row r="323">
      <c r="A323" s="9" t="inlineStr">
        <is>
          <t>157480-12</t>
        </is>
      </c>
      <c r="B323" s="10" t="inlineStr">
        <is>
          <t>Winnie</t>
        </is>
      </c>
      <c r="C323" s="11" t="inlineStr">
        <is>
          <t>94164</t>
        </is>
      </c>
      <c r="D323" s="12" t="inlineStr">
        <is>
          <t>Provider of a location-based discovery application for children. The company offers a directory that provides information from the perspective of parents on nearby restaurants, parks, schools, and other points of interest.</t>
        </is>
      </c>
      <c r="E323" s="13" t="inlineStr">
        <is>
          <t>Application Software</t>
        </is>
      </c>
      <c r="F323" s="14" t="inlineStr">
        <is>
          <t>San Francisco, CA</t>
        </is>
      </c>
      <c r="G323" s="15" t="inlineStr">
        <is>
          <t>Privately Held (backing)</t>
        </is>
      </c>
      <c r="H323" s="16" t="inlineStr">
        <is>
          <t>Venture Capital-Backed</t>
        </is>
      </c>
      <c r="I323" s="17" t="inlineStr">
        <is>
          <t>Angels, BBG Ventures, Deep Fork Capital, Graph Ventures, Homebrew, Kleiner Perkins Caufield &amp; Byers, Ludlow Ventures</t>
        </is>
      </c>
      <c r="J323" s="18" t="inlineStr">
        <is>
          <t>www.winnie.com</t>
        </is>
      </c>
      <c r="K323" s="19" t="inlineStr">
        <is>
          <t>info@winnielabs.com</t>
        </is>
      </c>
      <c r="L323" s="20" t="inlineStr">
        <is>
          <t/>
        </is>
      </c>
      <c r="M323" s="21" t="inlineStr">
        <is>
          <t>Sara Mauskopf</t>
        </is>
      </c>
      <c r="N323" s="22" t="inlineStr">
        <is>
          <t>Co-Founder &amp; Chief Executive Officer</t>
        </is>
      </c>
      <c r="O323" s="23" t="inlineStr">
        <is>
          <t>sara@winnielabs.com</t>
        </is>
      </c>
      <c r="P323" s="24" t="inlineStr">
        <is>
          <t/>
        </is>
      </c>
      <c r="Q323" s="25" t="n">
        <v>2015.0</v>
      </c>
      <c r="R323" s="113">
        <f>HYPERLINK("https://my.pitchbook.com?c=157480-12", "View company online")</f>
      </c>
    </row>
    <row r="324">
      <c r="A324" s="27" t="inlineStr">
        <is>
          <t>55309-96</t>
        </is>
      </c>
      <c r="B324" s="28" t="inlineStr">
        <is>
          <t>Wingz</t>
        </is>
      </c>
      <c r="C324" s="29" t="inlineStr">
        <is>
          <t>94103</t>
        </is>
      </c>
      <c r="D324" s="30" t="inlineStr">
        <is>
          <t>Provider of social platform for airport-focused ride sharing. The company enables travelers to schedule private, fixed-price and door-to-door airport rides.</t>
        </is>
      </c>
      <c r="E324" s="31" t="inlineStr">
        <is>
          <t>Automotive</t>
        </is>
      </c>
      <c r="F324" s="32" t="inlineStr">
        <is>
          <t>San Francisco, CA</t>
        </is>
      </c>
      <c r="G324" s="33" t="inlineStr">
        <is>
          <t>Privately Held (backing)</t>
        </is>
      </c>
      <c r="H324" s="34" t="inlineStr">
        <is>
          <t>Venture Capital-Backed</t>
        </is>
      </c>
      <c r="I324" s="35" t="inlineStr">
        <is>
          <t>Alison Xu, Altimeter Capital Management, Benoit Augagneur, Bess Ho, Big Bloom Investment, Binux Capital, Blue Angel Ventures, Christof Baumbach, Christopher DeSibert, David Chen, Expedia, Florence Venture Partners, Geoff Mathieux, Han-Sheong Lai, Hilton Tam, Iris Lei, James Leszczenski, Jason Trachewsky, Jérémie Berrebi, Jonathan Saunders, Kima Ventures, Kyle Lam, Lawrence Marcus, Marc Benioff, Michael Prentice, Ocotea Holdings, Olive Tree Ventures, Paul C. Jeffries, Plug and Play Tech Center, Sherry Yue, Steven Schlickman</t>
        </is>
      </c>
      <c r="J324" s="36" t="inlineStr">
        <is>
          <t>www.wingz.me</t>
        </is>
      </c>
      <c r="K324" s="37" t="inlineStr">
        <is>
          <t>ask@wingz.me</t>
        </is>
      </c>
      <c r="L324" s="38" t="inlineStr">
        <is>
          <t/>
        </is>
      </c>
      <c r="M324" s="39" t="inlineStr">
        <is>
          <t>Christof Baumbach</t>
        </is>
      </c>
      <c r="N324" s="40" t="inlineStr">
        <is>
          <t>Co-Founder &amp; Chief Operating Officer</t>
        </is>
      </c>
      <c r="O324" s="41" t="inlineStr">
        <is>
          <t>christof@wingz.me</t>
        </is>
      </c>
      <c r="P324" s="42" t="inlineStr">
        <is>
          <t/>
        </is>
      </c>
      <c r="Q324" s="43" t="n">
        <v>2011.0</v>
      </c>
      <c r="R324" s="114">
        <f>HYPERLINK("https://my.pitchbook.com?c=55309-96", "View company online")</f>
      </c>
    </row>
    <row r="325">
      <c r="A325" s="9" t="inlineStr">
        <is>
          <t>58447-00</t>
        </is>
      </c>
      <c r="B325" s="10" t="inlineStr">
        <is>
          <t>WingTip</t>
        </is>
      </c>
      <c r="C325" s="11" t="inlineStr">
        <is>
          <t>94111</t>
        </is>
      </c>
      <c r="D325" s="12" t="inlineStr">
        <is>
          <t>Operator of a private club and a menswear shop. The company sells men's clothing, accessories, wine, cigar, gifts and also offers club memberships.</t>
        </is>
      </c>
      <c r="E325" s="13" t="inlineStr">
        <is>
          <t>Specialty Retail</t>
        </is>
      </c>
      <c r="F325" s="14" t="inlineStr">
        <is>
          <t>San Francisco, CA</t>
        </is>
      </c>
      <c r="G325" s="15" t="inlineStr">
        <is>
          <t>Privately Held (backing)</t>
        </is>
      </c>
      <c r="H325" s="16" t="inlineStr">
        <is>
          <t>Venture Capital-Backed</t>
        </is>
      </c>
      <c r="I325" s="17" t="inlineStr">
        <is>
          <t>Individual Investor, Jonathan Abrams</t>
        </is>
      </c>
      <c r="J325" s="18" t="inlineStr">
        <is>
          <t>shop.wingtip.com</t>
        </is>
      </c>
      <c r="K325" s="19" t="inlineStr">
        <is>
          <t>service@wingtip.com</t>
        </is>
      </c>
      <c r="L325" s="20" t="inlineStr">
        <is>
          <t>+1 (866) 880-8481</t>
        </is>
      </c>
      <c r="M325" s="21" t="inlineStr">
        <is>
          <t>Ami Arad</t>
        </is>
      </c>
      <c r="N325" s="22" t="inlineStr">
        <is>
          <t>Chief Executive Officer, President &amp; Co-Founder</t>
        </is>
      </c>
      <c r="O325" s="23" t="inlineStr">
        <is>
          <t>ami.arad@onthefly.com</t>
        </is>
      </c>
      <c r="P325" s="24" t="inlineStr">
        <is>
          <t>+1 (866) 880-8481</t>
        </is>
      </c>
      <c r="Q325" s="25" t="n">
        <v>2002.0</v>
      </c>
      <c r="R325" s="113">
        <f>HYPERLINK("https://my.pitchbook.com?c=58447-00", "View company online")</f>
      </c>
    </row>
    <row r="326">
      <c r="A326" s="27" t="inlineStr">
        <is>
          <t>171900-37</t>
        </is>
      </c>
      <c r="B326" s="28" t="inlineStr">
        <is>
          <t>WineSOFT</t>
        </is>
      </c>
      <c r="C326" s="86">
        <f>HYPERLINK("https://my.pitchbook.com?rrp=171900-37&amp;type=c", "This Company's information is not available to download. Need this Company? Request availability")</f>
      </c>
      <c r="D326" s="30" t="inlineStr">
        <is>
          <t/>
        </is>
      </c>
      <c r="E326" s="31" t="inlineStr">
        <is>
          <t/>
        </is>
      </c>
      <c r="F326" s="32" t="inlineStr">
        <is>
          <t/>
        </is>
      </c>
      <c r="G326" s="33" t="inlineStr">
        <is>
          <t/>
        </is>
      </c>
      <c r="H326" s="34" t="inlineStr">
        <is>
          <t/>
        </is>
      </c>
      <c r="I326" s="35" t="inlineStr">
        <is>
          <t/>
        </is>
      </c>
      <c r="J326" s="36" t="inlineStr">
        <is>
          <t/>
        </is>
      </c>
      <c r="K326" s="37" t="inlineStr">
        <is>
          <t/>
        </is>
      </c>
      <c r="L326" s="38" t="inlineStr">
        <is>
          <t/>
        </is>
      </c>
      <c r="M326" s="39" t="inlineStr">
        <is>
          <t/>
        </is>
      </c>
      <c r="N326" s="40" t="inlineStr">
        <is>
          <t/>
        </is>
      </c>
      <c r="O326" s="41" t="inlineStr">
        <is>
          <t/>
        </is>
      </c>
      <c r="P326" s="42" t="inlineStr">
        <is>
          <t/>
        </is>
      </c>
      <c r="Q326" s="43" t="inlineStr">
        <is>
          <t/>
        </is>
      </c>
      <c r="R326" s="44" t="inlineStr">
        <is>
          <t/>
        </is>
      </c>
    </row>
    <row r="327">
      <c r="A327" s="9" t="inlineStr">
        <is>
          <t>54704-80</t>
        </is>
      </c>
      <c r="B327" s="10" t="inlineStr">
        <is>
          <t>WineSimple</t>
        </is>
      </c>
      <c r="C327" s="11" t="inlineStr">
        <is>
          <t>94123</t>
        </is>
      </c>
      <c r="D327" s="12" t="inlineStr">
        <is>
          <t>Owner and operator of an online wine store. The company offers personalized wines that matches to individual taste preferences.</t>
        </is>
      </c>
      <c r="E327" s="13" t="inlineStr">
        <is>
          <t>Beverages</t>
        </is>
      </c>
      <c r="F327" s="14" t="inlineStr">
        <is>
          <t>San Francisco, CA</t>
        </is>
      </c>
      <c r="G327" s="15" t="inlineStr">
        <is>
          <t>Privately Held (backing)</t>
        </is>
      </c>
      <c r="H327" s="16" t="inlineStr">
        <is>
          <t>Venture Capital-Backed</t>
        </is>
      </c>
      <c r="I327" s="17" t="inlineStr">
        <is>
          <t>Castlegate Capital Advisors, Frontier Venture Capital, Keiretsu Forum</t>
        </is>
      </c>
      <c r="J327" s="18" t="inlineStr">
        <is>
          <t>www.winesimple.com</t>
        </is>
      </c>
      <c r="K327" s="19" t="inlineStr">
        <is>
          <t/>
        </is>
      </c>
      <c r="L327" s="20" t="inlineStr">
        <is>
          <t>+1 (415) 793-8787</t>
        </is>
      </c>
      <c r="M327" s="21" t="inlineStr">
        <is>
          <t>Robert Miller</t>
        </is>
      </c>
      <c r="N327" s="22" t="inlineStr">
        <is>
          <t>Chief Executive Officer, Board Member &amp; President</t>
        </is>
      </c>
      <c r="O327" s="23" t="inlineStr">
        <is>
          <t>robert@winesimple.com</t>
        </is>
      </c>
      <c r="P327" s="24" t="inlineStr">
        <is>
          <t>+1 (415) 793-8787</t>
        </is>
      </c>
      <c r="Q327" s="25" t="n">
        <v>2012.0</v>
      </c>
      <c r="R327" s="113">
        <f>HYPERLINK("https://my.pitchbook.com?c=54704-80", "View company online")</f>
      </c>
    </row>
    <row r="328">
      <c r="A328" s="27" t="inlineStr">
        <is>
          <t>54046-45</t>
        </is>
      </c>
      <c r="B328" s="28" t="inlineStr">
        <is>
          <t>WineDirect</t>
        </is>
      </c>
      <c r="C328" s="29" t="inlineStr">
        <is>
          <t>94558</t>
        </is>
      </c>
      <c r="D328" s="30" t="inlineStr">
        <is>
          <t>Provider of an end-to-end platform designed to offer direct-to-consumer (DTC) services for wineries. The company's end-to-end platform offers logistics services which includes a technology driven fulfillment system, compliance tools and a 3-tier network, enabling wineries to sell wine directly to consumers.</t>
        </is>
      </c>
      <c r="E328" s="31" t="inlineStr">
        <is>
          <t>Logistics</t>
        </is>
      </c>
      <c r="F328" s="32" t="inlineStr">
        <is>
          <t>Napa, CA</t>
        </is>
      </c>
      <c r="G328" s="33" t="inlineStr">
        <is>
          <t>Privately Held (backing)</t>
        </is>
      </c>
      <c r="H328" s="34" t="inlineStr">
        <is>
          <t>Venture Capital-Backed</t>
        </is>
      </c>
      <c r="I328" s="35" t="inlineStr">
        <is>
          <t>Allegis Capital, PEI Funds, Sid R. Bass Associates</t>
        </is>
      </c>
      <c r="J328" s="36" t="inlineStr">
        <is>
          <t>www.winedirect.com</t>
        </is>
      </c>
      <c r="K328" s="37" t="inlineStr">
        <is>
          <t/>
        </is>
      </c>
      <c r="L328" s="38" t="inlineStr">
        <is>
          <t>+1 (707) 603-4000</t>
        </is>
      </c>
      <c r="M328" s="39" t="inlineStr">
        <is>
          <t>Joeseph Waechter</t>
        </is>
      </c>
      <c r="N328" s="40" t="inlineStr">
        <is>
          <t>President &amp; Chief Executive Officer</t>
        </is>
      </c>
      <c r="O328" s="41" t="inlineStr">
        <is>
          <t>joe.waechter@winedirect.com</t>
        </is>
      </c>
      <c r="P328" s="42" t="inlineStr">
        <is>
          <t>+1 (707) 603-4000</t>
        </is>
      </c>
      <c r="Q328" s="43" t="n">
        <v>2002.0</v>
      </c>
      <c r="R328" s="114">
        <f>HYPERLINK("https://my.pitchbook.com?c=54046-45", "View company online")</f>
      </c>
    </row>
    <row r="329">
      <c r="A329" s="9" t="inlineStr">
        <is>
          <t>55340-20</t>
        </is>
      </c>
      <c r="B329" s="10" t="inlineStr">
        <is>
          <t>WindSim</t>
        </is>
      </c>
      <c r="C329" s="11" t="inlineStr">
        <is>
          <t>N-3125</t>
        </is>
      </c>
      <c r="D329" s="12" t="inlineStr">
        <is>
          <t>Provider of software for the simulation of wind resources in complex terrain. The company develops Computational Fluid Dynamics (CFD) technology to optimize wind turbine placement so that users can design profitable wind farms.</t>
        </is>
      </c>
      <c r="E329" s="13" t="inlineStr">
        <is>
          <t>Other Energy</t>
        </is>
      </c>
      <c r="F329" s="14" t="inlineStr">
        <is>
          <t>Tønsberg, Norway</t>
        </is>
      </c>
      <c r="G329" s="15" t="inlineStr">
        <is>
          <t>Privately Held (backing)</t>
        </is>
      </c>
      <c r="H329" s="16" t="inlineStr">
        <is>
          <t>Venture Capital-Backed</t>
        </is>
      </c>
      <c r="I329" s="17" t="inlineStr">
        <is>
          <t>Sarsia</t>
        </is>
      </c>
      <c r="J329" s="18" t="inlineStr">
        <is>
          <t>www.windsim.com</t>
        </is>
      </c>
      <c r="K329" s="19" t="inlineStr">
        <is>
          <t>info@windsim.com</t>
        </is>
      </c>
      <c r="L329" s="20" t="inlineStr">
        <is>
          <t>+47 33 38 18 00</t>
        </is>
      </c>
      <c r="M329" s="21" t="inlineStr">
        <is>
          <t>John Romma</t>
        </is>
      </c>
      <c r="N329" s="22" t="inlineStr">
        <is>
          <t>Chief Executive Officer</t>
        </is>
      </c>
      <c r="O329" s="23" t="inlineStr">
        <is>
          <t>john.olaf.romma@windsim.com</t>
        </is>
      </c>
      <c r="P329" s="24" t="inlineStr">
        <is>
          <t>+47 33 38 18 00</t>
        </is>
      </c>
      <c r="Q329" s="25" t="n">
        <v>1993.0</v>
      </c>
      <c r="R329" s="113">
        <f>HYPERLINK("https://my.pitchbook.com?c=55340-20", "View company online")</f>
      </c>
    </row>
    <row r="330">
      <c r="A330" s="27" t="inlineStr">
        <is>
          <t>55078-12</t>
        </is>
      </c>
      <c r="B330" s="28" t="inlineStr">
        <is>
          <t>Window Seat</t>
        </is>
      </c>
      <c r="C330" s="29" t="inlineStr">
        <is>
          <t>94131</t>
        </is>
      </c>
      <c r="D330" s="30" t="inlineStr">
        <is>
          <t>Provider of online, in-flight, location-based content and entertainment. The company provides web based, location-aware content and entertainment to wifi-connected airline passengers.</t>
        </is>
      </c>
      <c r="E330" s="31" t="inlineStr">
        <is>
          <t>Information Services (B2C)</t>
        </is>
      </c>
      <c r="F330" s="32" t="inlineStr">
        <is>
          <t>San Francisco, CA</t>
        </is>
      </c>
      <c r="G330" s="33" t="inlineStr">
        <is>
          <t>Privately Held (backing)</t>
        </is>
      </c>
      <c r="H330" s="34" t="inlineStr">
        <is>
          <t>Venture Capital-Backed</t>
        </is>
      </c>
      <c r="I330" s="35" t="inlineStr">
        <is>
          <t>Visium Asset Management</t>
        </is>
      </c>
      <c r="J330" s="36" t="inlineStr">
        <is>
          <t>www.mondowindow.com</t>
        </is>
      </c>
      <c r="K330" s="37" t="inlineStr">
        <is>
          <t>contact@mondowindow.com</t>
        </is>
      </c>
      <c r="L330" s="38" t="inlineStr">
        <is>
          <t>+1 (415) 845-3577</t>
        </is>
      </c>
      <c r="M330" s="39" t="inlineStr">
        <is>
          <t>Tyler Sterkel</t>
        </is>
      </c>
      <c r="N330" s="40" t="inlineStr">
        <is>
          <t>Co-Founder &amp; Chief Executive Officer</t>
        </is>
      </c>
      <c r="O330" s="41" t="inlineStr">
        <is>
          <t>tyler.sterkel@mondowindow.com</t>
        </is>
      </c>
      <c r="P330" s="42" t="inlineStr">
        <is>
          <t>+1 (415) 845-3577</t>
        </is>
      </c>
      <c r="Q330" s="43" t="n">
        <v>2010.0</v>
      </c>
      <c r="R330" s="114">
        <f>HYPERLINK("https://my.pitchbook.com?c=55078-12", "View company online")</f>
      </c>
    </row>
    <row r="331">
      <c r="A331" s="9" t="inlineStr">
        <is>
          <t>53835-85</t>
        </is>
      </c>
      <c r="B331" s="10" t="inlineStr">
        <is>
          <t>Windensity</t>
        </is>
      </c>
      <c r="C331" s="11" t="inlineStr">
        <is>
          <t>95648</t>
        </is>
      </c>
      <c r="D331" s="12" t="inlineStr">
        <is>
          <t>Developer of ducted wind turbines for use on commercial and industrial rooftops. The company sells the turbines to business customers.</t>
        </is>
      </c>
      <c r="E331" s="13" t="inlineStr">
        <is>
          <t>Machinery (B2B)</t>
        </is>
      </c>
      <c r="F331" s="14" t="inlineStr">
        <is>
          <t>Lincoln, CA</t>
        </is>
      </c>
      <c r="G331" s="15" t="inlineStr">
        <is>
          <t>Privately Held (backing)</t>
        </is>
      </c>
      <c r="H331" s="16" t="inlineStr">
        <is>
          <t>Venture Capital-Backed</t>
        </is>
      </c>
      <c r="I331" s="17" t="inlineStr">
        <is>
          <t>Strategis Early Ventures, Velocity Venture Capital</t>
        </is>
      </c>
      <c r="J331" s="18" t="inlineStr">
        <is>
          <t/>
        </is>
      </c>
      <c r="K331" s="19" t="inlineStr">
        <is>
          <t/>
        </is>
      </c>
      <c r="L331" s="20" t="inlineStr">
        <is>
          <t>+1 (916) 412-3463</t>
        </is>
      </c>
      <c r="M331" s="21" t="inlineStr">
        <is>
          <t>Stanley Marquiss</t>
        </is>
      </c>
      <c r="N331" s="22" t="inlineStr">
        <is>
          <t>Founder</t>
        </is>
      </c>
      <c r="O331" s="23" t="inlineStr">
        <is>
          <t/>
        </is>
      </c>
      <c r="P331" s="24" t="inlineStr">
        <is>
          <t>+1 (916) 932-7197</t>
        </is>
      </c>
      <c r="Q331" s="25" t="n">
        <v>2006.0</v>
      </c>
      <c r="R331" s="113">
        <f>HYPERLINK("https://my.pitchbook.com?c=53835-85", "View company online")</f>
      </c>
    </row>
    <row r="332">
      <c r="A332" s="27" t="inlineStr">
        <is>
          <t>55531-09</t>
        </is>
      </c>
      <c r="B332" s="28" t="inlineStr">
        <is>
          <t>Winc</t>
        </is>
      </c>
      <c r="C332" s="29" t="inlineStr">
        <is>
          <t>90066</t>
        </is>
      </c>
      <c r="D332" s="30" t="inlineStr">
        <is>
          <t>Provider of an online and personalized wine subscription service. The company provides service works by assessing customers' likes and dislikes and offering wines that match customer palates.</t>
        </is>
      </c>
      <c r="E332" s="31" t="inlineStr">
        <is>
          <t>Beverages</t>
        </is>
      </c>
      <c r="F332" s="32" t="inlineStr">
        <is>
          <t>Los Angeles, CA</t>
        </is>
      </c>
      <c r="G332" s="33" t="inlineStr">
        <is>
          <t>Privately Held (backing)</t>
        </is>
      </c>
      <c r="H332" s="34" t="inlineStr">
        <is>
          <t>Venture Capital-Backed</t>
        </is>
      </c>
      <c r="I332" s="35" t="inlineStr">
        <is>
          <t>500 Startups, Amplify.LA, Ascend Venture Group, Bessemer Venture Partners, Brener International Group, Canyon Creek Capital, Crosscut Ventures, David McClure, Guild Capital, Individual Investor, Josh Spear, Kris Bjornerud, Paul Bricault, Shining Capital, Wavemaker Partners</t>
        </is>
      </c>
      <c r="J332" s="36" t="inlineStr">
        <is>
          <t>www.winc.com</t>
        </is>
      </c>
      <c r="K332" s="37" t="inlineStr">
        <is>
          <t/>
        </is>
      </c>
      <c r="L332" s="38" t="inlineStr">
        <is>
          <t>+1 (855) 282-5829</t>
        </is>
      </c>
      <c r="M332" s="39" t="inlineStr">
        <is>
          <t>Geoffrey McFarlane</t>
        </is>
      </c>
      <c r="N332" s="40" t="inlineStr">
        <is>
          <t>Co-Founder, Chief Financial Officer &amp; Chief Operating Officer</t>
        </is>
      </c>
      <c r="O332" s="41" t="inlineStr">
        <is>
          <t>geoff@winc.com</t>
        </is>
      </c>
      <c r="P332" s="42" t="inlineStr">
        <is>
          <t>+1 (855) 282-5829</t>
        </is>
      </c>
      <c r="Q332" s="43" t="n">
        <v>2011.0</v>
      </c>
      <c r="R332" s="114">
        <f>HYPERLINK("https://my.pitchbook.com?c=55531-09", "View company online")</f>
      </c>
    </row>
    <row r="333">
      <c r="A333" s="9" t="inlineStr">
        <is>
          <t>65905-93</t>
        </is>
      </c>
      <c r="B333" s="10" t="inlineStr">
        <is>
          <t>Willowglade Technologies</t>
        </is>
      </c>
      <c r="C333" s="11" t="inlineStr">
        <is>
          <t>92688</t>
        </is>
      </c>
      <c r="D333" s="12" t="inlineStr">
        <is>
          <t>Provider of platforms and applications which help in patient engagement. The company offers a patient-centric platform enabling the patient to inform and participate in their own care coordination and cancer navigation process.</t>
        </is>
      </c>
      <c r="E333" s="13" t="inlineStr">
        <is>
          <t>Other Healthcare Technology Systems</t>
        </is>
      </c>
      <c r="F333" s="14" t="inlineStr">
        <is>
          <t>Rancho Santa Margarita, CA</t>
        </is>
      </c>
      <c r="G333" s="15" t="inlineStr">
        <is>
          <t>Privately Held (backing)</t>
        </is>
      </c>
      <c r="H333" s="16" t="inlineStr">
        <is>
          <t>Venture Capital-Backed</t>
        </is>
      </c>
      <c r="I333" s="17" t="inlineStr">
        <is>
          <t>Tallwave</t>
        </is>
      </c>
      <c r="J333" s="18" t="inlineStr">
        <is>
          <t>www.willowgladetechnologies.com</t>
        </is>
      </c>
      <c r="K333" s="19" t="inlineStr">
        <is>
          <t>info@willowgladetechnologies.com</t>
        </is>
      </c>
      <c r="L333" s="20" t="inlineStr">
        <is>
          <t/>
        </is>
      </c>
      <c r="M333" s="21" t="inlineStr">
        <is>
          <t>John Papandrea</t>
        </is>
      </c>
      <c r="N333" s="22" t="inlineStr">
        <is>
          <t>President, Chief Executive Officer &amp; Founder</t>
        </is>
      </c>
      <c r="O333" s="23" t="inlineStr">
        <is>
          <t>john.papandrea@willowgladetechnologies.com</t>
        </is>
      </c>
      <c r="P333" s="24" t="inlineStr">
        <is>
          <t/>
        </is>
      </c>
      <c r="Q333" s="25" t="n">
        <v>2013.0</v>
      </c>
      <c r="R333" s="113">
        <f>HYPERLINK("https://my.pitchbook.com?c=65905-93", "View company online")</f>
      </c>
    </row>
    <row r="334">
      <c r="A334" s="27" t="inlineStr">
        <is>
          <t>122343-04</t>
        </is>
      </c>
      <c r="B334" s="28" t="inlineStr">
        <is>
          <t>William Caruso &amp; Associates</t>
        </is>
      </c>
      <c r="C334" s="29" t="inlineStr">
        <is>
          <t>80237</t>
        </is>
      </c>
      <c r="D334" s="30" t="inlineStr">
        <is>
          <t>Provider of planning and design services designed to provide services to the industrial projects. The company provides planning, design, consultancy services and management advisory services for food, beverage, laundry and solid waste systems industries, enabling businesses to work efficiently and bring profits.</t>
        </is>
      </c>
      <c r="E334" s="31" t="inlineStr">
        <is>
          <t>Consulting Services (B2B)</t>
        </is>
      </c>
      <c r="F334" s="32" t="inlineStr">
        <is>
          <t>Denver, CO</t>
        </is>
      </c>
      <c r="G334" s="33" t="inlineStr">
        <is>
          <t>Privately Held (backing)</t>
        </is>
      </c>
      <c r="H334" s="34" t="inlineStr">
        <is>
          <t>Venture Capital-Backed</t>
        </is>
      </c>
      <c r="I334" s="35" t="inlineStr">
        <is>
          <t>Aegis Enterprises</t>
        </is>
      </c>
      <c r="J334" s="36" t="inlineStr">
        <is>
          <t>www.wcarusoassoc.com</t>
        </is>
      </c>
      <c r="K334" s="37" t="inlineStr">
        <is>
          <t/>
        </is>
      </c>
      <c r="L334" s="38" t="inlineStr">
        <is>
          <t>+1 (303) 649-1600</t>
        </is>
      </c>
      <c r="M334" s="39" t="inlineStr">
        <is>
          <t>William Caruso</t>
        </is>
      </c>
      <c r="N334" s="40" t="inlineStr">
        <is>
          <t>Founder, Owner &amp; President</t>
        </is>
      </c>
      <c r="O334" s="41" t="inlineStr">
        <is>
          <t>william.caruso@wcarusoassoc.com</t>
        </is>
      </c>
      <c r="P334" s="42" t="inlineStr">
        <is>
          <t>+1 (303) 649-1600</t>
        </is>
      </c>
      <c r="Q334" s="43" t="n">
        <v>1987.0</v>
      </c>
      <c r="R334" s="114">
        <f>HYPERLINK("https://my.pitchbook.com?c=122343-04", "View company online")</f>
      </c>
    </row>
    <row r="335">
      <c r="A335" s="9" t="inlineStr">
        <is>
          <t>12656-98</t>
        </is>
      </c>
      <c r="B335" s="10" t="inlineStr">
        <is>
          <t>WildTangent</t>
        </is>
      </c>
      <c r="C335" s="11" t="inlineStr">
        <is>
          <t>98052</t>
        </is>
      </c>
      <c r="D335" s="12" t="inlineStr">
        <is>
          <t>Provider of an online gaming service and game advertising network designed to focus on the distribution and monetization of mobile and online applications. The company's online gaming service and game advertising network offers a portfolio of gaming content to casual, family and hardcore gamers, enabling brand advertisers to connect with targeted gaming audiences across WildTangent games, Facebook and online game destinations.</t>
        </is>
      </c>
      <c r="E335" s="13" t="inlineStr">
        <is>
          <t>Application Software</t>
        </is>
      </c>
      <c r="F335" s="14" t="inlineStr">
        <is>
          <t>Redmond, WA</t>
        </is>
      </c>
      <c r="G335" s="15" t="inlineStr">
        <is>
          <t>Privately Held (backing)</t>
        </is>
      </c>
      <c r="H335" s="16" t="inlineStr">
        <is>
          <t>Venture Capital-Backed</t>
        </is>
      </c>
      <c r="I335" s="17" t="inlineStr">
        <is>
          <t>Accenture Technology Ventures, Advanced Technology Ventures, East Peak Capital, GGV Capital, Greylock Partners, Hercules Capital, IDG Ventures USA, Industry Ventures, Madrona Venture Group, Millennium Technology Value Partners, New Millennium Partners, Sony Corporation of America, Venture Law Group, Washington Mutual Bank, WPP Ventures</t>
        </is>
      </c>
      <c r="J335" s="18" t="inlineStr">
        <is>
          <t>www.wildtangent.com</t>
        </is>
      </c>
      <c r="K335" s="19" t="inlineStr">
        <is>
          <t/>
        </is>
      </c>
      <c r="L335" s="20" t="inlineStr">
        <is>
          <t>+1 (425) 497-4545</t>
        </is>
      </c>
      <c r="M335" s="21" t="inlineStr">
        <is>
          <t>Matt Shea</t>
        </is>
      </c>
      <c r="N335" s="22" t="inlineStr">
        <is>
          <t>Chief Executive Officer</t>
        </is>
      </c>
      <c r="O335" s="23" t="inlineStr">
        <is>
          <t/>
        </is>
      </c>
      <c r="P335" s="24" t="inlineStr">
        <is>
          <t>+1 (425) 497-4545</t>
        </is>
      </c>
      <c r="Q335" s="25" t="n">
        <v>1998.0</v>
      </c>
      <c r="R335" s="113">
        <f>HYPERLINK("https://my.pitchbook.com?c=12656-98", "View company online")</f>
      </c>
    </row>
    <row r="336">
      <c r="A336" s="27" t="inlineStr">
        <is>
          <t>60632-74</t>
        </is>
      </c>
      <c r="B336" s="28" t="inlineStr">
        <is>
          <t>Wildflower Health</t>
        </is>
      </c>
      <c r="C336" s="29" t="inlineStr">
        <is>
          <t>94129</t>
        </is>
      </c>
      <c r="D336" s="30" t="inlineStr">
        <is>
          <t>Developer of health engagement platform for women. The company developed Due Date Plus which is a mobile maternity program that uses self-reported data to identify high-risk pregnancies and drive interventions by delivering customized tools and content, referring users to care management programs and in some cases steering towards healthcare providers.</t>
        </is>
      </c>
      <c r="E336" s="31" t="inlineStr">
        <is>
          <t>Application Software</t>
        </is>
      </c>
      <c r="F336" s="32" t="inlineStr">
        <is>
          <t>San Francisco, CA</t>
        </is>
      </c>
      <c r="G336" s="33" t="inlineStr">
        <is>
          <t>Privately Held (backing)</t>
        </is>
      </c>
      <c r="H336" s="34" t="inlineStr">
        <is>
          <t>Venture Capital-Backed</t>
        </is>
      </c>
      <c r="I336" s="35" t="inlineStr">
        <is>
          <t>Cambia Health Solutions, Easton Capital Investment Group, Exxclaim Capital, Hatteras Venture Partners, HealthTech Capital, KMG Partners, Rock Health, Xandex Investments</t>
        </is>
      </c>
      <c r="J336" s="36" t="inlineStr">
        <is>
          <t>www.wildflowerhealth.com</t>
        </is>
      </c>
      <c r="K336" s="37" t="inlineStr">
        <is>
          <t/>
        </is>
      </c>
      <c r="L336" s="38" t="inlineStr">
        <is>
          <t>+1 (415) 430-7543</t>
        </is>
      </c>
      <c r="M336" s="39" t="inlineStr">
        <is>
          <t>Leah Sparks</t>
        </is>
      </c>
      <c r="N336" s="40" t="inlineStr">
        <is>
          <t>Co-Founder &amp; Chief Executive Officer</t>
        </is>
      </c>
      <c r="O336" s="41" t="inlineStr">
        <is>
          <t>leah.sparks@wildflowerhealth.com</t>
        </is>
      </c>
      <c r="P336" s="42" t="inlineStr">
        <is>
          <t>+1 (415) 430-7543</t>
        </is>
      </c>
      <c r="Q336" s="43" t="n">
        <v>2012.0</v>
      </c>
      <c r="R336" s="114">
        <f>HYPERLINK("https://my.pitchbook.com?c=60632-74", "View company online")</f>
      </c>
    </row>
    <row r="337">
      <c r="A337" s="9" t="inlineStr">
        <is>
          <t>51554-98</t>
        </is>
      </c>
      <c r="B337" s="10" t="inlineStr">
        <is>
          <t>Wildcat Discovery Technologies</t>
        </is>
      </c>
      <c r="C337" s="11" t="inlineStr">
        <is>
          <t>92121</t>
        </is>
      </c>
      <c r="D337" s="12" t="inlineStr">
        <is>
          <t>Developer of materials for energy applications. The company develops materials for rechargeable and primary batteries. It also provides collaborative development projects for gas storage, carbon capture, thermoelectrics and structural materials. The company's business model includes two aspects: collaborations and licenses.</t>
        </is>
      </c>
      <c r="E337" s="13" t="inlineStr">
        <is>
          <t>Energy Storage</t>
        </is>
      </c>
      <c r="F337" s="14" t="inlineStr">
        <is>
          <t>San Diego, CA</t>
        </is>
      </c>
      <c r="G337" s="15" t="inlineStr">
        <is>
          <t>Privately Held (backing)</t>
        </is>
      </c>
      <c r="H337" s="16" t="inlineStr">
        <is>
          <t>Venture Capital-Backed</t>
        </is>
      </c>
      <c r="I337" s="17" t="inlineStr">
        <is>
          <t>5AM Ventures, Infield Capital, Presidio Partners, U.S. Department of Energy, Virgin Green Fund, Vision Ridge Partners</t>
        </is>
      </c>
      <c r="J337" s="18" t="inlineStr">
        <is>
          <t>www.wildcatdiscovery.com</t>
        </is>
      </c>
      <c r="K337" s="19" t="inlineStr">
        <is>
          <t>info@wildcatdiscovery.com</t>
        </is>
      </c>
      <c r="L337" s="20" t="inlineStr">
        <is>
          <t>+1 (858) 550-1980</t>
        </is>
      </c>
      <c r="M337" s="21" t="inlineStr">
        <is>
          <t>Gene Lyons</t>
        </is>
      </c>
      <c r="N337" s="22" t="inlineStr">
        <is>
          <t>Chief Financial Officer</t>
        </is>
      </c>
      <c r="O337" s="23" t="inlineStr">
        <is>
          <t>glyons@wildcatdiscovery.com</t>
        </is>
      </c>
      <c r="P337" s="24" t="inlineStr">
        <is>
          <t>+1 (858) 550-1980</t>
        </is>
      </c>
      <c r="Q337" s="25" t="n">
        <v>2006.0</v>
      </c>
      <c r="R337" s="113">
        <f>HYPERLINK("https://my.pitchbook.com?c=51554-98", "View company online")</f>
      </c>
    </row>
    <row r="338">
      <c r="A338" s="27" t="inlineStr">
        <is>
          <t>173929-96</t>
        </is>
      </c>
      <c r="B338" s="28" t="inlineStr">
        <is>
          <t>WildBlue</t>
        </is>
      </c>
      <c r="C338" s="86">
        <f>HYPERLINK("https://my.pitchbook.com?rrp=173929-96&amp;type=c", "This Company's information is not available to download. Need this Company? Request availability")</f>
      </c>
      <c r="D338" s="30" t="inlineStr">
        <is>
          <t/>
        </is>
      </c>
      <c r="E338" s="31" t="inlineStr">
        <is>
          <t/>
        </is>
      </c>
      <c r="F338" s="32" t="inlineStr">
        <is>
          <t/>
        </is>
      </c>
      <c r="G338" s="33" t="inlineStr">
        <is>
          <t/>
        </is>
      </c>
      <c r="H338" s="34" t="inlineStr">
        <is>
          <t/>
        </is>
      </c>
      <c r="I338" s="35" t="inlineStr">
        <is>
          <t/>
        </is>
      </c>
      <c r="J338" s="36" t="inlineStr">
        <is>
          <t/>
        </is>
      </c>
      <c r="K338" s="37" t="inlineStr">
        <is>
          <t/>
        </is>
      </c>
      <c r="L338" s="38" t="inlineStr">
        <is>
          <t/>
        </is>
      </c>
      <c r="M338" s="39" t="inlineStr">
        <is>
          <t/>
        </is>
      </c>
      <c r="N338" s="40" t="inlineStr">
        <is>
          <t/>
        </is>
      </c>
      <c r="O338" s="41" t="inlineStr">
        <is>
          <t/>
        </is>
      </c>
      <c r="P338" s="42" t="inlineStr">
        <is>
          <t/>
        </is>
      </c>
      <c r="Q338" s="43" t="inlineStr">
        <is>
          <t/>
        </is>
      </c>
      <c r="R338" s="44" t="inlineStr">
        <is>
          <t/>
        </is>
      </c>
    </row>
    <row r="339">
      <c r="A339" s="9" t="inlineStr">
        <is>
          <t>55804-78</t>
        </is>
      </c>
      <c r="B339" s="10" t="inlineStr">
        <is>
          <t>Wikitude</t>
        </is>
      </c>
      <c r="C339" s="11" t="inlineStr">
        <is>
          <t>5020</t>
        </is>
      </c>
      <c r="D339" s="12" t="inlineStr">
        <is>
          <t>Developer of an augmented reality (AR) technology. The company provides a technology in which real-time data is overlaid onto images taken by the device's camera.</t>
        </is>
      </c>
      <c r="E339" s="13" t="inlineStr">
        <is>
          <t>Application Software</t>
        </is>
      </c>
      <c r="F339" s="14" t="inlineStr">
        <is>
          <t>Salzburg, Austria</t>
        </is>
      </c>
      <c r="G339" s="15" t="inlineStr">
        <is>
          <t>Privately Held (backing)</t>
        </is>
      </c>
      <c r="H339" s="16" t="inlineStr">
        <is>
          <t>Venture Capital-Backed</t>
        </is>
      </c>
      <c r="I339" s="17" t="inlineStr">
        <is>
          <t>GCP Gamma Capital Partners, i5invest, Konica Minolta, Markus Wagner, Oliver Holle, Tecnet Equity</t>
        </is>
      </c>
      <c r="J339" s="18" t="inlineStr">
        <is>
          <t>www.wikitude.com</t>
        </is>
      </c>
      <c r="K339" s="19" t="inlineStr">
        <is>
          <t>info@wikitude.com</t>
        </is>
      </c>
      <c r="L339" s="20" t="inlineStr">
        <is>
          <t>+43 (0)662 2433 10</t>
        </is>
      </c>
      <c r="M339" s="21" t="inlineStr">
        <is>
          <t>Martin Herdina</t>
        </is>
      </c>
      <c r="N339" s="22" t="inlineStr">
        <is>
          <t>Chief Executive Officer</t>
        </is>
      </c>
      <c r="O339" s="23" t="inlineStr">
        <is>
          <t>martin.herdina@wikitude.com</t>
        </is>
      </c>
      <c r="P339" s="24" t="inlineStr">
        <is>
          <t>+43 (0)662 2433 10</t>
        </is>
      </c>
      <c r="Q339" s="25" t="n">
        <v>2008.0</v>
      </c>
      <c r="R339" s="113">
        <f>HYPERLINK("https://my.pitchbook.com?c=55804-78", "View company online")</f>
      </c>
    </row>
    <row r="340">
      <c r="A340" s="27" t="inlineStr">
        <is>
          <t>56236-06</t>
        </is>
      </c>
      <c r="B340" s="28" t="inlineStr">
        <is>
          <t>Wikimart</t>
        </is>
      </c>
      <c r="C340" s="29" t="inlineStr">
        <is>
          <t>115114</t>
        </is>
      </c>
      <c r="D340" s="30" t="inlineStr">
        <is>
          <t>Provider of an online marketplace platform designed to be market leader in e-commerce. The company's online marketplace platform sells items in all major product categories from consumer electronics to home appliances to apparel and has only professional merchants on the seller side and online buyers on the consumer side, enabling buyers and sellers to transact fairly and securely.</t>
        </is>
      </c>
      <c r="E340" s="31" t="inlineStr">
        <is>
          <t>Media and Information Services (B2B)</t>
        </is>
      </c>
      <c r="F340" s="32" t="inlineStr">
        <is>
          <t>Moscow, Russia</t>
        </is>
      </c>
      <c r="G340" s="33" t="inlineStr">
        <is>
          <t>Privately Held (backing)</t>
        </is>
      </c>
      <c r="H340" s="34" t="inlineStr">
        <is>
          <t>Venture Capital-Backed</t>
        </is>
      </c>
      <c r="I340" s="35" t="inlineStr">
        <is>
          <t>Anatoliy Goncharov, Cem Sertoglu, Great Oaks Venture Capital, Individual Investor, Michael van Swaaij, Robert Dighero, Stephan Paternot, Taavet Hinrikus, Tiger Global Management</t>
        </is>
      </c>
      <c r="J340" s="36" t="inlineStr">
        <is>
          <t>www.wikimart.ru</t>
        </is>
      </c>
      <c r="K340" s="37" t="inlineStr">
        <is>
          <t>info@wikimart.ru</t>
        </is>
      </c>
      <c r="L340" s="38" t="inlineStr">
        <is>
          <t>+7 (8)495 641 5885</t>
        </is>
      </c>
      <c r="M340" s="39" t="inlineStr">
        <is>
          <t>Kamil Kurmakaev</t>
        </is>
      </c>
      <c r="N340" s="40" t="inlineStr">
        <is>
          <t>Co-Founder</t>
        </is>
      </c>
      <c r="O340" s="41" t="inlineStr">
        <is>
          <t/>
        </is>
      </c>
      <c r="P340" s="42" t="inlineStr">
        <is>
          <t>+7 (8)495 641 5885</t>
        </is>
      </c>
      <c r="Q340" s="43" t="n">
        <v>2008.0</v>
      </c>
      <c r="R340" s="114">
        <f>HYPERLINK("https://my.pitchbook.com?c=56236-06", "View company online")</f>
      </c>
    </row>
    <row r="341">
      <c r="A341" s="9" t="inlineStr">
        <is>
          <t>51341-59</t>
        </is>
      </c>
      <c r="B341" s="10" t="inlineStr">
        <is>
          <t>Wikia</t>
        </is>
      </c>
      <c r="C341" s="11" t="inlineStr">
        <is>
          <t>94107</t>
        </is>
      </c>
      <c r="D341" s="12" t="inlineStr">
        <is>
          <t>Provider of an online community for people to collaboratively publish content on the web. The company's platform allows its users to form new communities around any subject they want to participate by reading or contributing new content.</t>
        </is>
      </c>
      <c r="E341" s="13" t="inlineStr">
        <is>
          <t>Social/Platform Software</t>
        </is>
      </c>
      <c r="F341" s="14" t="inlineStr">
        <is>
          <t>San Francisco, CA</t>
        </is>
      </c>
      <c r="G341" s="15" t="inlineStr">
        <is>
          <t>Privately Held (backing)</t>
        </is>
      </c>
      <c r="H341" s="16" t="inlineStr">
        <is>
          <t>Venture Capital-Backed</t>
        </is>
      </c>
      <c r="I341" s="17" t="inlineStr">
        <is>
          <t>Amazon.com, Bessemer Venture Partners, Dan Gillmor, Delta-v Capital, Digital Garage, Endeavour Partners, First Round Capital, Gil Penchina, IVP, Joichi Ito, Mitchell Kapor, Nobuyuki Idei, Omidyar Network, Reid Hoffman, Suneight, SV Angel, Tose Company, Tugboat Ventures</t>
        </is>
      </c>
      <c r="J341" s="18" t="inlineStr">
        <is>
          <t>www.wikia.com</t>
        </is>
      </c>
      <c r="K341" s="19" t="inlineStr">
        <is>
          <t/>
        </is>
      </c>
      <c r="L341" s="20" t="inlineStr">
        <is>
          <t>+1 (650) 548-0800</t>
        </is>
      </c>
      <c r="M341" s="21" t="inlineStr">
        <is>
          <t>Bud Austin</t>
        </is>
      </c>
      <c r="N341" s="22" t="inlineStr">
        <is>
          <t>Chief Financial Officer</t>
        </is>
      </c>
      <c r="O341" s="23" t="inlineStr">
        <is>
          <t>baustin@kranzassoc.com</t>
        </is>
      </c>
      <c r="P341" s="24" t="inlineStr">
        <is>
          <t>+1 (650) 854-4400x202</t>
        </is>
      </c>
      <c r="Q341" s="25" t="n">
        <v>2004.0</v>
      </c>
      <c r="R341" s="113">
        <f>HYPERLINK("https://my.pitchbook.com?c=51341-59", "View company online")</f>
      </c>
    </row>
    <row r="342">
      <c r="A342" s="27" t="inlineStr">
        <is>
          <t>102759-40</t>
        </is>
      </c>
      <c r="B342" s="28" t="inlineStr">
        <is>
          <t>Wiivv</t>
        </is>
      </c>
      <c r="C342" s="29" t="inlineStr">
        <is>
          <t>V6B 2K4</t>
        </is>
      </c>
      <c r="D342" s="30" t="inlineStr">
        <is>
          <t>Manufacturer of bio mechanically optimized custom insoles designed to promote body alignment and reduced foot fatigue. The company's body-perfect custom insoles are designed with custom-fit, 3D printed footwear using a computer vision and capture technology to promote body alignment and reduce foot fatigue.</t>
        </is>
      </c>
      <c r="E342" s="31" t="inlineStr">
        <is>
          <t>Footwear</t>
        </is>
      </c>
      <c r="F342" s="32" t="inlineStr">
        <is>
          <t>Vancouver, Canada</t>
        </is>
      </c>
      <c r="G342" s="33" t="inlineStr">
        <is>
          <t>Privately Held (backing)</t>
        </is>
      </c>
      <c r="H342" s="34" t="inlineStr">
        <is>
          <t>Venture Capital-Backed</t>
        </is>
      </c>
      <c r="I342" s="35" t="inlineStr">
        <is>
          <t>Asimov Ventures, Canadian Government, Eclipse Ventures, Evonik Venture Capital, FIT Technology Group, Formation 8, MAS Holdings, Real Ventures, Relentless Pursuits Partners, Vyomesh Joshi, William Andrew</t>
        </is>
      </c>
      <c r="J342" s="36" t="inlineStr">
        <is>
          <t>www.wiivv.com</t>
        </is>
      </c>
      <c r="K342" s="37" t="inlineStr">
        <is>
          <t>care@wiivv.com</t>
        </is>
      </c>
      <c r="L342" s="38" t="inlineStr">
        <is>
          <t>+1 (844) 944-8848</t>
        </is>
      </c>
      <c r="M342" s="39" t="inlineStr">
        <is>
          <t>Shamil Hargovan</t>
        </is>
      </c>
      <c r="N342" s="40" t="inlineStr">
        <is>
          <t>Co-Founder, Chief Executive Officer &amp; Board Member</t>
        </is>
      </c>
      <c r="O342" s="41" t="inlineStr">
        <is>
          <t>shamil@wiivv.com</t>
        </is>
      </c>
      <c r="P342" s="42" t="inlineStr">
        <is>
          <t>+1 (844) 944-8848</t>
        </is>
      </c>
      <c r="Q342" s="43" t="n">
        <v>2014.0</v>
      </c>
      <c r="R342" s="114">
        <f>HYPERLINK("https://my.pitchbook.com?c=102759-40", "View company online")</f>
      </c>
    </row>
    <row r="343">
      <c r="A343" s="9" t="inlineStr">
        <is>
          <t>64911-52</t>
        </is>
      </c>
      <c r="B343" s="10" t="inlineStr">
        <is>
          <t>Widerfi</t>
        </is>
      </c>
      <c r="C343" s="11" t="inlineStr">
        <is>
          <t>94085</t>
        </is>
      </c>
      <c r="D343" s="12" t="inlineStr">
        <is>
          <t>Provider of mobile communication services intended to monitor and control data package usage while on roaming tariff. The company offers smartphone and tablet connectivity similar to unlimited flat rate Wi-Fi but without coverage limitations, as the service runs on wide-reaching 3G and LTE infrastructures, providing customers with wide cellular network coverage.</t>
        </is>
      </c>
      <c r="E343" s="13" t="inlineStr">
        <is>
          <t>Telecommunications Service Providers</t>
        </is>
      </c>
      <c r="F343" s="14" t="inlineStr">
        <is>
          <t>Sunnyvale, CA</t>
        </is>
      </c>
      <c r="G343" s="15" t="inlineStr">
        <is>
          <t>Privately Held (backing)</t>
        </is>
      </c>
      <c r="H343" s="16" t="inlineStr">
        <is>
          <t>Venture Capital-Backed</t>
        </is>
      </c>
      <c r="I343" s="17" t="inlineStr">
        <is>
          <t>Nextury Ventures, Plug and Play Tech Center, Practica Capital</t>
        </is>
      </c>
      <c r="J343" s="18" t="inlineStr">
        <is>
          <t>www.widerfi.com</t>
        </is>
      </c>
      <c r="K343" s="19" t="inlineStr">
        <is>
          <t>info@widerfi.com</t>
        </is>
      </c>
      <c r="L343" s="20" t="inlineStr">
        <is>
          <t/>
        </is>
      </c>
      <c r="M343" s="21" t="inlineStr">
        <is>
          <t>Darius Gudaciauskas</t>
        </is>
      </c>
      <c r="N343" s="22" t="inlineStr">
        <is>
          <t>Co-Founder, Chief Executive Officer &amp; Board Member</t>
        </is>
      </c>
      <c r="O343" s="23" t="inlineStr">
        <is>
          <t>darius.gudaciauskas@widerfi.com</t>
        </is>
      </c>
      <c r="P343" s="24" t="inlineStr">
        <is>
          <t/>
        </is>
      </c>
      <c r="Q343" s="25" t="n">
        <v>2013.0</v>
      </c>
      <c r="R343" s="113">
        <f>HYPERLINK("https://my.pitchbook.com?c=64911-52", "View company online")</f>
      </c>
    </row>
    <row r="344">
      <c r="A344" s="27" t="inlineStr">
        <is>
          <t>135909-55</t>
        </is>
      </c>
      <c r="B344" s="28" t="inlineStr">
        <is>
          <t>WiderCircle</t>
        </is>
      </c>
      <c r="C344" s="29" t="inlineStr">
        <is>
          <t>94061</t>
        </is>
      </c>
      <c r="D344" s="30" t="inlineStr">
        <is>
          <t>Provider of an in-personal social platform designed to connect older adults and make them participate in different activities. The company's in-personal social platform helps to strengthen the circles of human connections among older adults, enabling them to share passion for healthcare, science and aging.</t>
        </is>
      </c>
      <c r="E344" s="31" t="inlineStr">
        <is>
          <t>Application Software</t>
        </is>
      </c>
      <c r="F344" s="32" t="inlineStr">
        <is>
          <t>Redwood City, CA</t>
        </is>
      </c>
      <c r="G344" s="33" t="inlineStr">
        <is>
          <t>Privately Held (backing)</t>
        </is>
      </c>
      <c r="H344" s="34" t="inlineStr">
        <is>
          <t>Venture Capital-Backed</t>
        </is>
      </c>
      <c r="I344" s="35" t="inlineStr">
        <is>
          <t>Graph Ventures</t>
        </is>
      </c>
      <c r="J344" s="36" t="inlineStr">
        <is>
          <t>www.widercircle.net</t>
        </is>
      </c>
      <c r="K344" s="37" t="inlineStr">
        <is>
          <t>info@widercircle.net</t>
        </is>
      </c>
      <c r="L344" s="38" t="inlineStr">
        <is>
          <t>+1 (650) 924-2491</t>
        </is>
      </c>
      <c r="M344" s="39" t="inlineStr">
        <is>
          <t>Moshe Pinto</t>
        </is>
      </c>
      <c r="N344" s="40" t="inlineStr">
        <is>
          <t>Co-Founder &amp; Chief Executive Officer</t>
        </is>
      </c>
      <c r="O344" s="41" t="inlineStr">
        <is>
          <t>moshe@widercircle.net</t>
        </is>
      </c>
      <c r="P344" s="42" t="inlineStr">
        <is>
          <t>+1 (650) 924-2491</t>
        </is>
      </c>
      <c r="Q344" s="43" t="n">
        <v>2015.0</v>
      </c>
      <c r="R344" s="114">
        <f>HYPERLINK("https://my.pitchbook.com?c=135909-55", "View company online")</f>
      </c>
    </row>
    <row r="345">
      <c r="A345" s="9" t="inlineStr">
        <is>
          <t>52390-27</t>
        </is>
      </c>
      <c r="B345" s="10" t="inlineStr">
        <is>
          <t>WideOrbit</t>
        </is>
      </c>
      <c r="C345" s="11" t="inlineStr">
        <is>
          <t>94111</t>
        </is>
      </c>
      <c r="D345" s="12" t="inlineStr">
        <is>
          <t>Provider of advertising management services. The company caters to the media industry and develops an online platform for managing advertising and sales.</t>
        </is>
      </c>
      <c r="E345" s="13" t="inlineStr">
        <is>
          <t>Media and Information Services (B2B)</t>
        </is>
      </c>
      <c r="F345" s="14" t="inlineStr">
        <is>
          <t>San Francisco, CA</t>
        </is>
      </c>
      <c r="G345" s="15" t="inlineStr">
        <is>
          <t>Privately Held (backing)</t>
        </is>
      </c>
      <c r="H345" s="16" t="inlineStr">
        <is>
          <t>Venture Capital-Backed</t>
        </is>
      </c>
      <c r="I345" s="17" t="inlineStr">
        <is>
          <t>Ali Partovi, Ali Partovi, Georges Harik, Greycroft Partners, Hearst Ventures, Khosla Ventures, Liberty Venture Partners, Mayfield Fund, Meredith, Paul Bricault, Scott Banister, SharesPost, The New York Times, Three Point Group</t>
        </is>
      </c>
      <c r="J345" s="18" t="inlineStr">
        <is>
          <t>www.wideorbit.com</t>
        </is>
      </c>
      <c r="K345" s="19" t="inlineStr">
        <is>
          <t>info@wideorbit.com</t>
        </is>
      </c>
      <c r="L345" s="20" t="inlineStr">
        <is>
          <t>+1 (415) 675-6700</t>
        </is>
      </c>
      <c r="M345" s="21" t="inlineStr">
        <is>
          <t>Margaret McCarthy</t>
        </is>
      </c>
      <c r="N345" s="22" t="inlineStr">
        <is>
          <t>Chief Financial Officer</t>
        </is>
      </c>
      <c r="O345" s="23" t="inlineStr">
        <is>
          <t>mmccarthy@wideorbit.com</t>
        </is>
      </c>
      <c r="P345" s="24" t="inlineStr">
        <is>
          <t>+1 (415) 675-6700</t>
        </is>
      </c>
      <c r="Q345" s="25" t="n">
        <v>1999.0</v>
      </c>
      <c r="R345" s="113">
        <f>HYPERLINK("https://my.pitchbook.com?c=52390-27", "View company online")</f>
      </c>
    </row>
    <row r="346">
      <c r="A346" s="27" t="inlineStr">
        <is>
          <t>61007-32</t>
        </is>
      </c>
      <c r="B346" s="28" t="inlineStr">
        <is>
          <t>Wideo</t>
        </is>
      </c>
      <c r="C346" s="29" t="inlineStr">
        <is>
          <t>94041</t>
        </is>
      </c>
      <c r="D346" s="30" t="inlineStr">
        <is>
          <t>Developer of an online animated video creation platform designed to empower people to create professional online videos. The company's video creation platform provides flexibility beyond templates &amp; themes and offers a selection of templates that can be customized to deliver a message or create one from scratch, helping users create, edit and share unique professional videos in order to elevate their online marketing strategy faster and easier.</t>
        </is>
      </c>
      <c r="E346" s="31" t="inlineStr">
        <is>
          <t>Multimedia and Design Software</t>
        </is>
      </c>
      <c r="F346" s="32" t="inlineStr">
        <is>
          <t>Mountain View, CA</t>
        </is>
      </c>
      <c r="G346" s="33" t="inlineStr">
        <is>
          <t>Privately Held (backing)</t>
        </is>
      </c>
      <c r="H346" s="34" t="inlineStr">
        <is>
          <t>Venture Capital-Backed</t>
        </is>
      </c>
      <c r="I346" s="35" t="inlineStr">
        <is>
          <t>500 Startups, NXTP Labs, Seedstars World, South Ventures</t>
        </is>
      </c>
      <c r="J346" s="36" t="inlineStr">
        <is>
          <t>www.wideo.co/en</t>
        </is>
      </c>
      <c r="K346" s="37" t="inlineStr">
        <is>
          <t>info@wideo.co</t>
        </is>
      </c>
      <c r="L346" s="38" t="inlineStr">
        <is>
          <t/>
        </is>
      </c>
      <c r="M346" s="39" t="inlineStr">
        <is>
          <t>Agu De Marco</t>
        </is>
      </c>
      <c r="N346" s="40" t="inlineStr">
        <is>
          <t>Chief Executive Officer &amp; Co-Founder</t>
        </is>
      </c>
      <c r="O346" s="41" t="inlineStr">
        <is>
          <t>agu@wideo.co</t>
        </is>
      </c>
      <c r="P346" s="42" t="inlineStr">
        <is>
          <t>+1 (415) 379-0248</t>
        </is>
      </c>
      <c r="Q346" s="43" t="n">
        <v>2012.0</v>
      </c>
      <c r="R346" s="114">
        <f>HYPERLINK("https://my.pitchbook.com?c=61007-32", "View company online")</f>
      </c>
    </row>
    <row r="347">
      <c r="A347" s="9" t="inlineStr">
        <is>
          <t>60487-57</t>
        </is>
      </c>
      <c r="B347" s="10" t="inlineStr">
        <is>
          <t>Wickr</t>
        </is>
      </c>
      <c r="C347" s="11" t="inlineStr">
        <is>
          <t>60606</t>
        </is>
      </c>
      <c r="D347" s="12" t="inlineStr">
        <is>
          <t>Provider of an end-to end encrypted communications platform designed to help people communicate privately, using military-grade encryption technology. The company's SaaS based mobile messaging platform Wickr, specializes in offering data security services which gives the users the ability to send self-destructing text, photo, and video messages enabling enterprises and consumers safeguard proprietary information and sensitive communications.</t>
        </is>
      </c>
      <c r="E347" s="13" t="inlineStr">
        <is>
          <t>Communication Software</t>
        </is>
      </c>
      <c r="F347" s="14" t="inlineStr">
        <is>
          <t>Chicago, IL</t>
        </is>
      </c>
      <c r="G347" s="15" t="inlineStr">
        <is>
          <t>Privately Held (backing)</t>
        </is>
      </c>
      <c r="H347" s="16" t="inlineStr">
        <is>
          <t>Venture Capital-Backed</t>
        </is>
      </c>
      <c r="I347" s="17" t="inlineStr">
        <is>
          <t>Alsop Louie Partners, Amit Yoran, Breyer Capital, CME Ventures, Dan Kaminsky, Daniel Loeb, Dolby Family Ventures, Eileen Burbidge, Enterprise Development Center, Erik Prince, Jeff Moss, Jeffrey Parks, Jerry Dixon, John S. and James L. Knight Foundation, Juniper Networks, Michele Burns, Paul Kocher, Peninsula Ventures, Richard A Clarke, Riverwood Capital, Sam Palmisano, Sand Hill East, Singtel Innov8, Thomas Tull, Thor Halvorssen, Whit Diffie</t>
        </is>
      </c>
      <c r="J347" s="18" t="inlineStr">
        <is>
          <t>www.wickr.com</t>
        </is>
      </c>
      <c r="K347" s="19" t="inlineStr">
        <is>
          <t>info@wickr.com</t>
        </is>
      </c>
      <c r="L347" s="20" t="inlineStr">
        <is>
          <t>+1 (312) 757-5505</t>
        </is>
      </c>
      <c r="M347" s="21" t="inlineStr">
        <is>
          <t>Joel Wallenstrom</t>
        </is>
      </c>
      <c r="N347" s="22" t="inlineStr">
        <is>
          <t>Chief Executive Officer</t>
        </is>
      </c>
      <c r="O347" s="23" t="inlineStr">
        <is>
          <t>joel.wallenstrom@nccgroup.com</t>
        </is>
      </c>
      <c r="P347" s="24" t="inlineStr">
        <is>
          <t>+1 (312) 757-5505</t>
        </is>
      </c>
      <c r="Q347" s="25" t="n">
        <v>2011.0</v>
      </c>
      <c r="R347" s="113">
        <f>HYPERLINK("https://my.pitchbook.com?c=60487-57", "View company online")</f>
      </c>
    </row>
    <row r="348">
      <c r="A348" s="27" t="inlineStr">
        <is>
          <t>99357-76</t>
        </is>
      </c>
      <c r="B348" s="28" t="inlineStr">
        <is>
          <t>Wicked Fun</t>
        </is>
      </c>
      <c r="C348" s="29" t="inlineStr">
        <is>
          <t>94608</t>
        </is>
      </c>
      <c r="D348" s="30" t="inlineStr">
        <is>
          <t>Developer of a real-time gaming platform. The company's real-time gaming platform offers puzzled strategy based games for its customers.</t>
        </is>
      </c>
      <c r="E348" s="31" t="inlineStr">
        <is>
          <t>Entertainment Software</t>
        </is>
      </c>
      <c r="F348" s="32" t="inlineStr">
        <is>
          <t>Emeryville, CA</t>
        </is>
      </c>
      <c r="G348" s="33" t="inlineStr">
        <is>
          <t>Privately Held (backing)</t>
        </is>
      </c>
      <c r="H348" s="34" t="inlineStr">
        <is>
          <t>Venture Capital-Backed</t>
        </is>
      </c>
      <c r="I348" s="35" t="inlineStr">
        <is>
          <t>Jason Trachewsky, Lawrence Marcus</t>
        </is>
      </c>
      <c r="J348" s="36" t="inlineStr">
        <is>
          <t>www.wickedfun.com</t>
        </is>
      </c>
      <c r="K348" s="37" t="inlineStr">
        <is>
          <t>wickedfun@wickedfun.com</t>
        </is>
      </c>
      <c r="L348" s="38" t="inlineStr">
        <is>
          <t>+1 (510) 468-0121</t>
        </is>
      </c>
      <c r="M348" s="39" t="inlineStr">
        <is>
          <t>Theresa Redfield</t>
        </is>
      </c>
      <c r="N348" s="40" t="inlineStr">
        <is>
          <t>Co-Founder, Board Member &amp; Chief Executive Officer</t>
        </is>
      </c>
      <c r="O348" s="41" t="inlineStr">
        <is>
          <t>terry@wickedfun.com</t>
        </is>
      </c>
      <c r="P348" s="42" t="inlineStr">
        <is>
          <t>+1 (510) 468-0121</t>
        </is>
      </c>
      <c r="Q348" s="43" t="n">
        <v>2013.0</v>
      </c>
      <c r="R348" s="114">
        <f>HYPERLINK("https://my.pitchbook.com?c=99357-76", "View company online")</f>
      </c>
    </row>
    <row r="349">
      <c r="A349" s="9" t="inlineStr">
        <is>
          <t>54756-64</t>
        </is>
      </c>
      <c r="B349" s="10" t="inlineStr">
        <is>
          <t>Wibmo</t>
        </is>
      </c>
      <c r="C349" s="11" t="inlineStr">
        <is>
          <t>95014</t>
        </is>
      </c>
      <c r="D349" s="12" t="inlineStr">
        <is>
          <t>Provider of a mobile payments platform designed to offer a shared mobile payment ecosystem. The company's mobile payments platform helps credit and debit card holders to make mobile payments directly from their cards at VISA, MasterCard merchants, as well as offers payment authentication services, fraud detection and prevention and payment gateway services, enabling financial institutions and other service providers to rapidly deploy and manage a host of payment services.</t>
        </is>
      </c>
      <c r="E349" s="13" t="inlineStr">
        <is>
          <t>Application Software</t>
        </is>
      </c>
      <c r="F349" s="14" t="inlineStr">
        <is>
          <t>Cupertino, CA</t>
        </is>
      </c>
      <c r="G349" s="15" t="inlineStr">
        <is>
          <t>Privately Held (backing)</t>
        </is>
      </c>
      <c r="H349" s="16" t="inlineStr">
        <is>
          <t>Venture Capital-Backed</t>
        </is>
      </c>
      <c r="I349" s="17" t="inlineStr">
        <is>
          <t>Accel, Footprint Ventures, Individual Investor, Intel Capital, Western Technology Investment</t>
        </is>
      </c>
      <c r="J349" s="18" t="inlineStr">
        <is>
          <t>web.wibmo.com</t>
        </is>
      </c>
      <c r="K349" s="19" t="inlineStr">
        <is>
          <t/>
        </is>
      </c>
      <c r="L349" s="20" t="inlineStr">
        <is>
          <t/>
        </is>
      </c>
      <c r="M349" s="21" t="inlineStr">
        <is>
          <t>Govind Setlur</t>
        </is>
      </c>
      <c r="N349" s="22" t="inlineStr">
        <is>
          <t>Co-Founder, Board Member &amp; Chief Executive Officer</t>
        </is>
      </c>
      <c r="O349" s="23" t="inlineStr">
        <is>
          <t>gsetlur@enstage.com</t>
        </is>
      </c>
      <c r="P349" s="24" t="inlineStr">
        <is>
          <t/>
        </is>
      </c>
      <c r="Q349" s="25" t="n">
        <v>1999.0</v>
      </c>
      <c r="R349" s="113">
        <f>HYPERLINK("https://my.pitchbook.com?c=54756-64", "View company online")</f>
      </c>
    </row>
    <row r="350">
      <c r="A350" s="27" t="inlineStr">
        <is>
          <t>53331-76</t>
        </is>
      </c>
      <c r="B350" s="28" t="inlineStr">
        <is>
          <t>WibiData Technologies</t>
        </is>
      </c>
      <c r="C350" s="29" t="inlineStr">
        <is>
          <t>94110</t>
        </is>
      </c>
      <c r="D350" s="30" t="inlineStr">
        <is>
          <t>Provider of data management and analysis services. The company develops big data applications for enterprises to personalize their customer experiences and provides data storage tool, which stores customer profiles and their transaction data as well as analyses customer behavior.</t>
        </is>
      </c>
      <c r="E350" s="31" t="inlineStr">
        <is>
          <t>Database Software</t>
        </is>
      </c>
      <c r="F350" s="32" t="inlineStr">
        <is>
          <t>San Francisco, CA</t>
        </is>
      </c>
      <c r="G350" s="33" t="inlineStr">
        <is>
          <t>Privately Held (backing)</t>
        </is>
      </c>
      <c r="H350" s="34" t="inlineStr">
        <is>
          <t>Venture Capital-Backed</t>
        </is>
      </c>
      <c r="I350" s="35" t="inlineStr">
        <is>
          <t>AME Cloud Ventures, Amplify Partners, Andrew Palmer, Canaan Partners, Dror Berman, Eric Schmidt, Individual Investor, Innovation Endeavors, Koa Labs, New Enterprise Associates, SV Angel</t>
        </is>
      </c>
      <c r="J350" s="36" t="inlineStr">
        <is>
          <t>www.wibidata.com</t>
        </is>
      </c>
      <c r="K350" s="37" t="inlineStr">
        <is>
          <t/>
        </is>
      </c>
      <c r="L350" s="38" t="inlineStr">
        <is>
          <t>+1 (415) 496-9424</t>
        </is>
      </c>
      <c r="M350" s="39" t="inlineStr">
        <is>
          <t>Rob Seaman</t>
        </is>
      </c>
      <c r="N350" s="40" t="inlineStr">
        <is>
          <t>Chief Executive Officer</t>
        </is>
      </c>
      <c r="O350" s="41" t="inlineStr">
        <is>
          <t>rob@likelihood.com</t>
        </is>
      </c>
      <c r="P350" s="42" t="inlineStr">
        <is>
          <t>+1 (415) 496-9424</t>
        </is>
      </c>
      <c r="Q350" s="43" t="n">
        <v>2010.0</v>
      </c>
      <c r="R350" s="114">
        <f>HYPERLINK("https://my.pitchbook.com?c=53331-76", "View company online")</f>
      </c>
    </row>
    <row r="351">
      <c r="A351" s="9" t="inlineStr">
        <is>
          <t>98401-15</t>
        </is>
      </c>
      <c r="B351" s="10" t="inlineStr">
        <is>
          <t>WiActs</t>
        </is>
      </c>
      <c r="C351" s="11" t="inlineStr">
        <is>
          <t>94085</t>
        </is>
      </c>
      <c r="D351" s="12" t="inlineStr">
        <is>
          <t>Developer of a multi-factor user authentication and identity management platform. The company specializes in developing authentication platform that integrates to the users' workflow and exceeds current market expectations.</t>
        </is>
      </c>
      <c r="E351" s="13" t="inlineStr">
        <is>
          <t>Network Management Software</t>
        </is>
      </c>
      <c r="F351" s="14" t="inlineStr">
        <is>
          <t>Sunnyvale, CA</t>
        </is>
      </c>
      <c r="G351" s="15" t="inlineStr">
        <is>
          <t>Privately Held (backing)</t>
        </is>
      </c>
      <c r="H351" s="16" t="inlineStr">
        <is>
          <t>Venture Capital-Backed</t>
        </is>
      </c>
      <c r="I351" s="17" t="inlineStr">
        <is>
          <t>GVA Capital, Plug and Play Tech Center, PradoSV, Vestor.IN Partners, Wearable IoT World</t>
        </is>
      </c>
      <c r="J351" s="18" t="inlineStr">
        <is>
          <t>www2.nopassword.com</t>
        </is>
      </c>
      <c r="K351" s="19" t="inlineStr">
        <is>
          <t>info@wiacts.com</t>
        </is>
      </c>
      <c r="L351" s="20" t="inlineStr">
        <is>
          <t/>
        </is>
      </c>
      <c r="M351" s="21" t="inlineStr">
        <is>
          <t>Sara Masoudnia</t>
        </is>
      </c>
      <c r="N351" s="22" t="inlineStr">
        <is>
          <t>Chief Marketing Officer</t>
        </is>
      </c>
      <c r="O351" s="23" t="inlineStr">
        <is>
          <t>sara@wiacts.com</t>
        </is>
      </c>
      <c r="P351" s="24" t="inlineStr">
        <is>
          <t/>
        </is>
      </c>
      <c r="Q351" s="25" t="n">
        <v>2013.0</v>
      </c>
      <c r="R351" s="113">
        <f>HYPERLINK("https://my.pitchbook.com?c=98401-15", "View company online")</f>
      </c>
    </row>
    <row r="352">
      <c r="A352" s="27" t="inlineStr">
        <is>
          <t>60919-57</t>
        </is>
      </c>
      <c r="B352" s="28" t="inlineStr">
        <is>
          <t>Whova</t>
        </is>
      </c>
      <c r="C352" s="29" t="inlineStr">
        <is>
          <t>92130</t>
        </is>
      </c>
      <c r="D352" s="30" t="inlineStr">
        <is>
          <t>Developer of an event management application designed to conveniently upload all necessary information to a user-friendly web dashboard within a few clicks. The company's event management application, Whova, is a Web-based application that enables event organizers to track and count attendees at events and measures event success by analyzing viewer engagement, enabling them to get their attendees involved in their events.</t>
        </is>
      </c>
      <c r="E352" s="31" t="inlineStr">
        <is>
          <t>Application Software</t>
        </is>
      </c>
      <c r="F352" s="32" t="inlineStr">
        <is>
          <t>San Diego, CA</t>
        </is>
      </c>
      <c r="G352" s="33" t="inlineStr">
        <is>
          <t>Privately Held (backing)</t>
        </is>
      </c>
      <c r="H352" s="34" t="inlineStr">
        <is>
          <t>Venture Capital-Backed</t>
        </is>
      </c>
      <c r="I352" s="35" t="inlineStr">
        <is>
          <t>Amino Capital, IvyCap Ventures, National Science Foundation, Oriza Ventures</t>
        </is>
      </c>
      <c r="J352" s="36" t="inlineStr">
        <is>
          <t>www.whova.com</t>
        </is>
      </c>
      <c r="K352" s="37" t="inlineStr">
        <is>
          <t>hello@whova.com</t>
        </is>
      </c>
      <c r="L352" s="38" t="inlineStr">
        <is>
          <t>+1 (855) 978-6578</t>
        </is>
      </c>
      <c r="M352" s="39" t="inlineStr">
        <is>
          <t>Weiwei Xiong</t>
        </is>
      </c>
      <c r="N352" s="40" t="inlineStr">
        <is>
          <t>Co-Founder</t>
        </is>
      </c>
      <c r="O352" s="41" t="inlineStr">
        <is>
          <t>weiwei.xiong@whova.com</t>
        </is>
      </c>
      <c r="P352" s="42" t="inlineStr">
        <is>
          <t>+1 (855) 978-6578</t>
        </is>
      </c>
      <c r="Q352" s="43" t="n">
        <v>2012.0</v>
      </c>
      <c r="R352" s="114">
        <f>HYPERLINK("https://my.pitchbook.com?c=60919-57", "View company online")</f>
      </c>
    </row>
    <row r="353">
      <c r="A353" s="9" t="inlineStr">
        <is>
          <t>53459-20</t>
        </is>
      </c>
      <c r="B353" s="10" t="inlineStr">
        <is>
          <t>Whole Body</t>
        </is>
      </c>
      <c r="C353" s="11" t="inlineStr">
        <is>
          <t>90405</t>
        </is>
      </c>
      <c r="D353" s="12" t="inlineStr">
        <is>
          <t>Provider of yoga related goods and services. The company manages a national chain of yoga and fitness studios.</t>
        </is>
      </c>
      <c r="E353" s="13" t="inlineStr">
        <is>
          <t>Managed Care</t>
        </is>
      </c>
      <c r="F353" s="14" t="inlineStr">
        <is>
          <t>Santa Monica, CA</t>
        </is>
      </c>
      <c r="G353" s="15" t="inlineStr">
        <is>
          <t>Privately Held (backing)</t>
        </is>
      </c>
      <c r="H353" s="16" t="inlineStr">
        <is>
          <t>Venture Capital-Backed</t>
        </is>
      </c>
      <c r="I353" s="17" t="inlineStr">
        <is>
          <t>Highland Capital Partners</t>
        </is>
      </c>
      <c r="J353" s="18" t="inlineStr">
        <is>
          <t/>
        </is>
      </c>
      <c r="K353" s="19" t="inlineStr">
        <is>
          <t/>
        </is>
      </c>
      <c r="L353" s="20" t="inlineStr">
        <is>
          <t>+1 (310) 664-6470</t>
        </is>
      </c>
      <c r="M353" s="21" t="inlineStr">
        <is>
          <t>Philip Swain</t>
        </is>
      </c>
      <c r="N353" s="22" t="inlineStr">
        <is>
          <t>President</t>
        </is>
      </c>
      <c r="O353" s="23" t="inlineStr">
        <is>
          <t/>
        </is>
      </c>
      <c r="P353" s="24" t="inlineStr">
        <is>
          <t>+1 (310) 664-6470</t>
        </is>
      </c>
      <c r="Q353" s="25" t="n">
        <v>2002.0</v>
      </c>
      <c r="R353" s="113">
        <f>HYPERLINK("https://my.pitchbook.com?c=53459-20", "View company online")</f>
      </c>
    </row>
    <row r="354">
      <c r="A354" s="27" t="inlineStr">
        <is>
          <t>107834-86</t>
        </is>
      </c>
      <c r="B354" s="28" t="inlineStr">
        <is>
          <t>Whole Biome</t>
        </is>
      </c>
      <c r="C354" s="29" t="inlineStr">
        <is>
          <t>94107</t>
        </is>
      </c>
      <c r="D354" s="30" t="inlineStr">
        <is>
          <t>Provider of a microbiome diagnostic platform. The company develops diagnostics and therapeutics for treatment of patients through equilibration of human microbiomes.</t>
        </is>
      </c>
      <c r="E354" s="31" t="inlineStr">
        <is>
          <t>Therapeutic Devices</t>
        </is>
      </c>
      <c r="F354" s="32" t="inlineStr">
        <is>
          <t>San Francisco, CA</t>
        </is>
      </c>
      <c r="G354" s="33" t="inlineStr">
        <is>
          <t>Privately Held (backing)</t>
        </is>
      </c>
      <c r="H354" s="34" t="inlineStr">
        <is>
          <t>Venture Capital-Backed</t>
        </is>
      </c>
      <c r="I354" s="35" t="inlineStr">
        <is>
          <t>AME Cloud Ventures, BayBio FAST, California Institute for Quantitative Biosciences, Data Collective, True Ventures</t>
        </is>
      </c>
      <c r="J354" s="36" t="inlineStr">
        <is>
          <t>www.wholebiome.com</t>
        </is>
      </c>
      <c r="K354" s="37" t="inlineStr">
        <is>
          <t/>
        </is>
      </c>
      <c r="L354" s="38" t="inlineStr">
        <is>
          <t/>
        </is>
      </c>
      <c r="M354" s="39" t="inlineStr">
        <is>
          <t>Colleen Cutcliffe</t>
        </is>
      </c>
      <c r="N354" s="40" t="inlineStr">
        <is>
          <t>Chief Executive Officer, Board Member &amp; Co-Founder</t>
        </is>
      </c>
      <c r="O354" s="41" t="inlineStr">
        <is>
          <t>colleen.cutcliffe@wholebiome.com</t>
        </is>
      </c>
      <c r="P354" s="42" t="inlineStr">
        <is>
          <t/>
        </is>
      </c>
      <c r="Q354" s="43" t="n">
        <v>2013.0</v>
      </c>
      <c r="R354" s="114">
        <f>HYPERLINK("https://my.pitchbook.com?c=107834-86", "View company online")</f>
      </c>
    </row>
    <row r="355">
      <c r="A355" s="9" t="inlineStr">
        <is>
          <t>60288-04</t>
        </is>
      </c>
      <c r="B355" s="10" t="inlineStr">
        <is>
          <t>WhoKnows</t>
        </is>
      </c>
      <c r="C355" s="11" t="inlineStr">
        <is>
          <t>94063</t>
        </is>
      </c>
      <c r="D355" s="12" t="inlineStr">
        <is>
          <t>Developer of an online platform for accurate expertise discovery and knowledge retention. The company automatically creates comprehensive skills and contact profiles for entire organizations and uses that data to recommend and connect organizations' employees with expert colleagues who possess the skills and contacts to help them excel.</t>
        </is>
      </c>
      <c r="E355" s="13" t="inlineStr">
        <is>
          <t>Business/Productivity Software</t>
        </is>
      </c>
      <c r="F355" s="14" t="inlineStr">
        <is>
          <t>Redwood City, CA</t>
        </is>
      </c>
      <c r="G355" s="15" t="inlineStr">
        <is>
          <t>Privately Held (backing)</t>
        </is>
      </c>
      <c r="H355" s="16" t="inlineStr">
        <is>
          <t>Venture Capital-Backed</t>
        </is>
      </c>
      <c r="I355" s="17" t="inlineStr">
        <is>
          <t>Citrix Startup Accelerator, Cloud Capital Partners, David Furneaux, Individual Investor, Intel Capital, NewGen Capital, PivotNorth Capital</t>
        </is>
      </c>
      <c r="J355" s="18" t="inlineStr">
        <is>
          <t>corp.whoknows.com</t>
        </is>
      </c>
      <c r="K355" s="19" t="inlineStr">
        <is>
          <t>enterprise@whoknows.com</t>
        </is>
      </c>
      <c r="L355" s="20" t="inlineStr">
        <is>
          <t>+1 (800) 348-5031</t>
        </is>
      </c>
      <c r="M355" s="21" t="inlineStr">
        <is>
          <t>Chris Macomber</t>
        </is>
      </c>
      <c r="N355" s="22" t="inlineStr">
        <is>
          <t>Chief Executive Officer &amp; Board Member</t>
        </is>
      </c>
      <c r="O355" s="23" t="inlineStr">
        <is>
          <t>chris@whoknows.com</t>
        </is>
      </c>
      <c r="P355" s="24" t="inlineStr">
        <is>
          <t>+1 (877) 338-2763</t>
        </is>
      </c>
      <c r="Q355" s="25" t="n">
        <v>2007.0</v>
      </c>
      <c r="R355" s="113">
        <f>HYPERLINK("https://my.pitchbook.com?c=60288-04", "View company online")</f>
      </c>
    </row>
    <row r="356">
      <c r="A356" s="27" t="inlineStr">
        <is>
          <t>52509-25</t>
        </is>
      </c>
      <c r="B356" s="28" t="inlineStr">
        <is>
          <t>WhiteHat Security</t>
        </is>
      </c>
      <c r="C356" s="29" t="inlineStr">
        <is>
          <t>95054</t>
        </is>
      </c>
      <c r="D356" s="30" t="inlineStr">
        <is>
          <t>Provider of a website risk management platform. The company's product prevent web attacks and enables mitigation of website vulnerabilities via integration with web application firewalls.</t>
        </is>
      </c>
      <c r="E356" s="31" t="inlineStr">
        <is>
          <t>Network Management Software</t>
        </is>
      </c>
      <c r="F356" s="32" t="inlineStr">
        <is>
          <t>Santa Clara, CA</t>
        </is>
      </c>
      <c r="G356" s="33" t="inlineStr">
        <is>
          <t>Privately Held (backing)</t>
        </is>
      </c>
      <c r="H356" s="34" t="inlineStr">
        <is>
          <t>Venture Capital-Backed</t>
        </is>
      </c>
      <c r="I356" s="35" t="inlineStr">
        <is>
          <t>Altos Ventures, American Pacific Ventures, Authosis Ventures, Garage Technology Ventures, Horizon Ventures, Individual Investor, JMI Equity, ORIX Growth Capital, Patricia Industries, Startup Capital Ventures, Tuputele Ventures, ZAP Ventures</t>
        </is>
      </c>
      <c r="J356" s="36" t="inlineStr">
        <is>
          <t>www.whitehatsec.com</t>
        </is>
      </c>
      <c r="K356" s="37" t="inlineStr">
        <is>
          <t/>
        </is>
      </c>
      <c r="L356" s="38" t="inlineStr">
        <is>
          <t>+1 (408) 343-8300</t>
        </is>
      </c>
      <c r="M356" s="39" t="inlineStr">
        <is>
          <t>Terry Murphy</t>
        </is>
      </c>
      <c r="N356" s="40" t="inlineStr">
        <is>
          <t>Chief Financial Officer</t>
        </is>
      </c>
      <c r="O356" s="41" t="inlineStr">
        <is>
          <t>terry.murphy@whitehatsec.com</t>
        </is>
      </c>
      <c r="P356" s="42" t="inlineStr">
        <is>
          <t>+1 (408) 343-8300</t>
        </is>
      </c>
      <c r="Q356" s="43" t="n">
        <v>2000.0</v>
      </c>
      <c r="R356" s="114">
        <f>HYPERLINK("https://my.pitchbook.com?c=52509-25", "View company online")</f>
      </c>
    </row>
    <row r="357">
      <c r="A357" s="9" t="inlineStr">
        <is>
          <t>64229-95</t>
        </is>
      </c>
      <c r="B357" s="10" t="inlineStr">
        <is>
          <t>White Ops</t>
        </is>
      </c>
      <c r="C357" s="11" t="inlineStr">
        <is>
          <t/>
        </is>
      </c>
      <c r="D357" s="12" t="inlineStr">
        <is>
          <t>Provider of software security services. The company provides detection of systematic defense against bot and malware fraud, enabling advertisers and enterprise businesses with the tools they need to eliminate fraud and ensure the success of their campaigns and the security of their systems and data.</t>
        </is>
      </c>
      <c r="E357" s="13" t="inlineStr">
        <is>
          <t>Network Management Software</t>
        </is>
      </c>
      <c r="F357" s="14" t="inlineStr">
        <is>
          <t>New York, NY</t>
        </is>
      </c>
      <c r="G357" s="15" t="inlineStr">
        <is>
          <t>Privately Held (backing)</t>
        </is>
      </c>
      <c r="H357" s="16" t="inlineStr">
        <is>
          <t>Venture Capital-Backed</t>
        </is>
      </c>
      <c r="I357" s="17" t="inlineStr">
        <is>
          <t>Andy Chou, Eleven Two Capital, Grotech Ventures, Paladin Capital Group, Shawn Carpenter, Shelley Zhuang, Three Tree Ventures</t>
        </is>
      </c>
      <c r="J357" s="18" t="inlineStr">
        <is>
          <t>www.whiteops.com</t>
        </is>
      </c>
      <c r="K357" s="19" t="inlineStr">
        <is>
          <t>info@whiteops.com</t>
        </is>
      </c>
      <c r="L357" s="20" t="inlineStr">
        <is>
          <t>+1 (646) 762-9654</t>
        </is>
      </c>
      <c r="M357" s="21" t="inlineStr">
        <is>
          <t>Michael Tiffany</t>
        </is>
      </c>
      <c r="N357" s="22" t="inlineStr">
        <is>
          <t>Chief Executive Officer &amp; Co-Founder</t>
        </is>
      </c>
      <c r="O357" s="23" t="inlineStr">
        <is>
          <t>michael.tiffany@whiteops.com</t>
        </is>
      </c>
      <c r="P357" s="24" t="inlineStr">
        <is>
          <t>+1 (646) 762-9654</t>
        </is>
      </c>
      <c r="Q357" s="25" t="n">
        <v>2012.0</v>
      </c>
      <c r="R357" s="113">
        <f>HYPERLINK("https://my.pitchbook.com?c=64229-95", "View company online")</f>
      </c>
    </row>
    <row r="358">
      <c r="A358" s="27" t="inlineStr">
        <is>
          <t>98941-15</t>
        </is>
      </c>
      <c r="B358" s="28" t="inlineStr">
        <is>
          <t>Whistle Sports</t>
        </is>
      </c>
      <c r="C358" s="29" t="inlineStr">
        <is>
          <t>10016</t>
        </is>
      </c>
      <c r="D358" s="30" t="inlineStr">
        <is>
          <t>Producer and publisher of sports-focused videos. The company is a YouTube-certified broadcaster that produces and publishes a range of sports-focused videos aimed at demographics in the 14-34 age group. It offers branded content and advertisements to sponsors.</t>
        </is>
      </c>
      <c r="E358" s="31" t="inlineStr">
        <is>
          <t>Broadcasting, Radio and Television</t>
        </is>
      </c>
      <c r="F358" s="32" t="inlineStr">
        <is>
          <t>New York, NY</t>
        </is>
      </c>
      <c r="G358" s="33" t="inlineStr">
        <is>
          <t>Privately Held (backing)</t>
        </is>
      </c>
      <c r="H358" s="34" t="inlineStr">
        <is>
          <t>Venture Capital-Backed</t>
        </is>
      </c>
      <c r="I358" s="35" t="inlineStr">
        <is>
          <t>Beringea, Derek Jeter, Emil Capital Partners, Foley Ventures, Geraldine Laybourne, Liberty Global, Liberty Global Ventures, NBC Sports Ventures, Peyton Manning, Robert Pittman, SeventySix Capital, Sky Startup Investments &amp; Partnerships, Tegna, Vineyard Point Associates</t>
        </is>
      </c>
      <c r="J358" s="36" t="inlineStr">
        <is>
          <t>www.whistlesports.com</t>
        </is>
      </c>
      <c r="K358" s="37" t="inlineStr">
        <is>
          <t>contactus@thewhistle.com</t>
        </is>
      </c>
      <c r="L358" s="38" t="inlineStr">
        <is>
          <t/>
        </is>
      </c>
      <c r="M358" s="39" t="inlineStr">
        <is>
          <t>Jeff Urban</t>
        </is>
      </c>
      <c r="N358" s="40" t="inlineStr">
        <is>
          <t>Co-Founder &amp; President</t>
        </is>
      </c>
      <c r="O358" s="41" t="inlineStr">
        <is>
          <t/>
        </is>
      </c>
      <c r="P358" s="42" t="inlineStr">
        <is>
          <t/>
        </is>
      </c>
      <c r="Q358" s="43" t="n">
        <v>2009.0</v>
      </c>
      <c r="R358" s="114">
        <f>HYPERLINK("https://my.pitchbook.com?c=98941-15", "View company online")</f>
      </c>
    </row>
    <row r="359">
      <c r="A359" s="9" t="inlineStr">
        <is>
          <t>62245-09</t>
        </is>
      </c>
      <c r="B359" s="10" t="inlineStr">
        <is>
          <t>Whispir</t>
        </is>
      </c>
      <c r="C359" s="11" t="inlineStr">
        <is>
          <t>3000</t>
        </is>
      </c>
      <c r="D359" s="12" t="inlineStr">
        <is>
          <t>Developer of a cloud based business communication software. The company helps engaging in powerful conversations with employees and customers in the areas of Business Resilience, Operational Communications and Customer Engagement. I</t>
        </is>
      </c>
      <c r="E359" s="13" t="inlineStr">
        <is>
          <t>Communication Software</t>
        </is>
      </c>
      <c r="F359" s="14" t="inlineStr">
        <is>
          <t>Melbourne, Australia</t>
        </is>
      </c>
      <c r="G359" s="15" t="inlineStr">
        <is>
          <t>Privately Held (backing)</t>
        </is>
      </c>
      <c r="H359" s="16" t="inlineStr">
        <is>
          <t>Venture Capital-Backed</t>
        </is>
      </c>
      <c r="I359" s="17" t="inlineStr">
        <is>
          <t>Jeromy Wells, NSI Ventures, Rippledot Capital Advisers, Telstra Ventures</t>
        </is>
      </c>
      <c r="J359" s="18" t="inlineStr">
        <is>
          <t>www.whispir.com</t>
        </is>
      </c>
      <c r="K359" s="19" t="inlineStr">
        <is>
          <t>info@whispir.com</t>
        </is>
      </c>
      <c r="L359" s="20" t="inlineStr">
        <is>
          <t>+ 61 (3)13 0094 4774</t>
        </is>
      </c>
      <c r="M359" s="21" t="inlineStr">
        <is>
          <t>Fionn O'Keeffe</t>
        </is>
      </c>
      <c r="N359" s="22" t="inlineStr">
        <is>
          <t>Chief Financial Officer, Group Financial Controller &amp; Company Secretary</t>
        </is>
      </c>
      <c r="O359" s="23" t="inlineStr">
        <is>
          <t/>
        </is>
      </c>
      <c r="P359" s="24" t="inlineStr">
        <is>
          <t>+ 61 (3)13 0094 4774</t>
        </is>
      </c>
      <c r="Q359" s="25" t="n">
        <v>2001.0</v>
      </c>
      <c r="R359" s="113">
        <f>HYPERLINK("https://my.pitchbook.com?c=62245-09", "View company online")</f>
      </c>
    </row>
    <row r="360">
      <c r="A360" s="27" t="inlineStr">
        <is>
          <t>56511-37</t>
        </is>
      </c>
      <c r="B360" s="28" t="inlineStr">
        <is>
          <t>Whisper</t>
        </is>
      </c>
      <c r="C360" s="29" t="inlineStr">
        <is>
          <t>90291</t>
        </is>
      </c>
      <c r="D360" s="30" t="inlineStr">
        <is>
          <t>Provider of a mobile application designed to provide a platform where people share real thoughts and feelings. The company's mobile application is available in both iOS and android and it asks people to be open about their struggle of life, enabling users to post comments and visual content with the added expressive benefit of anonymity.</t>
        </is>
      </c>
      <c r="E360" s="31" t="inlineStr">
        <is>
          <t>Application Software</t>
        </is>
      </c>
      <c r="F360" s="32" t="inlineStr">
        <is>
          <t>Los Angeles, CA</t>
        </is>
      </c>
      <c r="G360" s="33" t="inlineStr">
        <is>
          <t>Privately Held (backing)</t>
        </is>
      </c>
      <c r="H360" s="34" t="inlineStr">
        <is>
          <t>Venture Capital-Backed</t>
        </is>
      </c>
      <c r="I360" s="35" t="inlineStr">
        <is>
          <t>Brian Lee, CAA Ventures, Chad Byers, Diego Berdakin, Ellis Capital, Individual Investor, Jason Calacanis, Joe Greenstein, John Hadl, Lightspeed Venture Partners, Matt Coffin, Michael Broukhim, Rani Aliahmad, Sequoia Capital, Shasta Ventures, Susa Ventures, Tencent Industry Win-Win Fund, Thrive Capital, Trinity Ventures, Venkatesh Harinarayan</t>
        </is>
      </c>
      <c r="J360" s="36" t="inlineStr">
        <is>
          <t>www.whisper.sh</t>
        </is>
      </c>
      <c r="K360" s="37" t="inlineStr">
        <is>
          <t/>
        </is>
      </c>
      <c r="L360" s="38" t="inlineStr">
        <is>
          <t>+1 (310) 450-9922</t>
        </is>
      </c>
      <c r="M360" s="39" t="inlineStr">
        <is>
          <t>Michael Heyward</t>
        </is>
      </c>
      <c r="N360" s="40" t="inlineStr">
        <is>
          <t>Co-Founder &amp; Chief Executive Officer</t>
        </is>
      </c>
      <c r="O360" s="41" t="inlineStr">
        <is>
          <t>michael@whisper.sh</t>
        </is>
      </c>
      <c r="P360" s="42" t="inlineStr">
        <is>
          <t>+1 (310) 995-6314</t>
        </is>
      </c>
      <c r="Q360" s="43" t="n">
        <v>2011.0</v>
      </c>
      <c r="R360" s="114">
        <f>HYPERLINK("https://my.pitchbook.com?c=56511-37", "View company online")</f>
      </c>
    </row>
    <row r="361">
      <c r="A361" s="9" t="inlineStr">
        <is>
          <t>115023-52</t>
        </is>
      </c>
      <c r="B361" s="10" t="inlineStr">
        <is>
          <t>Whirl</t>
        </is>
      </c>
      <c r="C361" s="11" t="inlineStr">
        <is>
          <t>94303</t>
        </is>
      </c>
      <c r="D361" s="12" t="inlineStr">
        <is>
          <t>Provider of an electronic payment system. The company offers a payment system which enables users to make various payment through the device with just a finger touch.</t>
        </is>
      </c>
      <c r="E361" s="13" t="inlineStr">
        <is>
          <t>Electronics (B2C)</t>
        </is>
      </c>
      <c r="F361" s="14" t="inlineStr">
        <is>
          <t>East Palo Alto, CA</t>
        </is>
      </c>
      <c r="G361" s="15" t="inlineStr">
        <is>
          <t>Privately Held (backing)</t>
        </is>
      </c>
      <c r="H361" s="16" t="inlineStr">
        <is>
          <t>Venture Capital-Backed</t>
        </is>
      </c>
      <c r="I361" s="17" t="inlineStr">
        <is>
          <t>venture/science, Wei Guo, Y Combinator</t>
        </is>
      </c>
      <c r="J361" s="18" t="inlineStr">
        <is>
          <t>www.getwhirl.com</t>
        </is>
      </c>
      <c r="K361" s="19" t="inlineStr">
        <is>
          <t>support@getwhirl.com</t>
        </is>
      </c>
      <c r="L361" s="20" t="inlineStr">
        <is>
          <t>+1 (203) 522-1615</t>
        </is>
      </c>
      <c r="M361" s="21" t="inlineStr">
        <is>
          <t>Kenneth Sobel</t>
        </is>
      </c>
      <c r="N361" s="22" t="inlineStr">
        <is>
          <t>Co-Founder</t>
        </is>
      </c>
      <c r="O361" s="23" t="inlineStr">
        <is>
          <t>ken@getwhirl.com</t>
        </is>
      </c>
      <c r="P361" s="24" t="inlineStr">
        <is>
          <t>+1 (203) 522-1615</t>
        </is>
      </c>
      <c r="Q361" s="25" t="n">
        <v>2013.0</v>
      </c>
      <c r="R361" s="113">
        <f>HYPERLINK("https://my.pitchbook.com?c=115023-52", "View company online")</f>
      </c>
    </row>
    <row r="362">
      <c r="A362" s="27" t="inlineStr">
        <is>
          <t>58474-36</t>
        </is>
      </c>
      <c r="B362" s="28" t="inlineStr">
        <is>
          <t>Whipster</t>
        </is>
      </c>
      <c r="C362" s="29" t="inlineStr">
        <is>
          <t>6011</t>
        </is>
      </c>
      <c r="D362" s="30" t="inlineStr">
        <is>
          <t>Developer of a platform for sharing videos. The company develops a collaborative video review and approval platform that allows filmmakers to upload reference images, videos and sound bites to simplify the editing process.</t>
        </is>
      </c>
      <c r="E362" s="31" t="inlineStr">
        <is>
          <t>Social/Platform Software</t>
        </is>
      </c>
      <c r="F362" s="32" t="inlineStr">
        <is>
          <t>Wellington, New Zealand</t>
        </is>
      </c>
      <c r="G362" s="33" t="inlineStr">
        <is>
          <t>Privately Held (backing)</t>
        </is>
      </c>
      <c r="H362" s="34" t="inlineStr">
        <is>
          <t>Venture Capital-Backed</t>
        </is>
      </c>
      <c r="I362" s="35" t="inlineStr">
        <is>
          <t>AngelHQ, Ben Kepes, Creative HQ, ICE Angels, Lightning Lab, Microsoft BizSpark, New Zealand Venture Investment Fund, Nicholas Bartlett, Richard Anderson, Sam Knowles, Victoria Spackman</t>
        </is>
      </c>
      <c r="J362" s="36" t="inlineStr">
        <is>
          <t>www.wipster.io</t>
        </is>
      </c>
      <c r="K362" s="37" t="inlineStr">
        <is>
          <t>hello@wipster.io</t>
        </is>
      </c>
      <c r="L362" s="38" t="inlineStr">
        <is>
          <t/>
        </is>
      </c>
      <c r="M362" s="39" t="inlineStr">
        <is>
          <t>Rollo Wenlock</t>
        </is>
      </c>
      <c r="N362" s="40" t="inlineStr">
        <is>
          <t>Chief Executive Officer, Board Member and Co-Founder</t>
        </is>
      </c>
      <c r="O362" s="41" t="inlineStr">
        <is>
          <t>rollo@wipster.io</t>
        </is>
      </c>
      <c r="P362" s="42" t="inlineStr">
        <is>
          <t/>
        </is>
      </c>
      <c r="Q362" s="43" t="n">
        <v>2012.0</v>
      </c>
      <c r="R362" s="114">
        <f>HYPERLINK("https://my.pitchbook.com?c=58474-36", "View company online")</f>
      </c>
    </row>
    <row r="363">
      <c r="A363" s="9" t="inlineStr">
        <is>
          <t>98514-91</t>
        </is>
      </c>
      <c r="B363" s="10" t="inlineStr">
        <is>
          <t>Whim</t>
        </is>
      </c>
      <c r="C363" s="11" t="inlineStr">
        <is>
          <t>94110</t>
        </is>
      </c>
      <c r="D363" s="12" t="inlineStr">
        <is>
          <t>Developer of a mobile dating application. The company offers a dating-on-demand service that provides a curated, same-day dates with singles that have been pre-approved.</t>
        </is>
      </c>
      <c r="E363" s="13" t="inlineStr">
        <is>
          <t>Entertainment Software</t>
        </is>
      </c>
      <c r="F363" s="14" t="inlineStr">
        <is>
          <t>San Francisco, CA</t>
        </is>
      </c>
      <c r="G363" s="15" t="inlineStr">
        <is>
          <t>Privately Held (backing)</t>
        </is>
      </c>
      <c r="H363" s="16" t="inlineStr">
        <is>
          <t>Venture Capital-Backed</t>
        </is>
      </c>
      <c r="I363" s="17" t="inlineStr">
        <is>
          <t>500 Startups, venture/science</t>
        </is>
      </c>
      <c r="J363" s="18" t="inlineStr">
        <is>
          <t>www.joinwhim.com</t>
        </is>
      </c>
      <c r="K363" s="19" t="inlineStr">
        <is>
          <t>hello@trywhim.com</t>
        </is>
      </c>
      <c r="L363" s="20" t="inlineStr">
        <is>
          <t/>
        </is>
      </c>
      <c r="M363" s="21" t="inlineStr">
        <is>
          <t>Eve Peters</t>
        </is>
      </c>
      <c r="N363" s="22" t="inlineStr">
        <is>
          <t>Co-Founder &amp; Chief Executive Officer</t>
        </is>
      </c>
      <c r="O363" s="23" t="inlineStr">
        <is>
          <t>eve@trywhim.com</t>
        </is>
      </c>
      <c r="P363" s="24" t="inlineStr">
        <is>
          <t/>
        </is>
      </c>
      <c r="Q363" s="25" t="n">
        <v>2013.0</v>
      </c>
      <c r="R363" s="113">
        <f>HYPERLINK("https://my.pitchbook.com?c=98514-91", "View company online")</f>
      </c>
    </row>
    <row r="364">
      <c r="A364" s="27" t="inlineStr">
        <is>
          <t>57014-65</t>
        </is>
      </c>
      <c r="B364" s="28" t="inlineStr">
        <is>
          <t>Whill</t>
        </is>
      </c>
      <c r="C364" s="29" t="inlineStr">
        <is>
          <t>94070</t>
        </is>
      </c>
      <c r="D364" s="30" t="inlineStr">
        <is>
          <t>Developer of motorized wheelchair. The company's wheelchair can be driven on sidewalks and is steered by leaning the handle in the direction the user wishes to go and its a three-wheeled device has been designed in compliance with Japanese traffic laws, enabling users in Japan to drive on public roads without a driver's license and empowers wheel chair users to lead a liberating lifestyle.</t>
        </is>
      </c>
      <c r="E364" s="31" t="inlineStr">
        <is>
          <t>Other Devices and Supplies</t>
        </is>
      </c>
      <c r="F364" s="32" t="inlineStr">
        <is>
          <t>San Carlos, CA</t>
        </is>
      </c>
      <c r="G364" s="33" t="inlineStr">
        <is>
          <t>Privately Held (backing)</t>
        </is>
      </c>
      <c r="H364" s="34" t="inlineStr">
        <is>
          <t>Venture Capital-Backed</t>
        </is>
      </c>
      <c r="I364" s="35" t="inlineStr">
        <is>
          <t>500 Startups, Andy White, Eight Roads Ventures, Eric Kwan, Individual Investor, Industrial Technology Investment, Innovation Network Corporation of Japan, ITOCHU Technology Ventures, Jochu Technology, Kamiya Manufacture Group, Mitsubishi UFJ Capital, NTT Docomo Ventures, Open Network Lab, Scott McNealy, SPARX Group, SunBridge Global Ventures, Tokyo Century, VTF Capital, Wingle, YJ Capital</t>
        </is>
      </c>
      <c r="J364" s="36" t="inlineStr">
        <is>
          <t>www.whill.us</t>
        </is>
      </c>
      <c r="K364" s="37" t="inlineStr">
        <is>
          <t>info@whill.us</t>
        </is>
      </c>
      <c r="L364" s="38" t="inlineStr">
        <is>
          <t>+1 (844) 699-4455</t>
        </is>
      </c>
      <c r="M364" s="39" t="inlineStr">
        <is>
          <t>Satoshi Sugie</t>
        </is>
      </c>
      <c r="N364" s="40" t="inlineStr">
        <is>
          <t>Chief Executive Officer &amp; Co-Founder</t>
        </is>
      </c>
      <c r="O364" s="41" t="inlineStr">
        <is>
          <t>satoshi@whill.jp</t>
        </is>
      </c>
      <c r="P364" s="42" t="inlineStr">
        <is>
          <t>+81 (0)45 633 1471</t>
        </is>
      </c>
      <c r="Q364" s="43" t="n">
        <v>2012.0</v>
      </c>
      <c r="R364" s="114">
        <f>HYPERLINK("https://my.pitchbook.com?c=57014-65", "View company online")</f>
      </c>
    </row>
    <row r="365">
      <c r="A365" s="9" t="inlineStr">
        <is>
          <t>56291-86</t>
        </is>
      </c>
      <c r="B365" s="10" t="inlineStr">
        <is>
          <t>WHI</t>
        </is>
      </c>
      <c r="C365" s="11" t="inlineStr">
        <is>
          <t>94102</t>
        </is>
      </c>
      <c r="D365" s="12" t="inlineStr">
        <is>
          <t>Provider of an image-based social networking platform. The company provides a platform that enables users to store, share and discover images and videos from the Web that they believe represent their personality, interests and aspirations.</t>
        </is>
      </c>
      <c r="E365" s="13" t="inlineStr">
        <is>
          <t>Social/Platform Software</t>
        </is>
      </c>
      <c r="F365" s="14" t="inlineStr">
        <is>
          <t>San Francisco, CA</t>
        </is>
      </c>
      <c r="G365" s="15" t="inlineStr">
        <is>
          <t>Privately Held (backing)</t>
        </is>
      </c>
      <c r="H365" s="16" t="inlineStr">
        <is>
          <t>Venture Capital-Backed</t>
        </is>
      </c>
      <c r="I365" s="17" t="inlineStr">
        <is>
          <t>Crossbar Capital, IDG Ventures USA, Joe Greenstein, KCP Capital, MHS Capital, Shan Mehta, Time Warner Investments, Valor Capital Group, White Oak Advisory, White Oak Partners</t>
        </is>
      </c>
      <c r="J365" s="18" t="inlineStr">
        <is>
          <t>www.weheartit.com</t>
        </is>
      </c>
      <c r="K365" s="19" t="inlineStr">
        <is>
          <t>hello@weheartit.com</t>
        </is>
      </c>
      <c r="L365" s="20" t="inlineStr">
        <is>
          <t/>
        </is>
      </c>
      <c r="M365" s="21" t="inlineStr">
        <is>
          <t>Tim Crowhurst</t>
        </is>
      </c>
      <c r="N365" s="22" t="inlineStr">
        <is>
          <t>Chief Executive Officer &amp; Chairman</t>
        </is>
      </c>
      <c r="O365" s="23" t="inlineStr">
        <is>
          <t>tim@weheartit.com</t>
        </is>
      </c>
      <c r="P365" s="24" t="inlineStr">
        <is>
          <t/>
        </is>
      </c>
      <c r="Q365" s="25" t="n">
        <v>2008.0</v>
      </c>
      <c r="R365" s="113">
        <f>HYPERLINK("https://my.pitchbook.com?c=56291-86", "View company online")</f>
      </c>
    </row>
    <row r="366">
      <c r="A366" s="27" t="inlineStr">
        <is>
          <t>103008-07</t>
        </is>
      </c>
      <c r="B366" s="28" t="inlineStr">
        <is>
          <t>Wherefor</t>
        </is>
      </c>
      <c r="C366" s="29" t="inlineStr">
        <is>
          <t>90025</t>
        </is>
      </c>
      <c r="D366" s="30" t="inlineStr">
        <is>
          <t>Developer of a travel search engine designed to search travel destinations by price. The company offers a smarter travel search engine that analyzes a quarter million hotels and 5 million flights in over 150 destinations, in about 10 seconds and automatically selects the ideal flight and hotel for user's budget, enabling users to customize and find the cheapest flight and highest-rated hotel in their budget.</t>
        </is>
      </c>
      <c r="E366" s="31" t="inlineStr">
        <is>
          <t>Social/Platform Software</t>
        </is>
      </c>
      <c r="F366" s="32" t="inlineStr">
        <is>
          <t>Los Angeles, CA</t>
        </is>
      </c>
      <c r="G366" s="33" t="inlineStr">
        <is>
          <t>Privately Held (backing)</t>
        </is>
      </c>
      <c r="H366" s="34" t="inlineStr">
        <is>
          <t>Venture Capital-Backed</t>
        </is>
      </c>
      <c r="I366" s="35" t="inlineStr">
        <is>
          <t>500 Startups, Dyrdek Machine, Stage Venture Partners</t>
        </is>
      </c>
      <c r="J366" s="36" t="inlineStr">
        <is>
          <t>www.wherefor.com</t>
        </is>
      </c>
      <c r="K366" s="37" t="inlineStr">
        <is>
          <t>info@wherefor.com</t>
        </is>
      </c>
      <c r="L366" s="38" t="inlineStr">
        <is>
          <t>+1 (877) 277-1103</t>
        </is>
      </c>
      <c r="M366" s="39" t="inlineStr">
        <is>
          <t>Ryan Wenger</t>
        </is>
      </c>
      <c r="N366" s="40" t="inlineStr">
        <is>
          <t>Co-Founder, Chief Executive Officer &amp; Board Member</t>
        </is>
      </c>
      <c r="O366" s="41" t="inlineStr">
        <is>
          <t>ryan@wherefor.com</t>
        </is>
      </c>
      <c r="P366" s="42" t="inlineStr">
        <is>
          <t>+1 (877) 277-1103</t>
        </is>
      </c>
      <c r="Q366" s="43" t="n">
        <v>2014.0</v>
      </c>
      <c r="R366" s="114">
        <f>HYPERLINK("https://my.pitchbook.com?c=103008-07", "View company online")</f>
      </c>
    </row>
    <row r="367">
      <c r="A367" s="9" t="inlineStr">
        <is>
          <t>104275-00</t>
        </is>
      </c>
      <c r="B367" s="10" t="inlineStr">
        <is>
          <t>Wheelys</t>
        </is>
      </c>
      <c r="C367" s="11" t="inlineStr">
        <is>
          <t>113 45</t>
        </is>
      </c>
      <c r="D367" s="12" t="inlineStr">
        <is>
          <t>Operator of a chain of organic bicycle cafés. The company's organic bicycle cafés is specialized in offering organically grown coffee, enabling consumers to start their own cafe on a bike.</t>
        </is>
      </c>
      <c r="E367" s="13" t="inlineStr">
        <is>
          <t>Restaurants and Bars</t>
        </is>
      </c>
      <c r="F367" s="14" t="inlineStr">
        <is>
          <t>Stockholm, Sweden</t>
        </is>
      </c>
      <c r="G367" s="15" t="inlineStr">
        <is>
          <t>Privately Held (backing)</t>
        </is>
      </c>
      <c r="H367" s="16" t="inlineStr">
        <is>
          <t>Venture Capital-Backed</t>
        </is>
      </c>
      <c r="I367" s="17" t="inlineStr">
        <is>
          <t>Alexander Elenskiy, FundersClub, Jared Friedman, Justin Waldron, Othman Laraki, Paul Holliman, Seth Ginns, Tank Stream Ventures, Three Point Group, VentureLab (Lund University), Y Combinator, Zillionize</t>
        </is>
      </c>
      <c r="J367" s="18" t="inlineStr">
        <is>
          <t>www.wheelyscafe.com</t>
        </is>
      </c>
      <c r="K367" s="19" t="inlineStr">
        <is>
          <t>info@wheelyscafe.com</t>
        </is>
      </c>
      <c r="L367" s="20" t="inlineStr">
        <is>
          <t/>
        </is>
      </c>
      <c r="M367" s="21" t="inlineStr">
        <is>
          <t>Maria De La Croix</t>
        </is>
      </c>
      <c r="N367" s="22" t="inlineStr">
        <is>
          <t>Co-Founder and Chief Executive Officer</t>
        </is>
      </c>
      <c r="O367" s="23" t="inlineStr">
        <is>
          <t>maria@wheelyscafe.com</t>
        </is>
      </c>
      <c r="P367" s="24" t="inlineStr">
        <is>
          <t/>
        </is>
      </c>
      <c r="Q367" s="25" t="n">
        <v>2014.0</v>
      </c>
      <c r="R367" s="113">
        <f>HYPERLINK("https://my.pitchbook.com?c=104275-00", "View company online")</f>
      </c>
    </row>
    <row r="368">
      <c r="A368" s="27" t="inlineStr">
        <is>
          <t>104274-91</t>
        </is>
      </c>
      <c r="B368" s="28" t="inlineStr">
        <is>
          <t>Wheelwell</t>
        </is>
      </c>
      <c r="C368" s="29" t="inlineStr">
        <is>
          <t>94109</t>
        </is>
      </c>
      <c r="D368" s="30" t="inlineStr">
        <is>
          <t>Provider of an online platform for the automotive community. The company provides a Web-based social-commerce platform for car enthusiasts, fans and brands, offering information to help users find the products and services they need.</t>
        </is>
      </c>
      <c r="E368" s="31" t="inlineStr">
        <is>
          <t>Social/Platform Software</t>
        </is>
      </c>
      <c r="F368" s="32" t="inlineStr">
        <is>
          <t>San Francisco, CA</t>
        </is>
      </c>
      <c r="G368" s="33" t="inlineStr">
        <is>
          <t>Privately Held (backing)</t>
        </is>
      </c>
      <c r="H368" s="34" t="inlineStr">
        <is>
          <t>Venture Capital-Backed</t>
        </is>
      </c>
      <c r="I368" s="35" t="inlineStr">
        <is>
          <t>GGV Capital, iAngels, Jeffrey Bonforte, John Couch, NFX Guild</t>
        </is>
      </c>
      <c r="J368" s="36" t="inlineStr">
        <is>
          <t>www.wheelwell.com</t>
        </is>
      </c>
      <c r="K368" s="37" t="inlineStr">
        <is>
          <t/>
        </is>
      </c>
      <c r="L368" s="38" t="inlineStr">
        <is>
          <t/>
        </is>
      </c>
      <c r="M368" s="39" t="inlineStr">
        <is>
          <t>Michael Gonzales</t>
        </is>
      </c>
      <c r="N368" s="40" t="inlineStr">
        <is>
          <t>Co-Founder &amp; Chief Executive Officer</t>
        </is>
      </c>
      <c r="O368" s="41" t="inlineStr">
        <is>
          <t>michael@wheelwell.com</t>
        </is>
      </c>
      <c r="P368" s="42" t="inlineStr">
        <is>
          <t/>
        </is>
      </c>
      <c r="Q368" s="43" t="n">
        <v>2014.0</v>
      </c>
      <c r="R368" s="114">
        <f>HYPERLINK("https://my.pitchbook.com?c=104274-91", "View company online")</f>
      </c>
    </row>
    <row r="369">
      <c r="A369" s="9" t="inlineStr">
        <is>
          <t>114567-94</t>
        </is>
      </c>
      <c r="B369" s="10" t="inlineStr">
        <is>
          <t>Wheelhouse (Intelligent pricing software)</t>
        </is>
      </c>
      <c r="C369" s="11" t="inlineStr">
        <is>
          <t/>
        </is>
      </c>
      <c r="D369" s="12" t="inlineStr">
        <is>
          <t>Developer of an online pricing platform designed to offer vacation and short-term rentals on Airbnb, VRBO and HomeAway. The company's online pricing platform find events and determine how to price them, analyzes home performance in comparison to nearby similar listings and visualizes how neighbors are booking on any given day, enabling individuals to create a pricing strategy that suits their needs, homes and guests.</t>
        </is>
      </c>
      <c r="E369" s="13" t="inlineStr">
        <is>
          <t>Social/Platform Software</t>
        </is>
      </c>
      <c r="F369" s="14" t="inlineStr">
        <is>
          <t>San Francisco, CA</t>
        </is>
      </c>
      <c r="G369" s="15" t="inlineStr">
        <is>
          <t>Privately Held (backing)</t>
        </is>
      </c>
      <c r="H369" s="16" t="inlineStr">
        <is>
          <t>Venture Capital-Backed</t>
        </is>
      </c>
      <c r="I369" s="17" t="inlineStr">
        <is>
          <t>AXA Strategic Ventures, NFX Guild, Zelkova Ventures</t>
        </is>
      </c>
      <c r="J369" s="18" t="inlineStr">
        <is>
          <t>www.usewheelhouse.com</t>
        </is>
      </c>
      <c r="K369" s="19" t="inlineStr">
        <is>
          <t>hello@usewheelhouse.com</t>
        </is>
      </c>
      <c r="L369" s="20" t="inlineStr">
        <is>
          <t>+1 (855) 774-2363</t>
        </is>
      </c>
      <c r="M369" s="21" t="inlineStr">
        <is>
          <t>Andrew Kitchell</t>
        </is>
      </c>
      <c r="N369" s="22" t="inlineStr">
        <is>
          <t>Chief Executive Officer &amp; Co-Founder</t>
        </is>
      </c>
      <c r="O369" s="23" t="inlineStr">
        <is>
          <t>andrew@pricemethod.com</t>
        </is>
      </c>
      <c r="P369" s="24" t="inlineStr">
        <is>
          <t>+1 (855) 774-2363</t>
        </is>
      </c>
      <c r="Q369" s="25" t="n">
        <v>2014.0</v>
      </c>
      <c r="R369" s="113">
        <f>HYPERLINK("https://my.pitchbook.com?c=114567-94", "View company online")</f>
      </c>
    </row>
    <row r="370">
      <c r="A370" s="27" t="inlineStr">
        <is>
          <t>124555-42</t>
        </is>
      </c>
      <c r="B370" s="28" t="inlineStr">
        <is>
          <t>Whatsgoodly</t>
        </is>
      </c>
      <c r="C370" s="29" t="inlineStr">
        <is>
          <t>94205</t>
        </is>
      </c>
      <c r="D370" s="30" t="inlineStr">
        <is>
          <t>Provider of location based polling applications. The company develops a digital platform that offers location-based feed of user-generated one-question polls within a nearby radius on maters starting from relationship troubles to unpopular political opinions.</t>
        </is>
      </c>
      <c r="E370" s="31" t="inlineStr">
        <is>
          <t>Application Software</t>
        </is>
      </c>
      <c r="F370" s="32" t="inlineStr">
        <is>
          <t>Menlo Park, CA</t>
        </is>
      </c>
      <c r="G370" s="33" t="inlineStr">
        <is>
          <t>Privately Held (backing)</t>
        </is>
      </c>
      <c r="H370" s="34" t="inlineStr">
        <is>
          <t>Venture Capital-Backed</t>
        </is>
      </c>
      <c r="I370" s="35" t="inlineStr">
        <is>
          <t>Highland Capital Partners</t>
        </is>
      </c>
      <c r="J370" s="36" t="inlineStr">
        <is>
          <t>whatsgoodly.com</t>
        </is>
      </c>
      <c r="K370" s="37" t="inlineStr">
        <is>
          <t>teamwg@whatsgoodly.com</t>
        </is>
      </c>
      <c r="L370" s="38" t="inlineStr">
        <is>
          <t>+1 (310) 625-2562</t>
        </is>
      </c>
      <c r="M370" s="39" t="inlineStr">
        <is>
          <t>Adam Halper</t>
        </is>
      </c>
      <c r="N370" s="40" t="inlineStr">
        <is>
          <t>Co-Founder &amp; Chief Executive Officer</t>
        </is>
      </c>
      <c r="O370" s="41" t="inlineStr">
        <is>
          <t>adam@whatsgoodly.com</t>
        </is>
      </c>
      <c r="P370" s="42" t="inlineStr">
        <is>
          <t>+1 (310) 625-2562</t>
        </is>
      </c>
      <c r="Q370" s="43" t="n">
        <v>2015.0</v>
      </c>
      <c r="R370" s="114">
        <f>HYPERLINK("https://my.pitchbook.com?c=124555-42", "View company online")</f>
      </c>
    </row>
    <row r="371">
      <c r="A371" s="9" t="inlineStr">
        <is>
          <t>97269-58</t>
        </is>
      </c>
      <c r="B371" s="10" t="inlineStr">
        <is>
          <t>What's Trending</t>
        </is>
      </c>
      <c r="C371" s="11" t="inlineStr">
        <is>
          <t>90028</t>
        </is>
      </c>
      <c r="D371" s="12" t="inlineStr">
        <is>
          <t>Provider of digital media services. The company hosts a live and interactive talk show which airs on YouTube in Los Angeles, California.</t>
        </is>
      </c>
      <c r="E371" s="13" t="inlineStr">
        <is>
          <t>Broadcasting, Radio and Television</t>
        </is>
      </c>
      <c r="F371" s="14" t="inlineStr">
        <is>
          <t>Los Angeles, CA</t>
        </is>
      </c>
      <c r="G371" s="15" t="inlineStr">
        <is>
          <t>Privately Held (backing)</t>
        </is>
      </c>
      <c r="H371" s="16" t="inlineStr">
        <is>
          <t>Venture Capital-Backed</t>
        </is>
      </c>
      <c r="I371" s="17" t="inlineStr">
        <is>
          <t/>
        </is>
      </c>
      <c r="J371" s="18" t="inlineStr">
        <is>
          <t>www.whatstrending.com</t>
        </is>
      </c>
      <c r="K371" s="19" t="inlineStr">
        <is>
          <t>info@whatstrending.com</t>
        </is>
      </c>
      <c r="L371" s="20" t="inlineStr">
        <is>
          <t/>
        </is>
      </c>
      <c r="M371" s="21" t="inlineStr">
        <is>
          <t>Shira Lazar</t>
        </is>
      </c>
      <c r="N371" s="22" t="inlineStr">
        <is>
          <t>Co-Founder &amp; Chief Executive Officer</t>
        </is>
      </c>
      <c r="O371" s="23" t="inlineStr">
        <is>
          <t>shira@whatstrending.com</t>
        </is>
      </c>
      <c r="P371" s="24" t="inlineStr">
        <is>
          <t/>
        </is>
      </c>
      <c r="Q371" s="25" t="n">
        <v>2011.0</v>
      </c>
      <c r="R371" s="113">
        <f>HYPERLINK("https://my.pitchbook.com?c=97269-58", "View company online")</f>
      </c>
    </row>
    <row r="372">
      <c r="A372" s="27" t="inlineStr">
        <is>
          <t>98050-78</t>
        </is>
      </c>
      <c r="B372" s="28" t="inlineStr">
        <is>
          <t>Whatfix</t>
        </is>
      </c>
      <c r="C372" s="29" t="inlineStr">
        <is>
          <t>560102</t>
        </is>
      </c>
      <c r="D372" s="30" t="inlineStr">
        <is>
          <t>Developer of a SaaS-based performance support platform designed to help enterprises and businesses simplify their training and support efforts with easily accessible contextual information. The company's SaaS-based performance support platform, Whatfix, allows startups, businesses and individuals to create interactive guides for web-based products and applications, enabling them to ease user onboarding, improve support and reduce training effort through an real-time interactive guidance technology.</t>
        </is>
      </c>
      <c r="E372" s="31" t="inlineStr">
        <is>
          <t>Social/Platform Software</t>
        </is>
      </c>
      <c r="F372" s="32" t="inlineStr">
        <is>
          <t>Bangalore, India</t>
        </is>
      </c>
      <c r="G372" s="33" t="inlineStr">
        <is>
          <t>Privately Held (backing)</t>
        </is>
      </c>
      <c r="H372" s="34" t="inlineStr">
        <is>
          <t>Venture Capital-Backed</t>
        </is>
      </c>
      <c r="I372" s="35" t="inlineStr">
        <is>
          <t>Aneesh Reddy, Anupam Mittal, Dinesh Agarwal, Girish Mathrubootham, Gokul Rajaram, GSF India, Hanwha, Helion Venture Partners, Murugavel Janakiraman, Nandita Jhaveri, Powerhouse Ventures, Rajesh Sawhney, Stellaris Venture Partners, TA Ventures, Vatsal Sonecha, Vispi Daver</t>
        </is>
      </c>
      <c r="J372" s="36" t="inlineStr">
        <is>
          <t>www.whatfix.com</t>
        </is>
      </c>
      <c r="K372" s="37" t="inlineStr">
        <is>
          <t>info@whatfix.com</t>
        </is>
      </c>
      <c r="L372" s="38" t="inlineStr">
        <is>
          <t>+91 (0)96 1110 5212</t>
        </is>
      </c>
      <c r="M372" s="39" t="inlineStr">
        <is>
          <t>Khadim Batti</t>
        </is>
      </c>
      <c r="N372" s="40" t="inlineStr">
        <is>
          <t>Co-Founder &amp; Chief Executive Officer</t>
        </is>
      </c>
      <c r="O372" s="41" t="inlineStr">
        <is>
          <t>khadim@whatfix.com</t>
        </is>
      </c>
      <c r="P372" s="42" t="inlineStr">
        <is>
          <t>+91 (0)96 1110 5212</t>
        </is>
      </c>
      <c r="Q372" s="43" t="n">
        <v>2010.0</v>
      </c>
      <c r="R372" s="114">
        <f>HYPERLINK("https://my.pitchbook.com?c=98050-78", "View company online")</f>
      </c>
    </row>
    <row r="373">
      <c r="A373" s="9" t="inlineStr">
        <is>
          <t>56541-25</t>
        </is>
      </c>
      <c r="B373" s="10" t="inlineStr">
        <is>
          <t>Whamix</t>
        </is>
      </c>
      <c r="C373" s="11" t="inlineStr">
        <is>
          <t>94402</t>
        </is>
      </c>
      <c r="D373" s="12" t="inlineStr">
        <is>
          <t>Provider of an online platform for interactive video content. The company allows film studios and publishers to produce media applications such as intercative and video contents without any programming or scripting.</t>
        </is>
      </c>
      <c r="E373" s="13" t="inlineStr">
        <is>
          <t>Communication Software</t>
        </is>
      </c>
      <c r="F373" s="14" t="inlineStr">
        <is>
          <t>San Mateo, CA</t>
        </is>
      </c>
      <c r="G373" s="15" t="inlineStr">
        <is>
          <t>Privately Held (backing)</t>
        </is>
      </c>
      <c r="H373" s="16" t="inlineStr">
        <is>
          <t>Venture Capital-Backed</t>
        </is>
      </c>
      <c r="I373" s="17" t="inlineStr">
        <is>
          <t>Dorm Room Fund, First Round Capital</t>
        </is>
      </c>
      <c r="J373" s="18" t="inlineStr">
        <is>
          <t>www.whamix.com</t>
        </is>
      </c>
      <c r="K373" s="19" t="inlineStr">
        <is>
          <t/>
        </is>
      </c>
      <c r="L373" s="20" t="inlineStr">
        <is>
          <t/>
        </is>
      </c>
      <c r="M373" s="21" t="inlineStr">
        <is>
          <t>Apurva Shah</t>
        </is>
      </c>
      <c r="N373" s="22" t="inlineStr">
        <is>
          <t>Co-Founder</t>
        </is>
      </c>
      <c r="O373" s="23" t="inlineStr">
        <is>
          <t>apurva@whamix.com</t>
        </is>
      </c>
      <c r="P373" s="24" t="inlineStr">
        <is>
          <t/>
        </is>
      </c>
      <c r="Q373" s="25" t="n">
        <v>2012.0</v>
      </c>
      <c r="R373" s="113">
        <f>HYPERLINK("https://my.pitchbook.com?c=56541-25", "View company online")</f>
      </c>
    </row>
    <row r="374">
      <c r="A374" s="27" t="inlineStr">
        <is>
          <t>118177-03</t>
        </is>
      </c>
      <c r="B374" s="28" t="inlineStr">
        <is>
          <t>Whalr</t>
        </is>
      </c>
      <c r="C374" s="29" t="inlineStr">
        <is>
          <t>94104</t>
        </is>
      </c>
      <c r="D374" s="30" t="inlineStr">
        <is>
          <t>Developer of sales acceleration tool for enterprise sales teams. The company's platform enables users to identify data into insightful behavior of potential leads.</t>
        </is>
      </c>
      <c r="E374" s="31" t="inlineStr">
        <is>
          <t>Media and Information Services (B2B)</t>
        </is>
      </c>
      <c r="F374" s="32" t="inlineStr">
        <is>
          <t>San Francisco, CA</t>
        </is>
      </c>
      <c r="G374" s="33" t="inlineStr">
        <is>
          <t>Privately Held (backing)</t>
        </is>
      </c>
      <c r="H374" s="34" t="inlineStr">
        <is>
          <t>Venture Capital-Backed</t>
        </is>
      </c>
      <c r="I374" s="35" t="inlineStr">
        <is>
          <t>Upside Partnership</t>
        </is>
      </c>
      <c r="J374" s="36" t="inlineStr">
        <is>
          <t>www.whalr.com</t>
        </is>
      </c>
      <c r="K374" s="37" t="inlineStr">
        <is>
          <t>hello@whalr.com</t>
        </is>
      </c>
      <c r="L374" s="38" t="inlineStr">
        <is>
          <t>+1 (415) 483-2297</t>
        </is>
      </c>
      <c r="M374" s="39" t="inlineStr">
        <is>
          <t>Mitch Morando</t>
        </is>
      </c>
      <c r="N374" s="40" t="inlineStr">
        <is>
          <t>Co-Founder &amp; Chief Executive Officer</t>
        </is>
      </c>
      <c r="O374" s="41" t="inlineStr">
        <is>
          <t/>
        </is>
      </c>
      <c r="P374" s="42" t="inlineStr">
        <is>
          <t>+1 (415) 483-2297</t>
        </is>
      </c>
      <c r="Q374" s="43" t="n">
        <v>2013.0</v>
      </c>
      <c r="R374" s="114">
        <f>HYPERLINK("https://my.pitchbook.com?c=118177-03", "View company online")</f>
      </c>
    </row>
    <row r="375">
      <c r="A375" s="9" t="inlineStr">
        <is>
          <t>173500-66</t>
        </is>
      </c>
      <c r="B375" s="10" t="inlineStr">
        <is>
          <t>Whale (Application Software)</t>
        </is>
      </c>
      <c r="C375" s="11" t="inlineStr">
        <is>
          <t>94030</t>
        </is>
      </c>
      <c r="D375" s="12" t="inlineStr">
        <is>
          <t>Developer of a question and answer video application intended to create a community to share knowledge. The company'squestion and answer video application lets users post questions and enter into a one-to-one video conversation with an influencer or expert who can provide answers to their questions, enabling users to create an online library recording of all their queries and relevant answers to those questions.</t>
        </is>
      </c>
      <c r="E375" s="13" t="inlineStr">
        <is>
          <t>Application Software</t>
        </is>
      </c>
      <c r="F375" s="14" t="inlineStr">
        <is>
          <t>Millbrae, CA</t>
        </is>
      </c>
      <c r="G375" s="15" t="inlineStr">
        <is>
          <t>Privately Held (backing)</t>
        </is>
      </c>
      <c r="H375" s="16" t="inlineStr">
        <is>
          <t>Venture Capital-Backed</t>
        </is>
      </c>
      <c r="I375" s="17" t="inlineStr">
        <is>
          <t>Transmedia Capital, Zero-F</t>
        </is>
      </c>
      <c r="J375" s="18" t="inlineStr">
        <is>
          <t>www.askwhale.com</t>
        </is>
      </c>
      <c r="K375" s="19" t="inlineStr">
        <is>
          <t>hi@askwhale.com</t>
        </is>
      </c>
      <c r="L375" s="20" t="inlineStr">
        <is>
          <t/>
        </is>
      </c>
      <c r="M375" s="21" t="inlineStr">
        <is>
          <t>Justin Kan</t>
        </is>
      </c>
      <c r="N375" s="22" t="inlineStr">
        <is>
          <t>Founder</t>
        </is>
      </c>
      <c r="O375" s="23" t="inlineStr">
        <is>
          <t>justin.kan@atrium.ltd.uk</t>
        </is>
      </c>
      <c r="P375" s="24" t="inlineStr">
        <is>
          <t/>
        </is>
      </c>
      <c r="Q375" s="25" t="n">
        <v>2016.0</v>
      </c>
      <c r="R375" s="113">
        <f>HYPERLINK("https://my.pitchbook.com?c=173500-66", "View company online")</f>
      </c>
    </row>
    <row r="376">
      <c r="A376" s="27" t="inlineStr">
        <is>
          <t>62181-28</t>
        </is>
      </c>
      <c r="B376" s="28" t="inlineStr">
        <is>
          <t>WeWork</t>
        </is>
      </c>
      <c r="C376" s="29" t="inlineStr">
        <is>
          <t>10011</t>
        </is>
      </c>
      <c r="D376" s="30" t="inlineStr">
        <is>
          <t>Provider of a shared workspace community and office services designed to create collaboration between entrepreneurs, freelancers, startups and small businesses. The company's services include office space with facilities like high-speed internet, printers, free refreshments and private phone booths, enabling startups, entrepreneurs and small businesses to collaborate, share experiences and get inspiration from other members and communities.</t>
        </is>
      </c>
      <c r="E376" s="31" t="inlineStr">
        <is>
          <t>Real Estate Services (B2C)</t>
        </is>
      </c>
      <c r="F376" s="32" t="inlineStr">
        <is>
          <t>New York, NY</t>
        </is>
      </c>
      <c r="G376" s="33" t="inlineStr">
        <is>
          <t>Privately Held (backing)</t>
        </is>
      </c>
      <c r="H376" s="34" t="inlineStr">
        <is>
          <t>Venture Capital-Backed</t>
        </is>
      </c>
      <c r="I376" s="35" t="inlineStr">
        <is>
          <t>Aleph, Benchmark Capital, China Oceanwide Holdings Group, DAG Ventures, Fidelity Management &amp; Research, Glade Brook Capital Partners, Hartford Financial Services Group (Mutual Fund Business), Harvard Management Company, Hony Capital, John Hancock Investments, JPMorgan Chase &amp; Company, Legend Holdings, MassMutual Financial Group, Mort Zuckerman, Optimum Asset Management, Principal Financial Group, Shanghai Jin Jiang International Hotels, SoftBank Group, Star Farm Ventures, T. Rowe Price, The Goldman Sachs Group, The Hartford Financial Services Group, Wellington Management</t>
        </is>
      </c>
      <c r="J376" s="36" t="inlineStr">
        <is>
          <t>www.wework.com</t>
        </is>
      </c>
      <c r="K376" s="37" t="inlineStr">
        <is>
          <t>joinus@wework.com</t>
        </is>
      </c>
      <c r="L376" s="38" t="inlineStr">
        <is>
          <t>+1 (877) 495-0451</t>
        </is>
      </c>
      <c r="M376" s="39" t="inlineStr">
        <is>
          <t>Adam Neumann</t>
        </is>
      </c>
      <c r="N376" s="40" t="inlineStr">
        <is>
          <t>Co-Founder &amp; Chief Executive Officer</t>
        </is>
      </c>
      <c r="O376" s="41" t="inlineStr">
        <is>
          <t>adam@wework.com</t>
        </is>
      </c>
      <c r="P376" s="42" t="inlineStr">
        <is>
          <t>+1 (877) 495-0451</t>
        </is>
      </c>
      <c r="Q376" s="43" t="n">
        <v>2010.0</v>
      </c>
      <c r="R376" s="114">
        <f>HYPERLINK("https://my.pitchbook.com?c=62181-28", "View company online")</f>
      </c>
    </row>
    <row r="377">
      <c r="A377" s="9" t="inlineStr">
        <is>
          <t>53604-64</t>
        </is>
      </c>
      <c r="B377" s="10" t="inlineStr">
        <is>
          <t>Wevr</t>
        </is>
      </c>
      <c r="C377" s="11" t="inlineStr">
        <is>
          <t>90291</t>
        </is>
      </c>
      <c r="D377" s="12" t="inlineStr">
        <is>
          <t>Owner and operator of a virtual reality studio. The company provides an platform that enables digital artists and developers to produce and publish digital media for virtual reality devices.</t>
        </is>
      </c>
      <c r="E377" s="13" t="inlineStr">
        <is>
          <t>Movies, Music and Entertainment</t>
        </is>
      </c>
      <c r="F377" s="14" t="inlineStr">
        <is>
          <t>Los Angeles, CA</t>
        </is>
      </c>
      <c r="G377" s="15" t="inlineStr">
        <is>
          <t>Privately Held (backing)</t>
        </is>
      </c>
      <c r="H377" s="16" t="inlineStr">
        <is>
          <t>Venture Capital-Backed</t>
        </is>
      </c>
      <c r="I377" s="17" t="inlineStr">
        <is>
          <t>Allen Debevoise, AME Cloud Ventures, Basset Investment Group, Boldstart Ventures, Cyan Banister, Deep Fork Capital, Digital Garage, Dragoneer Investment Group, Evolution Media Capital, HTC, Jeff Lo, Jerry Yang, Joichi Ito, Leo Spiegel, Montgomery &amp; Company, Orange Digital Ventures, Palantir Capital, Plus Capital, Rothenberg Ventures, Samsung Venture Investment, Scott Banister, Scott McNealy, Spiegel Capital Management, TenOneTen Ventures, Third Wave Digital, Yair Landau</t>
        </is>
      </c>
      <c r="J377" s="18" t="inlineStr">
        <is>
          <t>www.wevr.com</t>
        </is>
      </c>
      <c r="K377" s="19" t="inlineStr">
        <is>
          <t>info@wevr.com</t>
        </is>
      </c>
      <c r="L377" s="20" t="inlineStr">
        <is>
          <t>+1 (310) 770-6746</t>
        </is>
      </c>
      <c r="M377" s="21" t="inlineStr">
        <is>
          <t>Neville Spiteri</t>
        </is>
      </c>
      <c r="N377" s="22" t="inlineStr">
        <is>
          <t>Co-Founder &amp; Chief Executive Officer</t>
        </is>
      </c>
      <c r="O377" s="23" t="inlineStr">
        <is>
          <t>neville@wevr.com</t>
        </is>
      </c>
      <c r="P377" s="24" t="inlineStr">
        <is>
          <t>+1 (310) 770-6746</t>
        </is>
      </c>
      <c r="Q377" s="25" t="n">
        <v>2009.0</v>
      </c>
      <c r="R377" s="113">
        <f>HYPERLINK("https://my.pitchbook.com?c=53604-64", "View company online")</f>
      </c>
    </row>
    <row r="378">
      <c r="A378" s="27" t="inlineStr">
        <is>
          <t>56434-69</t>
        </is>
      </c>
      <c r="B378" s="28" t="inlineStr">
        <is>
          <t>Wevorce</t>
        </is>
      </c>
      <c r="C378" s="29" t="inlineStr">
        <is>
          <t>94403</t>
        </is>
      </c>
      <c r="D378" s="30" t="inlineStr">
        <is>
          <t>Provider of a system for handling divorces through a combination of divorce professionals and online tools. The company covers six broad steps divorce planning, co-parent planning, a parenting agreement, financial mapping, financial agreements and divorce settlement.</t>
        </is>
      </c>
      <c r="E378" s="31" t="inlineStr">
        <is>
          <t>Legal Services (B2C)</t>
        </is>
      </c>
      <c r="F378" s="32" t="inlineStr">
        <is>
          <t>San Mateo, CA</t>
        </is>
      </c>
      <c r="G378" s="33" t="inlineStr">
        <is>
          <t>Privately Held (backing)</t>
        </is>
      </c>
      <c r="H378" s="34" t="inlineStr">
        <is>
          <t>Venture Capital-Backed</t>
        </is>
      </c>
      <c r="I378" s="35" t="inlineStr">
        <is>
          <t>500 Startups, Adam Sharp, Alliance of Angels, Andrew Crichton, Barbara Corcoran Venture Partners, Big Basin Partners, Bobby Goodlatte, Bobby Yazdani, Catherine Chang, Deciens Capital, Fenox Venture Capital, Foundation Capital, Geoff Ralston, Hydrazine Capital, Paul Buchheit, Pear Ventures, Saad AlSogair, Sam Altman, Service Provider Capital, Signatures Capital, Streamlined Ventures, Techstars, Ullas Naik, Wei Guo, Y Combinator</t>
        </is>
      </c>
      <c r="J378" s="36" t="inlineStr">
        <is>
          <t>www.wevorce.com</t>
        </is>
      </c>
      <c r="K378" s="37" t="inlineStr">
        <is>
          <t>welcome@wevorce.com</t>
        </is>
      </c>
      <c r="L378" s="38" t="inlineStr">
        <is>
          <t>+1 (855) 938-6723</t>
        </is>
      </c>
      <c r="M378" s="39" t="inlineStr">
        <is>
          <t>Michelle Crosby</t>
        </is>
      </c>
      <c r="N378" s="40" t="inlineStr">
        <is>
          <t>Co-Founder &amp; Chief Executive Officer</t>
        </is>
      </c>
      <c r="O378" s="41" t="inlineStr">
        <is>
          <t>michelle@wevorce.com</t>
        </is>
      </c>
      <c r="P378" s="42" t="inlineStr">
        <is>
          <t>+1 (855) 938-6723</t>
        </is>
      </c>
      <c r="Q378" s="43" t="n">
        <v>2012.0</v>
      </c>
      <c r="R378" s="114">
        <f>HYPERLINK("https://my.pitchbook.com?c=56434-69", "View company online")</f>
      </c>
    </row>
    <row r="379">
      <c r="A379" s="9" t="inlineStr">
        <is>
          <t>54312-22</t>
        </is>
      </c>
      <c r="B379" s="10" t="inlineStr">
        <is>
          <t>WeVideo</t>
        </is>
      </c>
      <c r="C379" s="11" t="inlineStr">
        <is>
          <t>94025</t>
        </is>
      </c>
      <c r="D379" s="12" t="inlineStr">
        <is>
          <t>Provider of a cloud based video editing platform designed to provide an online creative toolbox for children, to be used both in school and at home. The company's cloud based video editing platform can be accessed from any computer or device at home, work, or on the go to capture, edit, view and share with secure storage of their content in the cloud, enabling sports enthusiasts, entertainers, groups and communities, families, gamers, educators, students, marketers, online journalists and pro-video graphers to help in storytelling and video creation which will be accessible to everyone.</t>
        </is>
      </c>
      <c r="E379" s="13" t="inlineStr">
        <is>
          <t>Social/Platform Software</t>
        </is>
      </c>
      <c r="F379" s="14" t="inlineStr">
        <is>
          <t>Menlo Park, CA</t>
        </is>
      </c>
      <c r="G379" s="15" t="inlineStr">
        <is>
          <t>Privately Held (backing)</t>
        </is>
      </c>
      <c r="H379" s="16" t="inlineStr">
        <is>
          <t>Venture Capital-Backed</t>
        </is>
      </c>
      <c r="I379" s="17" t="inlineStr">
        <is>
          <t>Brian NeSmith, Crest Capital Ventures, Keiretsu Forum, REach Accelerator, Second Century Ventures</t>
        </is>
      </c>
      <c r="J379" s="18" t="inlineStr">
        <is>
          <t>www.wevideo.com</t>
        </is>
      </c>
      <c r="K379" s="19" t="inlineStr">
        <is>
          <t>info@wevideo.com</t>
        </is>
      </c>
      <c r="L379" s="20" t="inlineStr">
        <is>
          <t>+1 (650) 800-3400</t>
        </is>
      </c>
      <c r="M379" s="21" t="inlineStr">
        <is>
          <t>Krishna Menon</t>
        </is>
      </c>
      <c r="N379" s="22" t="inlineStr">
        <is>
          <t>Chief Executive Officer</t>
        </is>
      </c>
      <c r="O379" s="23" t="inlineStr">
        <is>
          <t>krishna@wevideo.com</t>
        </is>
      </c>
      <c r="P379" s="24" t="inlineStr">
        <is>
          <t>+1 (650) 800-3400</t>
        </is>
      </c>
      <c r="Q379" s="25" t="n">
        <v>2011.0</v>
      </c>
      <c r="R379" s="113">
        <f>HYPERLINK("https://my.pitchbook.com?c=54312-22", "View company online")</f>
      </c>
    </row>
    <row r="380">
      <c r="A380" s="27" t="inlineStr">
        <is>
          <t>103662-19</t>
        </is>
      </c>
      <c r="B380" s="28" t="inlineStr">
        <is>
          <t>We'Ve</t>
        </is>
      </c>
      <c r="C380" s="29" t="inlineStr">
        <is>
          <t>94117</t>
        </is>
      </c>
      <c r="D380" s="30" t="inlineStr">
        <is>
          <t>Provider of a global online collective of handcrafted products designed to reimagine the relationship between buyers, artisans and designers. The company's global online collective of handcrafted products are sustainably produced by skilled artisans and result in limited edition, providing buyers and sellers a direct connection that strengthens community and changes lives.</t>
        </is>
      </c>
      <c r="E380" s="31" t="inlineStr">
        <is>
          <t>Accessories</t>
        </is>
      </c>
      <c r="F380" s="32" t="inlineStr">
        <is>
          <t>San Francisco, CA</t>
        </is>
      </c>
      <c r="G380" s="33" t="inlineStr">
        <is>
          <t>Privately Held (backing)</t>
        </is>
      </c>
      <c r="H380" s="34" t="inlineStr">
        <is>
          <t>Venture Capital-Backed</t>
        </is>
      </c>
      <c r="I380" s="35" t="inlineStr">
        <is>
          <t>Emil Capital Partners</t>
        </is>
      </c>
      <c r="J380" s="36" t="inlineStr">
        <is>
          <t>www.wevebuilt.com</t>
        </is>
      </c>
      <c r="K380" s="37" t="inlineStr">
        <is>
          <t>info@wevebuilt.com</t>
        </is>
      </c>
      <c r="L380" s="38" t="inlineStr">
        <is>
          <t>+1 (843) 722-0118</t>
        </is>
      </c>
      <c r="M380" s="39" t="inlineStr">
        <is>
          <t>Eve Blossom</t>
        </is>
      </c>
      <c r="N380" s="40" t="inlineStr">
        <is>
          <t>Founder &amp; Chief Executive Officer</t>
        </is>
      </c>
      <c r="O380" s="41" t="inlineStr">
        <is>
          <t>eve@wevebuilt.com</t>
        </is>
      </c>
      <c r="P380" s="42" t="inlineStr">
        <is>
          <t>+1 (843) 722-0118</t>
        </is>
      </c>
      <c r="Q380" s="43" t="n">
        <v>2012.0</v>
      </c>
      <c r="R380" s="114">
        <f>HYPERLINK("https://my.pitchbook.com?c=103662-19", "View company online")</f>
      </c>
    </row>
    <row r="381">
      <c r="A381" s="9" t="inlineStr">
        <is>
          <t>110510-29</t>
        </is>
      </c>
      <c r="B381" s="10" t="inlineStr">
        <is>
          <t>Wetravel</t>
        </is>
      </c>
      <c r="C381" s="11" t="inlineStr">
        <is>
          <t>94107</t>
        </is>
      </c>
      <c r="D381" s="12" t="inlineStr">
        <is>
          <t>Provider of an online platform for planning trips. The company provides an online portal for organizing, sharing and managing group trips with friends and family.</t>
        </is>
      </c>
      <c r="E381" s="13" t="inlineStr">
        <is>
          <t>Social/Platform Software</t>
        </is>
      </c>
      <c r="F381" s="14" t="inlineStr">
        <is>
          <t>San Francisco, CA</t>
        </is>
      </c>
      <c r="G381" s="15" t="inlineStr">
        <is>
          <t>Privately Held (backing)</t>
        </is>
      </c>
      <c r="H381" s="16" t="inlineStr">
        <is>
          <t>Venture Capital-Backed</t>
        </is>
      </c>
      <c r="I381" s="17" t="inlineStr">
        <is>
          <t>Creative Ventures, Dorm Room Fund, Foundation Capital, Hansoo Lee Fellowship, LAUNCH (UC Berkeley), Skydeck | Berkeley</t>
        </is>
      </c>
      <c r="J381" s="18" t="inlineStr">
        <is>
          <t>www.wetravel.com</t>
        </is>
      </c>
      <c r="K381" s="19" t="inlineStr">
        <is>
          <t>info@wetravel.to</t>
        </is>
      </c>
      <c r="L381" s="20" t="inlineStr">
        <is>
          <t>+1 (415) 968-3033</t>
        </is>
      </c>
      <c r="M381" s="21" t="inlineStr">
        <is>
          <t>Johannes Köppel</t>
        </is>
      </c>
      <c r="N381" s="22" t="inlineStr">
        <is>
          <t>Co-Founder &amp; Chief Executive Officer</t>
        </is>
      </c>
      <c r="O381" s="23" t="inlineStr">
        <is>
          <t>johannes@wetravel.to</t>
        </is>
      </c>
      <c r="P381" s="24" t="inlineStr">
        <is>
          <t>+1 (415) 968-3033</t>
        </is>
      </c>
      <c r="Q381" s="25" t="n">
        <v>2014.0</v>
      </c>
      <c r="R381" s="113">
        <f>HYPERLINK("https://my.pitchbook.com?c=110510-29", "View company online")</f>
      </c>
    </row>
    <row r="382">
      <c r="A382" s="27" t="inlineStr">
        <is>
          <t>104273-56</t>
        </is>
      </c>
      <c r="B382" s="28" t="inlineStr">
        <is>
          <t>WeTransfer</t>
        </is>
      </c>
      <c r="C382" s="29" t="inlineStr">
        <is>
          <t>1019 BW</t>
        </is>
      </c>
      <c r="D382" s="30" t="inlineStr">
        <is>
          <t>Provider of cloud-based file transfer platform designed to offer effortless transfer of ideas from one creative mind to many. The company's cloud-based file transfer platform facilitates online media exchange, transferring password protected files and also helps to resend, forward, or delete transfers, enabling users to transmit files that are too large to send as email attachments.</t>
        </is>
      </c>
      <c r="E382" s="31" t="inlineStr">
        <is>
          <t>Application Software</t>
        </is>
      </c>
      <c r="F382" s="32" t="inlineStr">
        <is>
          <t>Amsterdam, Netherlands</t>
        </is>
      </c>
      <c r="G382" s="33" t="inlineStr">
        <is>
          <t>Privately Held (backing)</t>
        </is>
      </c>
      <c r="H382" s="34" t="inlineStr">
        <is>
          <t>Venture Capital-Backed</t>
        </is>
      </c>
      <c r="I382" s="35" t="inlineStr">
        <is>
          <t>Highland Capital Partners Europe</t>
        </is>
      </c>
      <c r="J382" s="36" t="inlineStr">
        <is>
          <t>www.wetransfer.com</t>
        </is>
      </c>
      <c r="K382" s="37" t="inlineStr">
        <is>
          <t>info@wetransfer.com</t>
        </is>
      </c>
      <c r="L382" s="38" t="inlineStr">
        <is>
          <t/>
        </is>
      </c>
      <c r="M382" s="39" t="inlineStr">
        <is>
          <t>Bas Beerens</t>
        </is>
      </c>
      <c r="N382" s="40" t="inlineStr">
        <is>
          <t>Chairman &amp; Co-Founder</t>
        </is>
      </c>
      <c r="O382" s="41" t="inlineStr">
        <is>
          <t>bas@wetransfer.com</t>
        </is>
      </c>
      <c r="P382" s="42" t="inlineStr">
        <is>
          <t/>
        </is>
      </c>
      <c r="Q382" s="43" t="n">
        <v>2009.0</v>
      </c>
      <c r="R382" s="114">
        <f>HYPERLINK("https://my.pitchbook.com?c=104273-56", "View company online")</f>
      </c>
    </row>
    <row r="383">
      <c r="A383" s="9" t="inlineStr">
        <is>
          <t>63508-33</t>
        </is>
      </c>
      <c r="B383" s="10" t="inlineStr">
        <is>
          <t>West Health Institute</t>
        </is>
      </c>
      <c r="C383" s="11" t="inlineStr">
        <is>
          <t>92037</t>
        </is>
      </c>
      <c r="D383" s="12" t="inlineStr">
        <is>
          <t>Provider of medical-research services. The company is an independent medical research organization with a mission of lowering healthcare costs by developing patient-centered technology that is accessible when and where it is needed.</t>
        </is>
      </c>
      <c r="E383" s="13" t="inlineStr">
        <is>
          <t>Other Healthcare Technology Systems</t>
        </is>
      </c>
      <c r="F383" s="14" t="inlineStr">
        <is>
          <t>San Diego, CA</t>
        </is>
      </c>
      <c r="G383" s="15" t="inlineStr">
        <is>
          <t>Privately Held (backing)</t>
        </is>
      </c>
      <c r="H383" s="16" t="inlineStr">
        <is>
          <t>Venture Capital-Backed</t>
        </is>
      </c>
      <c r="I383" s="17" t="inlineStr">
        <is>
          <t/>
        </is>
      </c>
      <c r="J383" s="18" t="inlineStr">
        <is>
          <t/>
        </is>
      </c>
      <c r="K383" s="19" t="inlineStr">
        <is>
          <t>info@westhealth.org</t>
        </is>
      </c>
      <c r="L383" s="20" t="inlineStr">
        <is>
          <t>+1 (858) 535-7000</t>
        </is>
      </c>
      <c r="M383" s="21" t="inlineStr">
        <is>
          <t>Michael Caponetto</t>
        </is>
      </c>
      <c r="N383" s="22" t="inlineStr">
        <is>
          <t>Chief Financial Officer &amp; Chief Operating Officer</t>
        </is>
      </c>
      <c r="O383" s="23" t="inlineStr">
        <is>
          <t/>
        </is>
      </c>
      <c r="P383" s="24" t="inlineStr">
        <is>
          <t>+1 (858) 535-7000</t>
        </is>
      </c>
      <c r="Q383" s="25" t="n">
        <v>2009.0</v>
      </c>
      <c r="R383" s="113">
        <f>HYPERLINK("https://my.pitchbook.com?c=63508-33", "View company online")</f>
      </c>
    </row>
    <row r="384">
      <c r="A384" s="27" t="inlineStr">
        <is>
          <t>51226-21</t>
        </is>
      </c>
      <c r="B384" s="28" t="inlineStr">
        <is>
          <t>WeSpire</t>
        </is>
      </c>
      <c r="C384" s="29" t="inlineStr">
        <is>
          <t>02111</t>
        </is>
      </c>
      <c r="D384" s="30" t="inlineStr">
        <is>
          <t>Developer of a enterprise employee engagement technology intended to capture people's imagination and produce meaningful results. The company's enterprise employee engagement technology provides of a platform that uses applied behavioral science, social, gamification and mobile technology to offer employee sustainability and responsibility programs to global corporations.</t>
        </is>
      </c>
      <c r="E384" s="31" t="inlineStr">
        <is>
          <t>Human Capital Services</t>
        </is>
      </c>
      <c r="F384" s="32" t="inlineStr">
        <is>
          <t>Boston, MA</t>
        </is>
      </c>
      <c r="G384" s="33" t="inlineStr">
        <is>
          <t>Privately Held (backing)</t>
        </is>
      </c>
      <c r="H384" s="34" t="inlineStr">
        <is>
          <t>Venture Capital-Backed</t>
        </is>
      </c>
      <c r="I384" s="35" t="inlineStr">
        <is>
          <t>Clean Energy Venture Group, Converge Venture Partners, Dogpatch Labs, EnerNOC, Gene Zimon, Golden Seeds, Individual Investor, Jean Hammond, John Landry, Launchpad Venture Group, Lead Dog Ventures, Mentor Capital Network, Pan Asia Solar, Springboard (Acquired), WindSail Capital Group</t>
        </is>
      </c>
      <c r="J384" s="36" t="inlineStr">
        <is>
          <t>www.wespire.com</t>
        </is>
      </c>
      <c r="K384" s="37" t="inlineStr">
        <is>
          <t>info@wespire.com</t>
        </is>
      </c>
      <c r="L384" s="38" t="inlineStr">
        <is>
          <t>+1 (617) 531-8970</t>
        </is>
      </c>
      <c r="M384" s="39" t="inlineStr">
        <is>
          <t>Susan Stevens</t>
        </is>
      </c>
      <c r="N384" s="40" t="inlineStr">
        <is>
          <t>Founder &amp; Chief Executive Officer</t>
        </is>
      </c>
      <c r="O384" s="41" t="inlineStr">
        <is>
          <t>susan@wespire.com</t>
        </is>
      </c>
      <c r="P384" s="42" t="inlineStr">
        <is>
          <t>+1 (617) 531-8970</t>
        </is>
      </c>
      <c r="Q384" s="43" t="n">
        <v>2010.0</v>
      </c>
      <c r="R384" s="114">
        <f>HYPERLINK("https://my.pitchbook.com?c=51226-21", "View company online")</f>
      </c>
    </row>
    <row r="385">
      <c r="A385" s="9" t="inlineStr">
        <is>
          <t>56002-69</t>
        </is>
      </c>
      <c r="B385" s="10" t="inlineStr">
        <is>
          <t>Wercker</t>
        </is>
      </c>
      <c r="C385" s="11" t="inlineStr">
        <is>
          <t>1061XZ</t>
        </is>
      </c>
      <c r="D385" s="12" t="inlineStr">
        <is>
          <t>Developer of SaaS cloud code deployment platform for automating the process of testing and deploying code. The company's container-centric and cloud-native automation platform comprised of their local command line interface (CLI), online SaaS platform and API allows developers to build, test and deploy in one place, enabling organizations and their development teams to achieve their CI/CD goals with micro-services and Docker.</t>
        </is>
      </c>
      <c r="E385" s="13" t="inlineStr">
        <is>
          <t>Software Development Applications</t>
        </is>
      </c>
      <c r="F385" s="14" t="inlineStr">
        <is>
          <t>Amsterdam, Netherlands</t>
        </is>
      </c>
      <c r="G385" s="15" t="inlineStr">
        <is>
          <t>Privately Held (backing)</t>
        </is>
      </c>
      <c r="H385" s="16" t="inlineStr">
        <is>
          <t>Venture Capital-Backed</t>
        </is>
      </c>
      <c r="I385" s="17" t="inlineStr">
        <is>
          <t>CE Tech Invest, Chang Ng, Greylock Partners, INKEF Capital, Notion Capital, RockStart Accelerator, Shamrock Ventures, Tola Capital, Vitulum Ventures, WebFWD</t>
        </is>
      </c>
      <c r="J385" s="18" t="inlineStr">
        <is>
          <t>www.wercker.com</t>
        </is>
      </c>
      <c r="K385" s="19" t="inlineStr">
        <is>
          <t>pleasemailus@wercker.com</t>
        </is>
      </c>
      <c r="L385" s="20" t="inlineStr">
        <is>
          <t/>
        </is>
      </c>
      <c r="M385" s="21" t="inlineStr">
        <is>
          <t>Micha van Leuffen</t>
        </is>
      </c>
      <c r="N385" s="22" t="inlineStr">
        <is>
          <t>Co-Founder &amp; Chief Executive Officer</t>
        </is>
      </c>
      <c r="O385" s="23" t="inlineStr">
        <is>
          <t>micha@wercker.com</t>
        </is>
      </c>
      <c r="P385" s="24" t="inlineStr">
        <is>
          <t/>
        </is>
      </c>
      <c r="Q385" s="25" t="n">
        <v>2011.0</v>
      </c>
      <c r="R385" s="113">
        <f>HYPERLINK("https://my.pitchbook.com?c=56002-69", "View company online")</f>
      </c>
    </row>
    <row r="386">
      <c r="A386" s="27" t="inlineStr">
        <is>
          <t>53004-61</t>
        </is>
      </c>
      <c r="B386" s="28" t="inlineStr">
        <is>
          <t>WePow</t>
        </is>
      </c>
      <c r="C386" s="29" t="inlineStr">
        <is>
          <t>95014</t>
        </is>
      </c>
      <c r="D386" s="30" t="inlineStr">
        <is>
          <t>Provider of a video interviewing platform. The company develops and delivers Web and mobile video interviewing platforms which helps users to manage the applicant selection process with an online video interview application.</t>
        </is>
      </c>
      <c r="E386" s="31" t="inlineStr">
        <is>
          <t>Communication Software</t>
        </is>
      </c>
      <c r="F386" s="32" t="inlineStr">
        <is>
          <t>Cupertino, CA</t>
        </is>
      </c>
      <c r="G386" s="33" t="inlineStr">
        <is>
          <t>Privately Held (backing)</t>
        </is>
      </c>
      <c r="H386" s="34" t="inlineStr">
        <is>
          <t>Venture Capital-Backed</t>
        </is>
      </c>
      <c r="I386" s="35" t="inlineStr">
        <is>
          <t>500 Startups, Christine Tsai, DCM Ventures, Kapor Capital, Paul Singh, Quotidian Ventures, Recruit Holdings, Recruit Strategic Partners, Sun Mountain Capital</t>
        </is>
      </c>
      <c r="J386" s="36" t="inlineStr">
        <is>
          <t>www.wepow.com</t>
        </is>
      </c>
      <c r="K386" s="37" t="inlineStr">
        <is>
          <t/>
        </is>
      </c>
      <c r="L386" s="38" t="inlineStr">
        <is>
          <t>+1 (877) 659-5548</t>
        </is>
      </c>
      <c r="M386" s="39" t="inlineStr">
        <is>
          <t>Rodrigo Martinez</t>
        </is>
      </c>
      <c r="N386" s="40" t="inlineStr">
        <is>
          <t>Co-Founder &amp; Chief Product Officer</t>
        </is>
      </c>
      <c r="O386" s="41" t="inlineStr">
        <is>
          <t/>
        </is>
      </c>
      <c r="P386" s="42" t="inlineStr">
        <is>
          <t>+1 (650) 798-4644</t>
        </is>
      </c>
      <c r="Q386" s="43" t="n">
        <v>2011.0</v>
      </c>
      <c r="R386" s="114">
        <f>HYPERLINK("https://my.pitchbook.com?c=53004-61", "View company online")</f>
      </c>
    </row>
    <row r="387">
      <c r="A387" s="9" t="inlineStr">
        <is>
          <t>50844-52</t>
        </is>
      </c>
      <c r="B387" s="10" t="inlineStr">
        <is>
          <t>WePay</t>
        </is>
      </c>
      <c r="C387" s="11" t="inlineStr">
        <is>
          <t>94063</t>
        </is>
      </c>
      <c r="D387" s="12" t="inlineStr">
        <is>
          <t>Provider of an online payment platform for individuals, organizations and businesses. The company provides an application programming interface (API) that enables clients to accept and process payments for their users.</t>
        </is>
      </c>
      <c r="E387" s="13" t="inlineStr">
        <is>
          <t>Application Software</t>
        </is>
      </c>
      <c r="F387" s="14" t="inlineStr">
        <is>
          <t>Redwood City, CA</t>
        </is>
      </c>
      <c r="G387" s="15" t="inlineStr">
        <is>
          <t>Privately Held (backing)</t>
        </is>
      </c>
      <c r="H387" s="16" t="inlineStr">
        <is>
          <t>Venture Capital-Backed</t>
        </is>
      </c>
      <c r="I387" s="17" t="inlineStr">
        <is>
          <t>500 Startups, Andrew McCollum, Angus Davis, August Capital, Continental Investors, David McClure, Eric Dunn, FTV Capital, Hard Valuable Fun, Highland Capital Partners, Ignition Venture Partners, Joe Campanelli, Mark Goines, Max Levchin, Maynard Webb, Nils Johnson, Paul Buchheit, Philip Purcell, Rakuten, Raymond Tonsing, Ronald Conway, Steve Chen, SV Angel, Webb Investment Network, Y Combinator</t>
        </is>
      </c>
      <c r="J387" s="18" t="inlineStr">
        <is>
          <t>www.wepay.com</t>
        </is>
      </c>
      <c r="K387" s="19" t="inlineStr">
        <is>
          <t/>
        </is>
      </c>
      <c r="L387" s="20" t="inlineStr">
        <is>
          <t>+1 (855) 469-3729</t>
        </is>
      </c>
      <c r="M387" s="21" t="inlineStr">
        <is>
          <t>William Clerico</t>
        </is>
      </c>
      <c r="N387" s="22" t="inlineStr">
        <is>
          <t>Co-Founder, Chief Executive Officer and Board Member</t>
        </is>
      </c>
      <c r="O387" s="23" t="inlineStr">
        <is>
          <t>bill@wepay.com</t>
        </is>
      </c>
      <c r="P387" s="24" t="inlineStr">
        <is>
          <t>+1 (855) 469-3729</t>
        </is>
      </c>
      <c r="Q387" s="25" t="n">
        <v>2008.0</v>
      </c>
      <c r="R387" s="113">
        <f>HYPERLINK("https://my.pitchbook.com?c=50844-52", "View company online")</f>
      </c>
    </row>
    <row r="388">
      <c r="A388" s="27" t="inlineStr">
        <is>
          <t>57345-04</t>
        </is>
      </c>
      <c r="B388" s="28" t="inlineStr">
        <is>
          <t>weMonitor</t>
        </is>
      </c>
      <c r="C388" s="29" t="inlineStr">
        <is>
          <t>92111</t>
        </is>
      </c>
      <c r="D388" s="30" t="inlineStr">
        <is>
          <t>Developer of an application for monitoring energy. The company offers a monitoring software that allows homeowners to monitor, conserve and track energy usage of their home.</t>
        </is>
      </c>
      <c r="E388" s="31" t="inlineStr">
        <is>
          <t>Application Software</t>
        </is>
      </c>
      <c r="F388" s="32" t="inlineStr">
        <is>
          <t>San Diego, CA</t>
        </is>
      </c>
      <c r="G388" s="33" t="inlineStr">
        <is>
          <t>Privately Held (backing)</t>
        </is>
      </c>
      <c r="H388" s="34" t="inlineStr">
        <is>
          <t>Venture Capital-Backed</t>
        </is>
      </c>
      <c r="I388" s="35" t="inlineStr">
        <is>
          <t>Dominion Investment Group</t>
        </is>
      </c>
      <c r="J388" s="36" t="inlineStr">
        <is>
          <t>www.bluedot.com</t>
        </is>
      </c>
      <c r="K388" s="37" t="inlineStr">
        <is>
          <t>help@bluedot.com</t>
        </is>
      </c>
      <c r="L388" s="38" t="inlineStr">
        <is>
          <t/>
        </is>
      </c>
      <c r="M388" s="39" t="inlineStr">
        <is>
          <t>Dean McDaniel</t>
        </is>
      </c>
      <c r="N388" s="40" t="inlineStr">
        <is>
          <t>President, Chief Executive Officer &amp; Chief Technology Officer</t>
        </is>
      </c>
      <c r="O388" s="41" t="inlineStr">
        <is>
          <t>dean.mcdaniel@wemonitorhome.com</t>
        </is>
      </c>
      <c r="P388" s="42" t="inlineStr">
        <is>
          <t/>
        </is>
      </c>
      <c r="Q388" s="43" t="n">
        <v>2011.0</v>
      </c>
      <c r="R388" s="114">
        <f>HYPERLINK("https://my.pitchbook.com?c=57345-04", "View company online")</f>
      </c>
    </row>
    <row r="389">
      <c r="A389" s="9" t="inlineStr">
        <is>
          <t>115355-98</t>
        </is>
      </c>
      <c r="B389" s="10" t="inlineStr">
        <is>
          <t>WeMeUs</t>
        </is>
      </c>
      <c r="C389" s="11" t="inlineStr">
        <is>
          <t/>
        </is>
      </c>
      <c r="D389" s="12" t="inlineStr">
        <is>
          <t>Provider of a professional contact management platform. The company offers a personal contact management platform that allows consultants and other self-employed professionals centralize and organize the information about their contacts from multiple address books, and generate more leads and referrals from their network.</t>
        </is>
      </c>
      <c r="E389" s="13" t="inlineStr">
        <is>
          <t>Business/Productivity Software</t>
        </is>
      </c>
      <c r="F389" s="14" t="inlineStr">
        <is>
          <t>San Francisco, CA</t>
        </is>
      </c>
      <c r="G389" s="15" t="inlineStr">
        <is>
          <t>Privately Held (backing)</t>
        </is>
      </c>
      <c r="H389" s="16" t="inlineStr">
        <is>
          <t>Venture Capital-Backed</t>
        </is>
      </c>
      <c r="I389" s="17" t="inlineStr">
        <is>
          <t>Ignite Venture Partners, William Paseman</t>
        </is>
      </c>
      <c r="J389" s="18" t="inlineStr">
        <is>
          <t>www.wemeus.com</t>
        </is>
      </c>
      <c r="K389" s="19" t="inlineStr">
        <is>
          <t>info@wemeus.com</t>
        </is>
      </c>
      <c r="L389" s="20" t="inlineStr">
        <is>
          <t>+1 (650) 308-9681</t>
        </is>
      </c>
      <c r="M389" s="21" t="inlineStr">
        <is>
          <t>Landon Pollack</t>
        </is>
      </c>
      <c r="N389" s="22" t="inlineStr">
        <is>
          <t>Co-Founder &amp; Chairman</t>
        </is>
      </c>
      <c r="O389" s="23" t="inlineStr">
        <is>
          <t/>
        </is>
      </c>
      <c r="P389" s="24" t="inlineStr">
        <is>
          <t/>
        </is>
      </c>
      <c r="Q389" s="25" t="n">
        <v>2006.0</v>
      </c>
      <c r="R389" s="113">
        <f>HYPERLINK("https://my.pitchbook.com?c=115355-98", "View company online")</f>
      </c>
    </row>
    <row r="390">
      <c r="A390" s="27" t="inlineStr">
        <is>
          <t>119977-57</t>
        </is>
      </c>
      <c r="B390" s="28" t="inlineStr">
        <is>
          <t>WeMash</t>
        </is>
      </c>
      <c r="C390" s="29" t="inlineStr">
        <is>
          <t>90291</t>
        </is>
      </c>
      <c r="D390" s="30" t="inlineStr">
        <is>
          <t>Developer of a Web-based platform that specializes in online videos. The company offers an online platform that enables users to create and monetize content created out of videos derived from movie studios, news organizations, sports entities, music labels, publishers and documentaries.</t>
        </is>
      </c>
      <c r="E390" s="31" t="inlineStr">
        <is>
          <t>Movies, Music and Entertainment</t>
        </is>
      </c>
      <c r="F390" s="32" t="inlineStr">
        <is>
          <t>Los Angeles, CA</t>
        </is>
      </c>
      <c r="G390" s="33" t="inlineStr">
        <is>
          <t>Privately Held (backing)</t>
        </is>
      </c>
      <c r="H390" s="34" t="inlineStr">
        <is>
          <t>Venture Capital-Backed</t>
        </is>
      </c>
      <c r="I390" s="35" t="inlineStr">
        <is>
          <t>Andreessen Horowitz, Manatt Venture Fund, The Valley Fund</t>
        </is>
      </c>
      <c r="J390" s="36" t="inlineStr">
        <is>
          <t>wemash.com</t>
        </is>
      </c>
      <c r="K390" s="37" t="inlineStr">
        <is>
          <t/>
        </is>
      </c>
      <c r="L390" s="38" t="inlineStr">
        <is>
          <t/>
        </is>
      </c>
      <c r="M390" s="39" t="inlineStr">
        <is>
          <t>Quincy Jones</t>
        </is>
      </c>
      <c r="N390" s="40" t="inlineStr">
        <is>
          <t>Co-Founder, Chief Executive Officer &amp; Board Member</t>
        </is>
      </c>
      <c r="O390" s="41" t="inlineStr">
        <is>
          <t/>
        </is>
      </c>
      <c r="P390" s="42" t="inlineStr">
        <is>
          <t/>
        </is>
      </c>
      <c r="Q390" s="43" t="n">
        <v>2014.0</v>
      </c>
      <c r="R390" s="114">
        <f>HYPERLINK("https://my.pitchbook.com?c=119977-57", "View company online")</f>
      </c>
    </row>
    <row r="391">
      <c r="A391" s="9" t="inlineStr">
        <is>
          <t>55362-16</t>
        </is>
      </c>
      <c r="B391" s="10" t="inlineStr">
        <is>
          <t>Welltok</t>
        </is>
      </c>
      <c r="C391" s="11" t="inlineStr">
        <is>
          <t>80202</t>
        </is>
      </c>
      <c r="D391" s="12" t="inlineStr">
        <is>
          <t>Developer of a platform designed to drive audience engagement in healthy activities. The company's CafeWell paltform targets, engages and guides population health behavior at the individual level with a focus on helping audience consumers, enabling them to meet personal goals and optimize their health.</t>
        </is>
      </c>
      <c r="E391" s="13" t="inlineStr">
        <is>
          <t>Other Healthcare Technology Systems</t>
        </is>
      </c>
      <c r="F391" s="14" t="inlineStr">
        <is>
          <t>Denver, CO</t>
        </is>
      </c>
      <c r="G391" s="15" t="inlineStr">
        <is>
          <t>Privately Held (backing)</t>
        </is>
      </c>
      <c r="H391" s="16" t="inlineStr">
        <is>
          <t>Venture Capital-Backed</t>
        </is>
      </c>
      <c r="I391" s="17" t="inlineStr">
        <is>
          <t>Bessemer Venture Partners, Catholic Health Initiatives, EDB Investments, Emergence Capital Partners, Flare Capital Partners, Flybridge Capital Partners, Foundation Medical Management, Georgian Partners, Hearst, Hearst Health Ventures, Highland Capital Partners, HLM Venture Partners, IBM Ventures, InterWest Partners, Jeffrey Margolis, Miramar Ventures, New Enterprise Associates, Okapi Venture Capital, Qualcomm Ventures, Sigma Partners, The Entrepreneurs Fund, Trustmark Companies</t>
        </is>
      </c>
      <c r="J391" s="18" t="inlineStr">
        <is>
          <t>www.welltok.com</t>
        </is>
      </c>
      <c r="K391" s="19" t="inlineStr">
        <is>
          <t>info@welltok.com</t>
        </is>
      </c>
      <c r="L391" s="20" t="inlineStr">
        <is>
          <t>+1 (888) 935-5865</t>
        </is>
      </c>
      <c r="M391" s="21" t="inlineStr">
        <is>
          <t>Michelle Snyder</t>
        </is>
      </c>
      <c r="N391" s="22" t="inlineStr">
        <is>
          <t>Chief Marketing Officer &amp; Senior Vice President</t>
        </is>
      </c>
      <c r="O391" s="23" t="inlineStr">
        <is>
          <t>michelle.snyder@welltok.com</t>
        </is>
      </c>
      <c r="P391" s="24" t="inlineStr">
        <is>
          <t>+1 (888) 935-5865</t>
        </is>
      </c>
      <c r="Q391" s="25" t="n">
        <v>2009.0</v>
      </c>
      <c r="R391" s="113">
        <f>HYPERLINK("https://my.pitchbook.com?c=55362-16", "View company online")</f>
      </c>
    </row>
    <row r="392">
      <c r="A392" s="27" t="inlineStr">
        <is>
          <t>166932-91</t>
        </is>
      </c>
      <c r="B392" s="28" t="inlineStr">
        <is>
          <t>Well Health</t>
        </is>
      </c>
      <c r="C392" s="29" t="inlineStr">
        <is>
          <t>93067</t>
        </is>
      </c>
      <c r="D392" s="30" t="inlineStr">
        <is>
          <t>Provider and developer of a messaging platform for medical practices. The company provides a platform which offers secure communication and helps admins and care coordinators reach patients between visits.</t>
        </is>
      </c>
      <c r="E392" s="31" t="inlineStr">
        <is>
          <t>Other Healthcare Technology Systems</t>
        </is>
      </c>
      <c r="F392" s="32" t="inlineStr">
        <is>
          <t>Summerland, CA</t>
        </is>
      </c>
      <c r="G392" s="33" t="inlineStr">
        <is>
          <t>Privately Held (backing)</t>
        </is>
      </c>
      <c r="H392" s="34" t="inlineStr">
        <is>
          <t>Venture Capital-Backed</t>
        </is>
      </c>
      <c r="I392" s="35" t="inlineStr">
        <is>
          <t>Cedars-Sinai, Right Side Capital Management, Structure Capital, Techstars, TenOneTen Ventures</t>
        </is>
      </c>
      <c r="J392" s="36" t="inlineStr">
        <is>
          <t>www.wellapp.com</t>
        </is>
      </c>
      <c r="K392" s="37" t="inlineStr">
        <is>
          <t/>
        </is>
      </c>
      <c r="L392" s="38" t="inlineStr">
        <is>
          <t/>
        </is>
      </c>
      <c r="M392" s="39" t="inlineStr">
        <is>
          <t>Guillaume de Zwirek</t>
        </is>
      </c>
      <c r="N392" s="40" t="inlineStr">
        <is>
          <t>Co-Founder &amp; Chief Executive Officer</t>
        </is>
      </c>
      <c r="O392" s="41" t="inlineStr">
        <is>
          <t/>
        </is>
      </c>
      <c r="P392" s="42" t="inlineStr">
        <is>
          <t/>
        </is>
      </c>
      <c r="Q392" s="43" t="n">
        <v>2015.0</v>
      </c>
      <c r="R392" s="114">
        <f>HYPERLINK("https://my.pitchbook.com?c=166932-91", "View company online")</f>
      </c>
    </row>
    <row r="393">
      <c r="A393" s="9" t="inlineStr">
        <is>
          <t>66086-74</t>
        </is>
      </c>
      <c r="B393" s="10" t="inlineStr">
        <is>
          <t>Welkin Health</t>
        </is>
      </c>
      <c r="C393" s="11" t="inlineStr">
        <is>
          <t>94110</t>
        </is>
      </c>
      <c r="D393" s="12" t="inlineStr">
        <is>
          <t>Developer of a therapeutic platform designed to leverage the power of human relationships to help people living with chronic disease become healthier and happier. The company's therapeutic platform empowers healthcare organizations to run disease management programs for patients with mental illness, chronic diseases and pain, heart failure, addiction, hypertension, cognitive decline and others through engagement, education and support programs, enabling healthcare companies to build custom, successful digital therapeutics and improve outcomes through personal connections to patients.</t>
        </is>
      </c>
      <c r="E393" s="13" t="inlineStr">
        <is>
          <t>Outcome Management (Healthcare)</t>
        </is>
      </c>
      <c r="F393" s="14" t="inlineStr">
        <is>
          <t>San Francisco, CA</t>
        </is>
      </c>
      <c r="G393" s="15" t="inlineStr">
        <is>
          <t>Privately Held (backing)</t>
        </is>
      </c>
      <c r="H393" s="16" t="inlineStr">
        <is>
          <t>Venture Capital-Backed</t>
        </is>
      </c>
      <c r="I393" s="17" t="inlineStr">
        <is>
          <t>Asset Management Ventures, Charles MacInnis, Great Oaks VC, Great Oaks Venture Capital, iKang Healthcare, iSeed Ventures, James Kolotouros, Mayo Clinic Ventures, Nikhyl Singhal, Rock Health, Skip Fleshman, Thrive Capital</t>
        </is>
      </c>
      <c r="J393" s="18" t="inlineStr">
        <is>
          <t>www.welkinhealth.com</t>
        </is>
      </c>
      <c r="K393" s="19" t="inlineStr">
        <is>
          <t>contact@welkinhealth.com</t>
        </is>
      </c>
      <c r="L393" s="20" t="inlineStr">
        <is>
          <t/>
        </is>
      </c>
      <c r="M393" s="21" t="inlineStr">
        <is>
          <t>Chase Hensel</t>
        </is>
      </c>
      <c r="N393" s="22" t="inlineStr">
        <is>
          <t>Co-Founder &amp; Chief Executive Officer</t>
        </is>
      </c>
      <c r="O393" s="23" t="inlineStr">
        <is>
          <t>chase@welkinhealth.com</t>
        </is>
      </c>
      <c r="P393" s="24" t="inlineStr">
        <is>
          <t/>
        </is>
      </c>
      <c r="Q393" s="25" t="n">
        <v>2013.0</v>
      </c>
      <c r="R393" s="113">
        <f>HYPERLINK("https://my.pitchbook.com?c=66086-74", "View company online")</f>
      </c>
    </row>
    <row r="394">
      <c r="A394" s="27" t="inlineStr">
        <is>
          <t>53945-47</t>
        </is>
      </c>
      <c r="B394" s="28" t="inlineStr">
        <is>
          <t>Welcome</t>
        </is>
      </c>
      <c r="C394" s="29" t="inlineStr">
        <is>
          <t>10003</t>
        </is>
      </c>
      <c r="D394" s="30" t="inlineStr">
        <is>
          <t>Developer of an unified conversation platform designed to connect brands and retailers in a single conversation with consumers across every touchpoint. The company's unified conversation platform allows consumers to discover available experts and receive personalized assistance while buying, enabling brands and retailers to improve acquisition and engagement of customers.</t>
        </is>
      </c>
      <c r="E394" s="31" t="inlineStr">
        <is>
          <t>Communication Software</t>
        </is>
      </c>
      <c r="F394" s="32" t="inlineStr">
        <is>
          <t>New York, NY</t>
        </is>
      </c>
      <c r="G394" s="33" t="inlineStr">
        <is>
          <t>Privately Held (backing)</t>
        </is>
      </c>
      <c r="H394" s="34" t="inlineStr">
        <is>
          <t>Venture Capital-Backed</t>
        </is>
      </c>
      <c r="I394" s="35" t="inlineStr">
        <is>
          <t>Akshay Navle, BoxGroup, Commerce Ventures, Costanoa Venture Capital, David Cohen, David Liu, David Tisch, FirstMark Capital, Joey Levin, Kal Vepuri, Lazerow Ventures, Lerer Hippeau Ventures, Mack Capital, Michael Lazerow, Nathaniel Turner, Patrick Keane, Ralph Mack, Robert Wiesenthal, SV Angel, Techstars, Vayner/RSE, Zachary Weinberg</t>
        </is>
      </c>
      <c r="J394" s="36" t="inlineStr">
        <is>
          <t>www.welcomecommerce.com</t>
        </is>
      </c>
      <c r="K394" s="37" t="inlineStr">
        <is>
          <t/>
        </is>
      </c>
      <c r="L394" s="38" t="inlineStr">
        <is>
          <t>+1 (646) 494-5678</t>
        </is>
      </c>
      <c r="M394" s="39" t="inlineStr">
        <is>
          <t>Daniel Herman</t>
        </is>
      </c>
      <c r="N394" s="40" t="inlineStr">
        <is>
          <t>Co-Founder</t>
        </is>
      </c>
      <c r="O394" s="41" t="inlineStr">
        <is>
          <t>dan.herman@welcomecommerce.com</t>
        </is>
      </c>
      <c r="P394" s="42" t="inlineStr">
        <is>
          <t>+1 (646) 494-5678</t>
        </is>
      </c>
      <c r="Q394" s="43" t="n">
        <v>2011.0</v>
      </c>
      <c r="R394" s="114">
        <f>HYPERLINK("https://my.pitchbook.com?c=53945-47", "View company online")</f>
      </c>
    </row>
    <row r="395">
      <c r="A395" s="9" t="inlineStr">
        <is>
          <t>170361-55</t>
        </is>
      </c>
      <c r="B395" s="10" t="inlineStr">
        <is>
          <t>WelbeHealth</t>
        </is>
      </c>
      <c r="C395" s="11" t="inlineStr">
        <is>
          <t/>
        </is>
      </c>
      <c r="D395" s="12" t="inlineStr">
        <is>
          <t>Provider of healthcare services created to serve seniors with greater quality, compassion and value. The company's healthcare management technology improves clinical communication, help caregivers make treatment decisions and monitor patients at home or in a hospital and supports highly coordinated interdisciplinary care teams and cultivate a service-oriented mentality in attending to each individual, enabling patients to attain comprehensive health and social needs.</t>
        </is>
      </c>
      <c r="E395" s="13" t="inlineStr">
        <is>
          <t>Elder and Disabled Care</t>
        </is>
      </c>
      <c r="F395" s="14" t="inlineStr">
        <is>
          <t>Menlo Park, CA</t>
        </is>
      </c>
      <c r="G395" s="15" t="inlineStr">
        <is>
          <t>Privately Held (backing)</t>
        </is>
      </c>
      <c r="H395" s="16" t="inlineStr">
        <is>
          <t>Venture Capital-Backed</t>
        </is>
      </c>
      <c r="I395" s="17" t="inlineStr">
        <is>
          <t>.406 Ventures, F-Prime Capital Partners</t>
        </is>
      </c>
      <c r="J395" s="18" t="inlineStr">
        <is>
          <t>www.welbehealth.com</t>
        </is>
      </c>
      <c r="K395" s="19" t="inlineStr">
        <is>
          <t/>
        </is>
      </c>
      <c r="L395" s="20" t="inlineStr">
        <is>
          <t/>
        </is>
      </c>
      <c r="M395" s="21" t="inlineStr">
        <is>
          <t>Si France</t>
        </is>
      </c>
      <c r="N395" s="22" t="inlineStr">
        <is>
          <t>Chief Executive Officer &amp; Co-Founder</t>
        </is>
      </c>
      <c r="O395" s="23" t="inlineStr">
        <is>
          <t>si.france@welbehealth.com</t>
        </is>
      </c>
      <c r="P395" s="24" t="inlineStr">
        <is>
          <t/>
        </is>
      </c>
      <c r="Q395" s="25" t="n">
        <v>2015.0</v>
      </c>
      <c r="R395" s="113">
        <f>HYPERLINK("https://my.pitchbook.com?c=170361-55", "View company online")</f>
      </c>
    </row>
    <row r="396">
      <c r="A396" s="27" t="inlineStr">
        <is>
          <t>160815-16</t>
        </is>
      </c>
      <c r="B396" s="28" t="inlineStr">
        <is>
          <t>Weka.IO</t>
        </is>
      </c>
      <c r="C396" s="29" t="inlineStr">
        <is>
          <t>95110</t>
        </is>
      </c>
      <c r="D396" s="30" t="inlineStr">
        <is>
          <t>Developer of a software defined storage (SDS) technology designed to offer the first software-defined file system that delivers flash performance at cloud scale and economics. The company's software defined storage (SDS) technology transforms enterprise and cloud storage by radically simplifying the way storage is deployed in the datacenter, enabling enterprises to build highly differentiated storage systems and convert data to money faster and easier.</t>
        </is>
      </c>
      <c r="E396" s="31" t="inlineStr">
        <is>
          <t>Systems and Information Management</t>
        </is>
      </c>
      <c r="F396" s="32" t="inlineStr">
        <is>
          <t>San Jose, CA</t>
        </is>
      </c>
      <c r="G396" s="33" t="inlineStr">
        <is>
          <t>Privately Held (backing)</t>
        </is>
      </c>
      <c r="H396" s="34" t="inlineStr">
        <is>
          <t>Venture Capital-Backed</t>
        </is>
      </c>
      <c r="I396" s="35" t="inlineStr">
        <is>
          <t>Gemini Israel Ventures, Norwest Venture Partners, Qualcomm Ventures, Walden International, WRV</t>
        </is>
      </c>
      <c r="J396" s="36" t="inlineStr">
        <is>
          <t>www.weka.io</t>
        </is>
      </c>
      <c r="K396" s="37" t="inlineStr">
        <is>
          <t>info@weka.io</t>
        </is>
      </c>
      <c r="L396" s="38" t="inlineStr">
        <is>
          <t>+1 (408) 335-0085</t>
        </is>
      </c>
      <c r="M396" s="39" t="inlineStr">
        <is>
          <t>Liran Zvibel</t>
        </is>
      </c>
      <c r="N396" s="40" t="inlineStr">
        <is>
          <t>Co-Founder &amp; Chief Technology Officer</t>
        </is>
      </c>
      <c r="O396" s="41" t="inlineStr">
        <is>
          <t>liran@weka.io</t>
        </is>
      </c>
      <c r="P396" s="42" t="inlineStr">
        <is>
          <t>+1 (408) 335-0085</t>
        </is>
      </c>
      <c r="Q396" s="43" t="n">
        <v>2013.0</v>
      </c>
      <c r="R396" s="114">
        <f>HYPERLINK("https://my.pitchbook.com?c=160815-16", "View company online")</f>
      </c>
    </row>
    <row r="397">
      <c r="A397" s="9" t="inlineStr">
        <is>
          <t>55684-81</t>
        </is>
      </c>
      <c r="B397" s="10" t="inlineStr">
        <is>
          <t>Wefunder</t>
        </is>
      </c>
      <c r="C397" s="11" t="inlineStr">
        <is>
          <t>02142</t>
        </is>
      </c>
      <c r="D397" s="12" t="inlineStr">
        <is>
          <t>Operator of an online investment crowdfunding platform designed to connects start-ups with investors. The company's online investment crowdfunding platform supports the start up companies and help seed investors purchase stock, enabling unaccredited investors to put money into start-ups and ideas they find of interest.</t>
        </is>
      </c>
      <c r="E397" s="13" t="inlineStr">
        <is>
          <t>Social/Platform Software</t>
        </is>
      </c>
      <c r="F397" s="14" t="inlineStr">
        <is>
          <t>Cambridge, MA</t>
        </is>
      </c>
      <c r="G397" s="15" t="inlineStr">
        <is>
          <t>Privately Held (backing)</t>
        </is>
      </c>
      <c r="H397" s="16" t="inlineStr">
        <is>
          <t>Venture Capital-Backed</t>
        </is>
      </c>
      <c r="I397" s="17" t="inlineStr">
        <is>
          <t>Alexander Angerer, Amish Shah, Andreessen Horowitz, Andrew Ellis, Ben Cohen, Bill Warner, Bridge Boys, Carl Collins, Chris Mather, Conor White-Sullivan, Dan Grover, Dharmesh Shah, Don Leeds, Eric Kagan, Florian Huber, Gary Baltor, General Catalyst Partners, Green Visor Capital, James Pallotta, Jan Cieslikiewicz, Jared Chung, Jennifer Ku, Jim Alvarez, Maverick Capital, MD Pham, Mike Volpe, Nihal Mehta, Paul English, Raptor Group, Reinmkr, Reynolds and Company Venture Partners, Runway Incubator, Saad AlSogair, Scott Segel, Shen Tong, SierraMaya360, Terrence Yang, Timothy Rowe, Tong Shen, Tsingyuan Ventures, Tucker Max, Turning Point Brands, Wei Guo, William Wissing, Y Combinator, Yang Ventures, Yuri Milner</t>
        </is>
      </c>
      <c r="J397" s="18" t="inlineStr">
        <is>
          <t>www.wefunder.com</t>
        </is>
      </c>
      <c r="K397" s="19" t="inlineStr">
        <is>
          <t>hello@wefunder.com</t>
        </is>
      </c>
      <c r="L397" s="20" t="inlineStr">
        <is>
          <t>+1 (888) 546-0325</t>
        </is>
      </c>
      <c r="M397" s="21" t="inlineStr">
        <is>
          <t>Nicholas Tommarello</t>
        </is>
      </c>
      <c r="N397" s="22" t="inlineStr">
        <is>
          <t>Co-Founder and Chief Executive Officer</t>
        </is>
      </c>
      <c r="O397" s="23" t="inlineStr">
        <is>
          <t>nick@wefunder.com</t>
        </is>
      </c>
      <c r="P397" s="24" t="inlineStr">
        <is>
          <t>+1 (888) 546-0325</t>
        </is>
      </c>
      <c r="Q397" s="25" t="n">
        <v>2012.0</v>
      </c>
      <c r="R397" s="113">
        <f>HYPERLINK("https://my.pitchbook.com?c=55684-81", "View company online")</f>
      </c>
    </row>
    <row r="398">
      <c r="A398" s="27" t="inlineStr">
        <is>
          <t>104793-31</t>
        </is>
      </c>
      <c r="B398" s="28" t="inlineStr">
        <is>
          <t>WeFinance</t>
        </is>
      </c>
      <c r="C398" s="29" t="inlineStr">
        <is>
          <t>94158</t>
        </is>
      </c>
      <c r="D398" s="30" t="inlineStr">
        <is>
          <t>Developer of a loan-based crowdfunding platform. The company's software allows borrowers to crowdfund loans from their networks and also matches them with lender partners to meet their borrowing needs.</t>
        </is>
      </c>
      <c r="E398" s="31" t="inlineStr">
        <is>
          <t>Other Financial Services</t>
        </is>
      </c>
      <c r="F398" s="32" t="inlineStr">
        <is>
          <t>San Francisco, CA</t>
        </is>
      </c>
      <c r="G398" s="33" t="inlineStr">
        <is>
          <t>Privately Held (backing)</t>
        </is>
      </c>
      <c r="H398" s="34" t="inlineStr">
        <is>
          <t>Venture Capital-Backed</t>
        </is>
      </c>
      <c r="I398" s="35" t="inlineStr">
        <is>
          <t>500 Startups, Graph Ventures, StartX</t>
        </is>
      </c>
      <c r="J398" s="36" t="inlineStr">
        <is>
          <t>www.wefinance.co</t>
        </is>
      </c>
      <c r="K398" s="37" t="inlineStr">
        <is>
          <t>support@wefinance.co</t>
        </is>
      </c>
      <c r="L398" s="38" t="inlineStr">
        <is>
          <t/>
        </is>
      </c>
      <c r="M398" s="39" t="inlineStr">
        <is>
          <t>Eric Mayefsky</t>
        </is>
      </c>
      <c r="N398" s="40" t="inlineStr">
        <is>
          <t>Chief Executive Officer &amp; Co-Founder</t>
        </is>
      </c>
      <c r="O398" s="41" t="inlineStr">
        <is>
          <t>eric@wefinance.co</t>
        </is>
      </c>
      <c r="P398" s="42" t="inlineStr">
        <is>
          <t/>
        </is>
      </c>
      <c r="Q398" s="43" t="n">
        <v>2014.0</v>
      </c>
      <c r="R398" s="114">
        <f>HYPERLINK("https://my.pitchbook.com?c=104793-31", "View company online")</f>
      </c>
    </row>
    <row r="399">
      <c r="A399" s="9" t="inlineStr">
        <is>
          <t>52295-05</t>
        </is>
      </c>
      <c r="B399" s="10" t="inlineStr">
        <is>
          <t>wefi</t>
        </is>
      </c>
      <c r="C399" s="11" t="inlineStr">
        <is>
          <t>20171</t>
        </is>
      </c>
      <c r="D399" s="12" t="inlineStr">
        <is>
          <t>Developer of wireless access services and communities. The company provides an open broadband wireless network tool that automatically detects and qualifies Wi-Fi access points within range and connects to the spot with the internet connection.</t>
        </is>
      </c>
      <c r="E399" s="13" t="inlineStr">
        <is>
          <t>Wireless Service Providers</t>
        </is>
      </c>
      <c r="F399" s="14" t="inlineStr">
        <is>
          <t>Herndon, VA</t>
        </is>
      </c>
      <c r="G399" s="15" t="inlineStr">
        <is>
          <t>Privately Held (backing)</t>
        </is>
      </c>
      <c r="H399" s="16" t="inlineStr">
        <is>
          <t>Venture Capital-Backed</t>
        </is>
      </c>
      <c r="I399" s="17" t="inlineStr">
        <is>
          <t>Gemini Israel Ventures, Individual Investor, Lightspeed Venture Partners Israel, Pitango Venture Capital, Time Warner Cable</t>
        </is>
      </c>
      <c r="J399" s="18" t="inlineStr">
        <is>
          <t>www.wefi.com</t>
        </is>
      </c>
      <c r="K399" s="19" t="inlineStr">
        <is>
          <t>info@wefi.com</t>
        </is>
      </c>
      <c r="L399" s="20" t="inlineStr">
        <is>
          <t>+1 (866) 933-4494</t>
        </is>
      </c>
      <c r="M399" s="21" t="inlineStr">
        <is>
          <t>Zur Feldman</t>
        </is>
      </c>
      <c r="N399" s="22" t="inlineStr">
        <is>
          <t>Chief Executive Officer &amp; Chairman</t>
        </is>
      </c>
      <c r="O399" s="23" t="inlineStr">
        <is>
          <t>zur@wefi.com</t>
        </is>
      </c>
      <c r="P399" s="24" t="inlineStr">
        <is>
          <t>+1 (866) 933-4494</t>
        </is>
      </c>
      <c r="Q399" s="25" t="n">
        <v>2006.0</v>
      </c>
      <c r="R399" s="113">
        <f>HYPERLINK("https://my.pitchbook.com?c=52295-05", "View company online")</f>
      </c>
    </row>
    <row r="400">
      <c r="A400" s="27" t="inlineStr">
        <is>
          <t>158911-57</t>
        </is>
      </c>
      <c r="B400" s="28" t="inlineStr">
        <is>
          <t>Weee</t>
        </is>
      </c>
      <c r="C400" s="29" t="inlineStr">
        <is>
          <t>94089</t>
        </is>
      </c>
      <c r="D400" s="30" t="inlineStr">
        <is>
          <t>Provider of a consumer to consumer selling platform. The company offers an online platform helping consumers to list, buy, sell or trade their surplus items.</t>
        </is>
      </c>
      <c r="E400" s="31" t="inlineStr">
        <is>
          <t>Social/Platform Software</t>
        </is>
      </c>
      <c r="F400" s="32" t="inlineStr">
        <is>
          <t>Sunnyvale, CA</t>
        </is>
      </c>
      <c r="G400" s="33" t="inlineStr">
        <is>
          <t>Privately Held (backing)</t>
        </is>
      </c>
      <c r="H400" s="34" t="inlineStr">
        <is>
          <t>Venture Capital-Backed</t>
        </is>
      </c>
      <c r="I400" s="35" t="inlineStr">
        <is>
          <t>Goodwater Capital</t>
        </is>
      </c>
      <c r="J400" s="36" t="inlineStr">
        <is>
          <t>www.sayweee.com</t>
        </is>
      </c>
      <c r="K400" s="37" t="inlineStr">
        <is>
          <t/>
        </is>
      </c>
      <c r="L400" s="38" t="inlineStr">
        <is>
          <t>+1 (408) 502-3495</t>
        </is>
      </c>
      <c r="M400" s="39" t="inlineStr">
        <is>
          <t>Larry Liu</t>
        </is>
      </c>
      <c r="N400" s="40" t="inlineStr">
        <is>
          <t>Founder, Board Member &amp; Chief Executive Officer</t>
        </is>
      </c>
      <c r="O400" s="41" t="inlineStr">
        <is>
          <t>larry@sayweee.com</t>
        </is>
      </c>
      <c r="P400" s="42" t="inlineStr">
        <is>
          <t>+1 (408) 502-3495</t>
        </is>
      </c>
      <c r="Q400" s="43" t="n">
        <v>2015.0</v>
      </c>
      <c r="R400" s="114">
        <f>HYPERLINK("https://my.pitchbook.com?c=158911-57", "View company online")</f>
      </c>
    </row>
    <row r="401">
      <c r="A401" s="9" t="inlineStr">
        <is>
          <t>53625-70</t>
        </is>
      </c>
      <c r="B401" s="10" t="inlineStr">
        <is>
          <t>Weebly</t>
        </is>
      </c>
      <c r="C401" s="11" t="inlineStr">
        <is>
          <t>94107</t>
        </is>
      </c>
      <c r="D401" s="12" t="inlineStr">
        <is>
          <t>Provider of a website creation platform. The company provides a platform to create blog, website or online stores by adding media and documents like pictures as well as videos.</t>
        </is>
      </c>
      <c r="E401" s="13" t="inlineStr">
        <is>
          <t>Multimedia and Design Software</t>
        </is>
      </c>
      <c r="F401" s="14" t="inlineStr">
        <is>
          <t>San Francisco, CA</t>
        </is>
      </c>
      <c r="G401" s="15" t="inlineStr">
        <is>
          <t>Privately Held (backing)</t>
        </is>
      </c>
      <c r="H401" s="16" t="inlineStr">
        <is>
          <t>Venture Capital-Backed</t>
        </is>
      </c>
      <c r="I401" s="17" t="inlineStr">
        <is>
          <t>Baseline Ventures, Felicis Ventures, Floodgate Fund, Inara Ventures, Paul Buchheit, RocketSpace, Ronald Conway, Sequoia Capital, Steve Anderson, SV Angel, Tencent Industry Win-Win Fund, Y Combinator</t>
        </is>
      </c>
      <c r="J401" s="18" t="inlineStr">
        <is>
          <t>www.weebly.com</t>
        </is>
      </c>
      <c r="K401" s="19" t="inlineStr">
        <is>
          <t>info@weebly.com</t>
        </is>
      </c>
      <c r="L401" s="20" t="inlineStr">
        <is>
          <t>+1 (415) 375-3268</t>
        </is>
      </c>
      <c r="M401" s="21" t="inlineStr">
        <is>
          <t>John Rusenko</t>
        </is>
      </c>
      <c r="N401" s="22" t="inlineStr">
        <is>
          <t>Co-Founder, President, Chief Executive Officer &amp; Board Member</t>
        </is>
      </c>
      <c r="O401" s="23" t="inlineStr">
        <is>
          <t>david@weebly.com</t>
        </is>
      </c>
      <c r="P401" s="24" t="inlineStr">
        <is>
          <t>+1 (415) 375-3268</t>
        </is>
      </c>
      <c r="Q401" s="25" t="n">
        <v>2007.0</v>
      </c>
      <c r="R401" s="113">
        <f>HYPERLINK("https://my.pitchbook.com?c=53625-70", "View company online")</f>
      </c>
    </row>
    <row r="402">
      <c r="A402" s="27" t="inlineStr">
        <is>
          <t>55328-41</t>
        </is>
      </c>
      <c r="B402" s="28" t="inlineStr">
        <is>
          <t>Wedge Buster</t>
        </is>
      </c>
      <c r="C402" s="29" t="inlineStr">
        <is>
          <t>90068</t>
        </is>
      </c>
      <c r="D402" s="30" t="inlineStr">
        <is>
          <t>Developer of a social gaming platform. The company develops online gaming applications for mobile and social networks.</t>
        </is>
      </c>
      <c r="E402" s="31" t="inlineStr">
        <is>
          <t>Social/Platform Software</t>
        </is>
      </c>
      <c r="F402" s="32" t="inlineStr">
        <is>
          <t>Los Angeles, CA</t>
        </is>
      </c>
      <c r="G402" s="33" t="inlineStr">
        <is>
          <t>Privately Held (backing)</t>
        </is>
      </c>
      <c r="H402" s="34" t="inlineStr">
        <is>
          <t>Venture Capital-Backed</t>
        </is>
      </c>
      <c r="I402" s="35" t="inlineStr">
        <is>
          <t>37 Ventures, Anton Kaszubowski, Archer Venture Capital, Cranberry Capital, Drew Brees, Individual Investor, Park Lane, Pasadena Angels, Rob Dyrdek, Robert Jadon</t>
        </is>
      </c>
      <c r="J402" s="36" t="inlineStr">
        <is>
          <t>www.wedgebuster.com</t>
        </is>
      </c>
      <c r="K402" s="37" t="inlineStr">
        <is>
          <t>info@wedgebuster.com</t>
        </is>
      </c>
      <c r="L402" s="38" t="inlineStr">
        <is>
          <t/>
        </is>
      </c>
      <c r="M402" s="39" t="inlineStr">
        <is>
          <t>Scott Philp</t>
        </is>
      </c>
      <c r="N402" s="40" t="inlineStr">
        <is>
          <t>Chief Executive Officer &amp; Co-Founder</t>
        </is>
      </c>
      <c r="O402" s="41" t="inlineStr">
        <is>
          <t>scott@wedgebuster.com</t>
        </is>
      </c>
      <c r="P402" s="42" t="inlineStr">
        <is>
          <t/>
        </is>
      </c>
      <c r="Q402" s="43" t="n">
        <v>2011.0</v>
      </c>
      <c r="R402" s="114">
        <f>HYPERLINK("https://my.pitchbook.com?c=55328-41", "View company online")</f>
      </c>
    </row>
    <row r="403">
      <c r="A403" s="9" t="inlineStr">
        <is>
          <t>108902-98</t>
        </is>
      </c>
      <c r="B403" s="10" t="inlineStr">
        <is>
          <t>Webyog</t>
        </is>
      </c>
      <c r="C403" s="85">
        <f>HYPERLINK("https://my.pitchbook.com?rrp=108902-98&amp;type=c", "This Company's information is not available to download. Need this Company? Request availability")</f>
      </c>
      <c r="D403" s="12" t="inlineStr">
        <is>
          <t/>
        </is>
      </c>
      <c r="E403" s="13" t="inlineStr">
        <is>
          <t/>
        </is>
      </c>
      <c r="F403" s="14" t="inlineStr">
        <is>
          <t/>
        </is>
      </c>
      <c r="G403" s="15" t="inlineStr">
        <is>
          <t/>
        </is>
      </c>
      <c r="H403" s="16" t="inlineStr">
        <is>
          <t/>
        </is>
      </c>
      <c r="I403" s="17" t="inlineStr">
        <is>
          <t/>
        </is>
      </c>
      <c r="J403" s="18" t="inlineStr">
        <is>
          <t/>
        </is>
      </c>
      <c r="K403" s="19" t="inlineStr">
        <is>
          <t/>
        </is>
      </c>
      <c r="L403" s="20" t="inlineStr">
        <is>
          <t/>
        </is>
      </c>
      <c r="M403" s="21" t="inlineStr">
        <is>
          <t/>
        </is>
      </c>
      <c r="N403" s="22" t="inlineStr">
        <is>
          <t/>
        </is>
      </c>
      <c r="O403" s="23" t="inlineStr">
        <is>
          <t/>
        </is>
      </c>
      <c r="P403" s="24" t="inlineStr">
        <is>
          <t/>
        </is>
      </c>
      <c r="Q403" s="25" t="inlineStr">
        <is>
          <t/>
        </is>
      </c>
      <c r="R403" s="26" t="inlineStr">
        <is>
          <t/>
        </is>
      </c>
    </row>
    <row r="404">
      <c r="A404" s="27" t="inlineStr">
        <is>
          <t>97769-26</t>
        </is>
      </c>
      <c r="B404" s="28" t="inlineStr">
        <is>
          <t>WebVision</t>
        </is>
      </c>
      <c r="C404" s="29" t="inlineStr">
        <is>
          <t>90503</t>
        </is>
      </c>
      <c r="D404" s="30" t="inlineStr">
        <is>
          <t>Provider of integrated internet services intended to offer web hosting services. The company's integrated internet services develops innovative Web 2.0 technologies, enabling businesses to access, organize and share multimedia information according to personal and group interests.</t>
        </is>
      </c>
      <c r="E404" s="31" t="inlineStr">
        <is>
          <t>Internet Service Providers</t>
        </is>
      </c>
      <c r="F404" s="32" t="inlineStr">
        <is>
          <t>Torrance, CA</t>
        </is>
      </c>
      <c r="G404" s="33" t="inlineStr">
        <is>
          <t>Privately Held (backing)</t>
        </is>
      </c>
      <c r="H404" s="34" t="inlineStr">
        <is>
          <t>Venture Capital-Backed</t>
        </is>
      </c>
      <c r="I404" s="35" t="inlineStr">
        <is>
          <t>Denota Ventures, Jefferies Group, KPS Capital Partners, SCP Partners, The Goldman Sachs Group, TL Ventures</t>
        </is>
      </c>
      <c r="J404" s="36" t="inlineStr">
        <is>
          <t>www.webvision.us</t>
        </is>
      </c>
      <c r="K404" s="37" t="inlineStr">
        <is>
          <t/>
        </is>
      </c>
      <c r="L404" s="38" t="inlineStr">
        <is>
          <t/>
        </is>
      </c>
      <c r="M404" s="39" t="inlineStr">
        <is>
          <t/>
        </is>
      </c>
      <c r="N404" s="40" t="inlineStr">
        <is>
          <t/>
        </is>
      </c>
      <c r="O404" s="41" t="inlineStr">
        <is>
          <t/>
        </is>
      </c>
      <c r="P404" s="42" t="inlineStr">
        <is>
          <t/>
        </is>
      </c>
      <c r="Q404" s="43" t="n">
        <v>1993.0</v>
      </c>
      <c r="R404" s="114">
        <f>HYPERLINK("https://my.pitchbook.com?c=97769-26", "View company online")</f>
      </c>
    </row>
    <row r="405">
      <c r="A405" s="9" t="inlineStr">
        <is>
          <t>173846-62</t>
        </is>
      </c>
      <c r="B405" s="10" t="inlineStr">
        <is>
          <t>WebTelecom</t>
        </is>
      </c>
      <c r="C405" s="85">
        <f>HYPERLINK("https://my.pitchbook.com?rrp=173846-62&amp;type=c", "This Company's information is not available to download. Need this Company? Request availability")</f>
      </c>
      <c r="D405" s="12" t="inlineStr">
        <is>
          <t/>
        </is>
      </c>
      <c r="E405" s="13" t="inlineStr">
        <is>
          <t/>
        </is>
      </c>
      <c r="F405" s="14" t="inlineStr">
        <is>
          <t/>
        </is>
      </c>
      <c r="G405" s="15" t="inlineStr">
        <is>
          <t/>
        </is>
      </c>
      <c r="H405" s="16" t="inlineStr">
        <is>
          <t/>
        </is>
      </c>
      <c r="I405" s="17" t="inlineStr">
        <is>
          <t/>
        </is>
      </c>
      <c r="J405" s="18" t="inlineStr">
        <is>
          <t/>
        </is>
      </c>
      <c r="K405" s="19" t="inlineStr">
        <is>
          <t/>
        </is>
      </c>
      <c r="L405" s="20" t="inlineStr">
        <is>
          <t/>
        </is>
      </c>
      <c r="M405" s="21" t="inlineStr">
        <is>
          <t/>
        </is>
      </c>
      <c r="N405" s="22" t="inlineStr">
        <is>
          <t/>
        </is>
      </c>
      <c r="O405" s="23" t="inlineStr">
        <is>
          <t/>
        </is>
      </c>
      <c r="P405" s="24" t="inlineStr">
        <is>
          <t/>
        </is>
      </c>
      <c r="Q405" s="25" t="inlineStr">
        <is>
          <t/>
        </is>
      </c>
      <c r="R405" s="26" t="inlineStr">
        <is>
          <t/>
        </is>
      </c>
    </row>
    <row r="406">
      <c r="A406" s="27" t="inlineStr">
        <is>
          <t>56610-37</t>
        </is>
      </c>
      <c r="B406" s="28" t="inlineStr">
        <is>
          <t>Webtab</t>
        </is>
      </c>
      <c r="C406" s="29" t="inlineStr">
        <is>
          <t>98104</t>
        </is>
      </c>
      <c r="D406" s="30" t="inlineStr">
        <is>
          <t>Operator of a social commerce platform. The company connects companies to their audiences and enables the sharing of products, services, promotions, loyalty rewards and incentives through any web enabled mobile device.</t>
        </is>
      </c>
      <c r="E406" s="31" t="inlineStr">
        <is>
          <t>Social/Platform Software</t>
        </is>
      </c>
      <c r="F406" s="32" t="inlineStr">
        <is>
          <t>Seattle, WA</t>
        </is>
      </c>
      <c r="G406" s="33" t="inlineStr">
        <is>
          <t>Privately Held (backing)</t>
        </is>
      </c>
      <c r="H406" s="34" t="inlineStr">
        <is>
          <t>Venture Capital-Backed</t>
        </is>
      </c>
      <c r="I406" s="35" t="inlineStr">
        <is>
          <t/>
        </is>
      </c>
      <c r="J406" s="36" t="inlineStr">
        <is>
          <t>www.gestotech.com</t>
        </is>
      </c>
      <c r="K406" s="37" t="inlineStr">
        <is>
          <t/>
        </is>
      </c>
      <c r="L406" s="38" t="inlineStr">
        <is>
          <t/>
        </is>
      </c>
      <c r="M406" s="39" t="inlineStr">
        <is>
          <t>Steve Johnson</t>
        </is>
      </c>
      <c r="N406" s="40" t="inlineStr">
        <is>
          <t>Chief Executive Officer &amp; Founder</t>
        </is>
      </c>
      <c r="O406" s="41" t="inlineStr">
        <is>
          <t>steve@webtab.com</t>
        </is>
      </c>
      <c r="P406" s="42" t="inlineStr">
        <is>
          <t/>
        </is>
      </c>
      <c r="Q406" s="43" t="n">
        <v>2009.0</v>
      </c>
      <c r="R406" s="114">
        <f>HYPERLINK("https://my.pitchbook.com?c=56610-37", "View company online")</f>
      </c>
    </row>
    <row r="407">
      <c r="A407" s="9" t="inlineStr">
        <is>
          <t>55397-53</t>
        </is>
      </c>
      <c r="B407" s="10" t="inlineStr">
        <is>
          <t>Webscale Networks</t>
        </is>
      </c>
      <c r="C407" s="11" t="inlineStr">
        <is>
          <t>94043</t>
        </is>
      </c>
      <c r="D407" s="12" t="inlineStr">
        <is>
          <t>Provider of an integrated web application delivery platform. The company's platform is fully cloud-agnostic and integrated with all the leading cloud providers and CDNs. It uses predictive analytics to monitor the big data, namely the traffic patterns of users.</t>
        </is>
      </c>
      <c r="E407" s="13" t="inlineStr">
        <is>
          <t>Software Development Applications</t>
        </is>
      </c>
      <c r="F407" s="14" t="inlineStr">
        <is>
          <t>Mountain View, CA</t>
        </is>
      </c>
      <c r="G407" s="15" t="inlineStr">
        <is>
          <t>Privately Held (backing)</t>
        </is>
      </c>
      <c r="H407" s="16" t="inlineStr">
        <is>
          <t>Venture Capital-Backed</t>
        </is>
      </c>
      <c r="I407" s="17" t="inlineStr">
        <is>
          <t>Benhamou Global Ventures, Grotech Ventures, Mohr Davidow Ventures, Silicon Valley Bank</t>
        </is>
      </c>
      <c r="J407" s="18" t="inlineStr">
        <is>
          <t>www.webscalenetworks.com</t>
        </is>
      </c>
      <c r="K407" s="19" t="inlineStr">
        <is>
          <t>info@webscalenetworks.com</t>
        </is>
      </c>
      <c r="L407" s="20" t="inlineStr">
        <is>
          <t>+1 (650) 525-4433</t>
        </is>
      </c>
      <c r="M407" s="21" t="inlineStr">
        <is>
          <t>Sonal Puri</t>
        </is>
      </c>
      <c r="N407" s="22" t="inlineStr">
        <is>
          <t>Chief Executive Officer</t>
        </is>
      </c>
      <c r="O407" s="23" t="inlineStr">
        <is>
          <t>sonal@webscalenetworks.com</t>
        </is>
      </c>
      <c r="P407" s="24" t="inlineStr">
        <is>
          <t>+1 (650) 525-4433</t>
        </is>
      </c>
      <c r="Q407" s="25" t="inlineStr">
        <is>
          <t/>
        </is>
      </c>
      <c r="R407" s="113">
        <f>HYPERLINK("https://my.pitchbook.com?c=55397-53", "View company online")</f>
      </c>
    </row>
    <row r="408">
      <c r="A408" s="27" t="inlineStr">
        <is>
          <t>43642-18</t>
        </is>
      </c>
      <c r="B408" s="28" t="inlineStr">
        <is>
          <t>Webroot</t>
        </is>
      </c>
      <c r="C408" s="29" t="inlineStr">
        <is>
          <t>80021</t>
        </is>
      </c>
      <c r="D408" s="30" t="inlineStr">
        <is>
          <t>Provider of a next-generation endpoint security and threat intelligence platform designed to reduce malware. The company's endpoint security and threat intelligence platform harnesses the power of cloud-based collective threat intelligence derived from real-world devices to stop threats in real time and help secure the connected world, enabling consumers and businesses to access anomaly detection services.</t>
        </is>
      </c>
      <c r="E408" s="31" t="inlineStr">
        <is>
          <t>Network Management Software</t>
        </is>
      </c>
      <c r="F408" s="32" t="inlineStr">
        <is>
          <t>Broomfield, CO</t>
        </is>
      </c>
      <c r="G408" s="33" t="inlineStr">
        <is>
          <t>Privately Held (backing)</t>
        </is>
      </c>
      <c r="H408" s="34" t="inlineStr">
        <is>
          <t>Venture Capital-Backed</t>
        </is>
      </c>
      <c r="I408" s="35" t="inlineStr">
        <is>
          <t>Accel, Mayfield Fund, Saints Capital, Technology Crossover Ventures</t>
        </is>
      </c>
      <c r="J408" s="36" t="inlineStr">
        <is>
          <t>www.webroot.com</t>
        </is>
      </c>
      <c r="K408" s="37" t="inlineStr">
        <is>
          <t>enterprise@webroot.com</t>
        </is>
      </c>
      <c r="L408" s="38" t="inlineStr">
        <is>
          <t>+1 (303) 442-3813</t>
        </is>
      </c>
      <c r="M408" s="39" t="inlineStr">
        <is>
          <t>Dick Williams</t>
        </is>
      </c>
      <c r="N408" s="40" t="inlineStr">
        <is>
          <t>Chief Executive Officer, President &amp; Board Member</t>
        </is>
      </c>
      <c r="O408" s="41" t="inlineStr">
        <is>
          <t/>
        </is>
      </c>
      <c r="P408" s="42" t="inlineStr">
        <is>
          <t>+1 (303) 442-3813</t>
        </is>
      </c>
      <c r="Q408" s="43" t="n">
        <v>1997.0</v>
      </c>
      <c r="R408" s="114">
        <f>HYPERLINK("https://my.pitchbook.com?c=43642-18", "View company online")</f>
      </c>
    </row>
    <row r="409">
      <c r="A409" s="9" t="inlineStr">
        <is>
          <t>104482-90</t>
        </is>
      </c>
      <c r="B409" s="10" t="inlineStr">
        <is>
          <t>WebLife Balance</t>
        </is>
      </c>
      <c r="C409" s="11" t="inlineStr">
        <is>
          <t>90027</t>
        </is>
      </c>
      <c r="D409" s="12" t="inlineStr">
        <is>
          <t>Provider of online tools intended to offer cyber security services and malware protection. The company's online tools cleanses potentially harmful content within a browser, enabling the users to access Web without the risk of exposure to financial theft or data breaches.</t>
        </is>
      </c>
      <c r="E409" s="13" t="inlineStr">
        <is>
          <t>Application Software</t>
        </is>
      </c>
      <c r="F409" s="14" t="inlineStr">
        <is>
          <t>Los Angeles, CA</t>
        </is>
      </c>
      <c r="G409" s="15" t="inlineStr">
        <is>
          <t>Privately Held (backing)</t>
        </is>
      </c>
      <c r="H409" s="16" t="inlineStr">
        <is>
          <t>Venture Capital-Backed</t>
        </is>
      </c>
      <c r="I409" s="17" t="inlineStr">
        <is>
          <t>Nordic Eye Venture Capital</t>
        </is>
      </c>
      <c r="J409" s="18" t="inlineStr">
        <is>
          <t>www.weblife.io</t>
        </is>
      </c>
      <c r="K409" s="19" t="inlineStr">
        <is>
          <t/>
        </is>
      </c>
      <c r="L409" s="20" t="inlineStr">
        <is>
          <t>+1 (855) 430-1004</t>
        </is>
      </c>
      <c r="M409" s="21" t="inlineStr">
        <is>
          <t>David Melnick</t>
        </is>
      </c>
      <c r="N409" s="22" t="inlineStr">
        <is>
          <t>Founder, Chief Executive Officer &amp; Evangelist</t>
        </is>
      </c>
      <c r="O409" s="23" t="inlineStr">
        <is>
          <t>david.melnick@weblife.io</t>
        </is>
      </c>
      <c r="P409" s="24" t="inlineStr">
        <is>
          <t>+1 (855) 430-1004</t>
        </is>
      </c>
      <c r="Q409" s="25" t="n">
        <v>2013.0</v>
      </c>
      <c r="R409" s="113">
        <f>HYPERLINK("https://my.pitchbook.com?c=104482-90", "View company online")</f>
      </c>
    </row>
    <row r="410">
      <c r="A410" s="27" t="inlineStr">
        <is>
          <t>170242-57</t>
        </is>
      </c>
      <c r="B410" s="28" t="inlineStr">
        <is>
          <t>Webio</t>
        </is>
      </c>
      <c r="C410" s="29" t="inlineStr">
        <is>
          <t>2</t>
        </is>
      </c>
      <c r="D410" s="30" t="inlineStr">
        <is>
          <t>Provider of an artificial intelligence-based software intended to streamline inbound and outbound customer communications across all channels. The company uses conversational interface to streamline inbound and outbound customer communications and effectively engages with customers with personalised, intelligent conversations enabling them deliver superior customer experiences and better business outcomes every time.</t>
        </is>
      </c>
      <c r="E410" s="31" t="inlineStr">
        <is>
          <t>Social/Platform Software</t>
        </is>
      </c>
      <c r="F410" s="32" t="inlineStr">
        <is>
          <t>Dublin, Ireland</t>
        </is>
      </c>
      <c r="G410" s="33" t="inlineStr">
        <is>
          <t>Privately Held (backing)</t>
        </is>
      </c>
      <c r="H410" s="34" t="inlineStr">
        <is>
          <t>Venture Capital-Backed</t>
        </is>
      </c>
      <c r="I410" s="35" t="inlineStr">
        <is>
          <t>Cameo Global, Enterprise Ireland</t>
        </is>
      </c>
      <c r="J410" s="36" t="inlineStr">
        <is>
          <t>www.webio.com</t>
        </is>
      </c>
      <c r="K410" s="37" t="inlineStr">
        <is>
          <t>info@webio.com</t>
        </is>
      </c>
      <c r="L410" s="38" t="inlineStr">
        <is>
          <t>+353 (0)1 531 0447</t>
        </is>
      </c>
      <c r="M410" s="39" t="inlineStr">
        <is>
          <t>Cormac O'Neill</t>
        </is>
      </c>
      <c r="N410" s="40" t="inlineStr">
        <is>
          <t>Chief Executive Officer</t>
        </is>
      </c>
      <c r="O410" s="41" t="inlineStr">
        <is>
          <t>cormac.oneill@webio.com</t>
        </is>
      </c>
      <c r="P410" s="42" t="inlineStr">
        <is>
          <t>+353 (0)1 531 0447</t>
        </is>
      </c>
      <c r="Q410" s="43" t="n">
        <v>2016.0</v>
      </c>
      <c r="R410" s="114">
        <f>HYPERLINK("https://my.pitchbook.com?c=170242-57", "View company online")</f>
      </c>
    </row>
    <row r="411">
      <c r="A411" s="9" t="inlineStr">
        <is>
          <t>58278-52</t>
        </is>
      </c>
      <c r="B411" s="10" t="inlineStr">
        <is>
          <t>Webflow</t>
        </is>
      </c>
      <c r="C411" s="11" t="inlineStr">
        <is>
          <t>94103</t>
        </is>
      </c>
      <c r="D411" s="12" t="inlineStr">
        <is>
          <t>Provider of a hosted website design platform. The company offers a platform that allows web designers to create responsive websites, without coding.</t>
        </is>
      </c>
      <c r="E411" s="13" t="inlineStr">
        <is>
          <t>Application Software</t>
        </is>
      </c>
      <c r="F411" s="14" t="inlineStr">
        <is>
          <t>San Francisco, CA</t>
        </is>
      </c>
      <c r="G411" s="15" t="inlineStr">
        <is>
          <t>Privately Held (backing)</t>
        </is>
      </c>
      <c r="H411" s="16" t="inlineStr">
        <is>
          <t>Venture Capital-Backed</t>
        </is>
      </c>
      <c r="I411" s="17" t="inlineStr">
        <is>
          <t>Amino Capital, Benjamin Ling, Draper Associates, Eric Bahn, FundersClub, Individual Investor, Khosla Ventures, Vaizra Investments, Y Combinator</t>
        </is>
      </c>
      <c r="J411" s="18" t="inlineStr">
        <is>
          <t>www.webflow.com</t>
        </is>
      </c>
      <c r="K411" s="19" t="inlineStr">
        <is>
          <t>info@webflow.com</t>
        </is>
      </c>
      <c r="L411" s="20" t="inlineStr">
        <is>
          <t/>
        </is>
      </c>
      <c r="M411" s="21" t="inlineStr">
        <is>
          <t>Bryant Chou</t>
        </is>
      </c>
      <c r="N411" s="22" t="inlineStr">
        <is>
          <t>Chief Technology Officer &amp; Co-Founder</t>
        </is>
      </c>
      <c r="O411" s="23" t="inlineStr">
        <is>
          <t>bryant@webflow.com</t>
        </is>
      </c>
      <c r="P411" s="24" t="inlineStr">
        <is>
          <t/>
        </is>
      </c>
      <c r="Q411" s="25" t="n">
        <v>2012.0</v>
      </c>
      <c r="R411" s="113">
        <f>HYPERLINK("https://my.pitchbook.com?c=58278-52", "View company online")</f>
      </c>
    </row>
    <row r="412">
      <c r="A412" s="27" t="inlineStr">
        <is>
          <t>55105-75</t>
        </is>
      </c>
      <c r="B412" s="28" t="inlineStr">
        <is>
          <t>Webaroo</t>
        </is>
      </c>
      <c r="C412" s="29" t="inlineStr">
        <is>
          <t>94111</t>
        </is>
      </c>
      <c r="D412" s="30" t="inlineStr">
        <is>
          <t>Provider of mobile messaging services. The company develops a cloud messaging platform that assist brands and businesses to interact, engage and communicate using any mobile device.</t>
        </is>
      </c>
      <c r="E412" s="31" t="inlineStr">
        <is>
          <t>Communication Software</t>
        </is>
      </c>
      <c r="F412" s="32" t="inlineStr">
        <is>
          <t>San Francisco, CA</t>
        </is>
      </c>
      <c r="G412" s="33" t="inlineStr">
        <is>
          <t>Privately Held (backing)</t>
        </is>
      </c>
      <c r="H412" s="34" t="inlineStr">
        <is>
          <t>Venture Capital-Backed</t>
        </is>
      </c>
      <c r="I412" s="35" t="inlineStr">
        <is>
          <t>Cambrian Ventures, Charles River Ventures, Globespan Capital Partners, Helion Venture Partners, HTSG A/C TNHF A/C, Hummer Winblad Venture Partners, Individual Investor, Lloyd George Asian Plus Fund, Society for Innovation and Entrepreneurship, Tenaya Capital</t>
        </is>
      </c>
      <c r="J412" s="36" t="inlineStr">
        <is>
          <t>www.webaroo.com</t>
        </is>
      </c>
      <c r="K412" s="37" t="inlineStr">
        <is>
          <t/>
        </is>
      </c>
      <c r="L412" s="38" t="inlineStr">
        <is>
          <t>+1 (425) 296-2545</t>
        </is>
      </c>
      <c r="M412" s="39" t="inlineStr">
        <is>
          <t>Kunal Patke</t>
        </is>
      </c>
      <c r="N412" s="40" t="inlineStr">
        <is>
          <t>Vice President, Engineering</t>
        </is>
      </c>
      <c r="O412" s="41" t="inlineStr">
        <is>
          <t>kunal@webaroo.com</t>
        </is>
      </c>
      <c r="P412" s="42" t="inlineStr">
        <is>
          <t>+1 (425) 296-2545</t>
        </is>
      </c>
      <c r="Q412" s="43" t="n">
        <v>2004.0</v>
      </c>
      <c r="R412" s="114">
        <f>HYPERLINK("https://my.pitchbook.com?c=55105-75", "View company online")</f>
      </c>
    </row>
    <row r="413">
      <c r="A413" s="9" t="inlineStr">
        <is>
          <t>50955-49</t>
        </is>
      </c>
      <c r="B413" s="10" t="inlineStr">
        <is>
          <t>Webalo</t>
        </is>
      </c>
      <c r="C413" s="11" t="inlineStr">
        <is>
          <t>90025</t>
        </is>
      </c>
      <c r="D413" s="12" t="inlineStr">
        <is>
          <t>Provider of a tool for mobile application development. The company offers an application that eliminates the coding and helps in mobile application development.</t>
        </is>
      </c>
      <c r="E413" s="13" t="inlineStr">
        <is>
          <t>Software Development Applications</t>
        </is>
      </c>
      <c r="F413" s="14" t="inlineStr">
        <is>
          <t>Los Angeles, CA</t>
        </is>
      </c>
      <c r="G413" s="15" t="inlineStr">
        <is>
          <t>Privately Held (backing)</t>
        </is>
      </c>
      <c r="H413" s="16" t="inlineStr">
        <is>
          <t>Venture Capital-Backed</t>
        </is>
      </c>
      <c r="I413" s="17" t="inlineStr">
        <is>
          <t>Balch Hill Partners, J.L. Easton Ventures</t>
        </is>
      </c>
      <c r="J413" s="18" t="inlineStr">
        <is>
          <t>www.webalo.com</t>
        </is>
      </c>
      <c r="K413" s="19" t="inlineStr">
        <is>
          <t/>
        </is>
      </c>
      <c r="L413" s="20" t="inlineStr">
        <is>
          <t>+1 (310) 828-7335</t>
        </is>
      </c>
      <c r="M413" s="21" t="inlineStr">
        <is>
          <t>Peter Price</t>
        </is>
      </c>
      <c r="N413" s="22" t="inlineStr">
        <is>
          <t>Co-Founder &amp; Chief Executive Officer</t>
        </is>
      </c>
      <c r="O413" s="23" t="inlineStr">
        <is>
          <t>pprice@webalo.com</t>
        </is>
      </c>
      <c r="P413" s="24" t="inlineStr">
        <is>
          <t>+1 (310) 828-7335</t>
        </is>
      </c>
      <c r="Q413" s="25" t="n">
        <v>2000.0</v>
      </c>
      <c r="R413" s="113">
        <f>HYPERLINK("https://my.pitchbook.com?c=50955-49", "View company online")</f>
      </c>
    </row>
    <row r="414">
      <c r="A414" s="27" t="inlineStr">
        <is>
          <t>56566-90</t>
        </is>
      </c>
      <c r="B414" s="28" t="inlineStr">
        <is>
          <t>Web Geo Services</t>
        </is>
      </c>
      <c r="C414" s="29" t="inlineStr">
        <is>
          <t>92100</t>
        </is>
      </c>
      <c r="D414" s="30" t="inlineStr">
        <is>
          <t>Developer of geo-location platform for e-commerce sites. The company develops geographic collaborative portals for communities and businesses to create their own community to communicate, automatically recommend the relevant collection point for their customers as well as share documents within and outside their organization.</t>
        </is>
      </c>
      <c r="E414" s="31" t="inlineStr">
        <is>
          <t>Communication Software</t>
        </is>
      </c>
      <c r="F414" s="32" t="inlineStr">
        <is>
          <t>Boulogne-Billancourt, France</t>
        </is>
      </c>
      <c r="G414" s="33" t="inlineStr">
        <is>
          <t>Privately Held (backing)</t>
        </is>
      </c>
      <c r="H414" s="34" t="inlineStr">
        <is>
          <t>Venture Capital-Backed</t>
        </is>
      </c>
      <c r="I414" s="35" t="inlineStr">
        <is>
          <t>European Investment Fund, FRCI, Ludovic Denis, Seventure Partners, SORIDEC</t>
        </is>
      </c>
      <c r="J414" s="36" t="inlineStr">
        <is>
          <t>www.webgeoservices.com</t>
        </is>
      </c>
      <c r="K414" s="37" t="inlineStr">
        <is>
          <t>info@webgeoservices.com</t>
        </is>
      </c>
      <c r="L414" s="38" t="inlineStr">
        <is>
          <t>+33 (0)1 41 22 26 20</t>
        </is>
      </c>
      <c r="M414" s="39" t="inlineStr">
        <is>
          <t>Mathias Fliti</t>
        </is>
      </c>
      <c r="N414" s="40" t="inlineStr">
        <is>
          <t>Co-Founder</t>
        </is>
      </c>
      <c r="O414" s="41" t="inlineStr">
        <is>
          <t>mfliti@webgeoservices.com</t>
        </is>
      </c>
      <c r="P414" s="42" t="inlineStr">
        <is>
          <t>+1 (415) 378-9305</t>
        </is>
      </c>
      <c r="Q414" s="43" t="n">
        <v>2009.0</v>
      </c>
      <c r="R414" s="114">
        <f>HYPERLINK("https://my.pitchbook.com?c=56566-90", "View company online")</f>
      </c>
    </row>
    <row r="415">
      <c r="A415" s="9" t="inlineStr">
        <is>
          <t>100099-09</t>
        </is>
      </c>
      <c r="B415" s="10" t="inlineStr">
        <is>
          <t>Weaveworks</t>
        </is>
      </c>
      <c r="C415" s="11" t="inlineStr">
        <is>
          <t>EC2A 4RQ</t>
        </is>
      </c>
      <c r="D415" s="12" t="inlineStr">
        <is>
          <t>Developer of a virtual network that connects docker containers. The company’s product delivers a software-defined network across docker containers and layers cross-container.</t>
        </is>
      </c>
      <c r="E415" s="13" t="inlineStr">
        <is>
          <t>Automation/Workflow Software</t>
        </is>
      </c>
      <c r="F415" s="14" t="inlineStr">
        <is>
          <t>London, United Kingdom</t>
        </is>
      </c>
      <c r="G415" s="15" t="inlineStr">
        <is>
          <t>Privately Held (backing)</t>
        </is>
      </c>
      <c r="H415" s="16" t="inlineStr">
        <is>
          <t>Venture Capital-Backed</t>
        </is>
      </c>
      <c r="I415" s="17" t="inlineStr">
        <is>
          <t>Accel, GV, Redline Capital Management</t>
        </is>
      </c>
      <c r="J415" s="18" t="inlineStr">
        <is>
          <t>www.weave.works</t>
        </is>
      </c>
      <c r="K415" s="19" t="inlineStr">
        <is>
          <t/>
        </is>
      </c>
      <c r="L415" s="20" t="inlineStr">
        <is>
          <t/>
        </is>
      </c>
      <c r="M415" s="21" t="inlineStr">
        <is>
          <t>Matthias Radestock</t>
        </is>
      </c>
      <c r="N415" s="22" t="inlineStr">
        <is>
          <t>Co-Founder, Board Member &amp; Chief Technology Officer</t>
        </is>
      </c>
      <c r="O415" s="23" t="inlineStr">
        <is>
          <t>matthias.radestock@weave.works</t>
        </is>
      </c>
      <c r="P415" s="24" t="inlineStr">
        <is>
          <t/>
        </is>
      </c>
      <c r="Q415" s="25" t="n">
        <v>2014.0</v>
      </c>
      <c r="R415" s="113">
        <f>HYPERLINK("https://my.pitchbook.com?c=100099-09", "View company online")</f>
      </c>
    </row>
    <row r="416">
      <c r="A416" s="27" t="inlineStr">
        <is>
          <t>53747-02</t>
        </is>
      </c>
      <c r="B416" s="28" t="inlineStr">
        <is>
          <t>Weaved</t>
        </is>
      </c>
      <c r="C416" s="29" t="inlineStr">
        <is>
          <t>94301</t>
        </is>
      </c>
      <c r="D416" s="30" t="inlineStr">
        <is>
          <t>Developer of a network software that operates private networks within the Internet. The company’s network technology establishes a virtual private network that communicates to any service via an encrypted peer-to-peer connection.</t>
        </is>
      </c>
      <c r="E416" s="31" t="inlineStr">
        <is>
          <t>Network Management Software</t>
        </is>
      </c>
      <c r="F416" s="32" t="inlineStr">
        <is>
          <t>Palo Alto, CA</t>
        </is>
      </c>
      <c r="G416" s="33" t="inlineStr">
        <is>
          <t>Privately Held (backing)</t>
        </is>
      </c>
      <c r="H416" s="34" t="inlineStr">
        <is>
          <t>Venture Capital-Backed</t>
        </is>
      </c>
      <c r="I416" s="35" t="inlineStr">
        <is>
          <t>Alpine Meridian, Big Basin Partners, Compound Ventures, Core Ventures Group, CrunchFund, Double M Partners, Garage Technology Ventures, GoAhead Ventures, HB Rama capital, Individual Investor, Ironfire Ventures, Maxfield Capital, Michael Arrington, Oleg Koujikov, Passport Capital, Plug and Play Tech Center, Postini, Scott Belsky, Semil Shah, Sumit Gupta, TMT Investments, yet2Ventures, Yun-Fang Juan</t>
        </is>
      </c>
      <c r="J416" s="36" t="inlineStr">
        <is>
          <t>www.remot3.it</t>
        </is>
      </c>
      <c r="K416" s="37" t="inlineStr">
        <is>
          <t>info@weaved.com</t>
        </is>
      </c>
      <c r="L416" s="38" t="inlineStr">
        <is>
          <t>+1 (650) 262-0320</t>
        </is>
      </c>
      <c r="M416" s="39" t="inlineStr">
        <is>
          <t>Ryo Koyama</t>
        </is>
      </c>
      <c r="N416" s="40" t="inlineStr">
        <is>
          <t>President, Chief Executive Officer &amp; Co-Founder</t>
        </is>
      </c>
      <c r="O416" s="41" t="inlineStr">
        <is>
          <t>ryo@yoics.com</t>
        </is>
      </c>
      <c r="P416" s="42" t="inlineStr">
        <is>
          <t>+1 (650) 262-0320</t>
        </is>
      </c>
      <c r="Q416" s="43" t="n">
        <v>2007.0</v>
      </c>
      <c r="R416" s="114">
        <f>HYPERLINK("https://my.pitchbook.com?c=53747-02", "View company online")</f>
      </c>
    </row>
    <row r="417">
      <c r="A417" s="9" t="inlineStr">
        <is>
          <t>103193-02</t>
        </is>
      </c>
      <c r="B417" s="10" t="inlineStr">
        <is>
          <t>Wearhaus</t>
        </is>
      </c>
      <c r="C417" s="11" t="inlineStr">
        <is>
          <t>94704</t>
        </is>
      </c>
      <c r="D417" s="12" t="inlineStr">
        <is>
          <t>Producer of a social music sharing headphones. The company's headphones can broadcast music to other headphones, enabling users to listen to music with others in real time.</t>
        </is>
      </c>
      <c r="E417" s="13" t="inlineStr">
        <is>
          <t>Electronics (B2C)</t>
        </is>
      </c>
      <c r="F417" s="14" t="inlineStr">
        <is>
          <t>Berkeley, CA</t>
        </is>
      </c>
      <c r="G417" s="15" t="inlineStr">
        <is>
          <t>Privately Held (backing)</t>
        </is>
      </c>
      <c r="H417" s="16" t="inlineStr">
        <is>
          <t>Venture Capital-Backed</t>
        </is>
      </c>
      <c r="I417" s="17" t="inlineStr">
        <is>
          <t>China Southern Media, Feng Hu, Highway1, John Galbraith, Richard Kain, Tellus International, Xiaoxiang Capital</t>
        </is>
      </c>
      <c r="J417" s="18" t="inlineStr">
        <is>
          <t>www.wearhaus.com</t>
        </is>
      </c>
      <c r="K417" s="19" t="inlineStr">
        <is>
          <t>team@wearhaus.com</t>
        </is>
      </c>
      <c r="L417" s="20" t="inlineStr">
        <is>
          <t>+1 (510) 529-4533</t>
        </is>
      </c>
      <c r="M417" s="21" t="inlineStr">
        <is>
          <t>Richie Zeng</t>
        </is>
      </c>
      <c r="N417" s="22" t="inlineStr">
        <is>
          <t>Co-Founder &amp; Chief Executive Officer</t>
        </is>
      </c>
      <c r="O417" s="23" t="inlineStr">
        <is>
          <t>richie@wearhaus.com</t>
        </is>
      </c>
      <c r="P417" s="24" t="inlineStr">
        <is>
          <t>+1 (510) 529-4533</t>
        </is>
      </c>
      <c r="Q417" s="25" t="n">
        <v>2013.0</v>
      </c>
      <c r="R417" s="113">
        <f>HYPERLINK("https://my.pitchbook.com?c=103193-02", "View company online")</f>
      </c>
    </row>
    <row r="418">
      <c r="A418" s="27" t="inlineStr">
        <is>
          <t>111253-60</t>
        </is>
      </c>
      <c r="B418" s="28" t="inlineStr">
        <is>
          <t>Wearality</t>
        </is>
      </c>
      <c r="C418" s="29" t="inlineStr">
        <is>
          <t>32826</t>
        </is>
      </c>
      <c r="D418" s="30" t="inlineStr">
        <is>
          <t>Developer of VR and AR optics. The company also develops software suite that enables immersive content distribution and compression.</t>
        </is>
      </c>
      <c r="E418" s="31" t="inlineStr">
        <is>
          <t>Electronics (B2C)</t>
        </is>
      </c>
      <c r="F418" s="32" t="inlineStr">
        <is>
          <t>Orlando, FL</t>
        </is>
      </c>
      <c r="G418" s="33" t="inlineStr">
        <is>
          <t>Privately Held (backing)</t>
        </is>
      </c>
      <c r="H418" s="34" t="inlineStr">
        <is>
          <t>Venture Capital-Backed</t>
        </is>
      </c>
      <c r="I418" s="35" t="inlineStr">
        <is>
          <t>Beth Ellyn McClendon, DG Incubation, Joichi Ito, Par Equity</t>
        </is>
      </c>
      <c r="J418" s="36" t="inlineStr">
        <is>
          <t>www.wearality.com</t>
        </is>
      </c>
      <c r="K418" s="37" t="inlineStr">
        <is>
          <t/>
        </is>
      </c>
      <c r="L418" s="38" t="inlineStr">
        <is>
          <t/>
        </is>
      </c>
      <c r="M418" s="39" t="inlineStr">
        <is>
          <t>David Smith</t>
        </is>
      </c>
      <c r="N418" s="40" t="inlineStr">
        <is>
          <t>Co-Founder, Board Member &amp; Chief Technology Officer</t>
        </is>
      </c>
      <c r="O418" s="41" t="inlineStr">
        <is>
          <t>david@wearality.com</t>
        </is>
      </c>
      <c r="P418" s="42" t="inlineStr">
        <is>
          <t/>
        </is>
      </c>
      <c r="Q418" s="43" t="n">
        <v>2012.0</v>
      </c>
      <c r="R418" s="114">
        <f>HYPERLINK("https://my.pitchbook.com?c=111253-60", "View company online")</f>
      </c>
    </row>
    <row r="419">
      <c r="A419" s="9" t="inlineStr">
        <is>
          <t>62846-74</t>
        </is>
      </c>
      <c r="B419" s="10" t="inlineStr">
        <is>
          <t>Wearable Technologies</t>
        </is>
      </c>
      <c r="C419" s="11" t="inlineStr">
        <is>
          <t>82211</t>
        </is>
      </c>
      <c r="D419" s="12" t="inlineStr">
        <is>
          <t>Provider of an online shopping platform. The company primarily engages in selling wearables worn both close to the body as well as inside the body.</t>
        </is>
      </c>
      <c r="E419" s="13" t="inlineStr">
        <is>
          <t>Other Consumer Durables</t>
        </is>
      </c>
      <c r="F419" s="14" t="inlineStr">
        <is>
          <t>Herrsching, Germany</t>
        </is>
      </c>
      <c r="G419" s="15" t="inlineStr">
        <is>
          <t>Privately Held (backing)</t>
        </is>
      </c>
      <c r="H419" s="16" t="inlineStr">
        <is>
          <t>Venture Capital-Backed</t>
        </is>
      </c>
      <c r="I419" s="17" t="inlineStr">
        <is>
          <t>mic</t>
        </is>
      </c>
      <c r="J419" s="18" t="inlineStr">
        <is>
          <t>www.wearable-technologies.com</t>
        </is>
      </c>
      <c r="K419" s="19" t="inlineStr">
        <is>
          <t>info@wearable-technologies.com</t>
        </is>
      </c>
      <c r="L419" s="20" t="inlineStr">
        <is>
          <t>+49 (0)81 5299 8860</t>
        </is>
      </c>
      <c r="M419" s="21" t="inlineStr">
        <is>
          <t>Christian Stammel</t>
        </is>
      </c>
      <c r="N419" s="22" t="inlineStr">
        <is>
          <t>Chief Executive Officer &amp; Founder</t>
        </is>
      </c>
      <c r="O419" s="23" t="inlineStr">
        <is>
          <t>c.stammel@wearable-technologies.com</t>
        </is>
      </c>
      <c r="P419" s="24" t="inlineStr">
        <is>
          <t>+49 (0)81 5299 8860</t>
        </is>
      </c>
      <c r="Q419" s="25" t="n">
        <v>2006.0</v>
      </c>
      <c r="R419" s="113">
        <f>HYPERLINK("https://my.pitchbook.com?c=62846-74", "View company online")</f>
      </c>
    </row>
    <row r="420">
      <c r="A420" s="27" t="inlineStr">
        <is>
          <t>98102-53</t>
        </is>
      </c>
      <c r="B420" s="28" t="inlineStr">
        <is>
          <t>Wearable IoT World</t>
        </is>
      </c>
      <c r="C420" s="29" t="inlineStr">
        <is>
          <t>94111</t>
        </is>
      </c>
      <c r="D420" s="30" t="inlineStr">
        <is>
          <t>Provider of business acceleration and incubation services. The company offers accelerator and advisory programs within a corporate environment, to businesses in the wearable sector.</t>
        </is>
      </c>
      <c r="E420" s="31" t="inlineStr">
        <is>
          <t>Other Commercial Services</t>
        </is>
      </c>
      <c r="F420" s="32" t="inlineStr">
        <is>
          <t>San Francisco, CA</t>
        </is>
      </c>
      <c r="G420" s="33" t="inlineStr">
        <is>
          <t>Privately Held (backing)</t>
        </is>
      </c>
      <c r="H420" s="34" t="inlineStr">
        <is>
          <t>Venture Capital-Backed</t>
        </is>
      </c>
      <c r="I420" s="35" t="inlineStr">
        <is>
          <t>7percent Ventures, Anoop Kansupada, Loeb.nyc, Ossama Hassanein, Radiant Venture Capital, Rising Tide Fund, Tamer Hassanein, The International Conclave of Entrepreneurs, Tony Kamin, Tsingyuan Ventures, W Capital Partners, Wavemaker Partners</t>
        </is>
      </c>
      <c r="J420" s="36" t="inlineStr">
        <is>
          <t>www.wearableworld.co</t>
        </is>
      </c>
      <c r="K420" s="37" t="inlineStr">
        <is>
          <t>info@wearableworld.co</t>
        </is>
      </c>
      <c r="L420" s="38" t="inlineStr">
        <is>
          <t/>
        </is>
      </c>
      <c r="M420" s="39" t="inlineStr">
        <is>
          <t>Redg Snodgrass</t>
        </is>
      </c>
      <c r="N420" s="40" t="inlineStr">
        <is>
          <t>Co-Founder &amp; Chief Executive Officer</t>
        </is>
      </c>
      <c r="O420" s="41" t="inlineStr">
        <is>
          <t>redg@wearableworld.co</t>
        </is>
      </c>
      <c r="P420" s="42" t="inlineStr">
        <is>
          <t/>
        </is>
      </c>
      <c r="Q420" s="43" t="n">
        <v>2013.0</v>
      </c>
      <c r="R420" s="114">
        <f>HYPERLINK("https://my.pitchbook.com?c=98102-53", "View company online")</f>
      </c>
    </row>
    <row r="421">
      <c r="A421" s="9" t="inlineStr">
        <is>
          <t>52816-87</t>
        </is>
      </c>
      <c r="B421" s="10" t="inlineStr">
        <is>
          <t>Wealthfront</t>
        </is>
      </c>
      <c r="C421" s="11" t="inlineStr">
        <is>
          <t>94063</t>
        </is>
      </c>
      <c r="D421" s="12" t="inlineStr">
        <is>
          <t>Provider of software-based financial and investment advisory services. The company offers a portfolio management platform which enables users to access investment opportunities and allocate them according to their risk tolerance.</t>
        </is>
      </c>
      <c r="E421" s="13" t="inlineStr">
        <is>
          <t>Financial Software</t>
        </is>
      </c>
      <c r="F421" s="14" t="inlineStr">
        <is>
          <t>Redwood City, CA</t>
        </is>
      </c>
      <c r="G421" s="15" t="inlineStr">
        <is>
          <t>Privately Held (backing)</t>
        </is>
      </c>
      <c r="H421" s="16" t="inlineStr">
        <is>
          <t>Venture Capital-Backed</t>
        </is>
      </c>
      <c r="I421" s="17" t="inlineStr">
        <is>
          <t>Adam D'Angelo, Adam Fischer, Alison Pincus, Alison Rosenthal, Andrew Dunn, Andrew Rachleff, Angela Zaeh, Ankur Pansari, Barry McCarthy, Benchmark Capital, Benjamin Horowitz, Bruce Dunlevie, Chris Morace, Cipora Herman, DAG Ventures, Dan Shapero, Dave Beirne, Dave Morin, David Hahn, Doug Mackenzie, Dragoneer Investment Group, Gil Penchina, Greylock Partners, Harris Barton, Hunter Walk, Index Ventures (UK), Individual Investor, Javier Olivan, Jeffrey Jordan, Jeffrey Weiner, Kay Luo, Kenneth Goldman, Kevin Colleran, Kevin Compton, Kevin Rose, Louis Eisenberg, Marc Andreessen, Marissa Mayer, Mark Leslie, Mark Pincus, Matt Mullenweg, Matthew Papakipos, Matthew Wyndowe, Maven Ventures, Michael Schroepfer, Mike Jones, Owen Tripp, Paul Kedrosky, Peter Pham, Reed Hundt, Ribbit Capital, Ronnie Lott, Ryan Roslansky, Satya Patel, Science, Scott Roberts, Sharmila Shahani-Mulligan, SK Ventures, Social Capital, Spark Capital, Tim Kendall, Timothy Ferriss</t>
        </is>
      </c>
      <c r="J421" s="18" t="inlineStr">
        <is>
          <t>www.wealthfront.com</t>
        </is>
      </c>
      <c r="K421" s="19" t="inlineStr">
        <is>
          <t/>
        </is>
      </c>
      <c r="L421" s="20" t="inlineStr">
        <is>
          <t>+1 (650) 249-4250</t>
        </is>
      </c>
      <c r="M421" s="21" t="inlineStr">
        <is>
          <t>Ashley Fieglein Johnson</t>
        </is>
      </c>
      <c r="N421" s="22" t="inlineStr">
        <is>
          <t>Chief Financial Officer &amp; Chief Operating Officer</t>
        </is>
      </c>
      <c r="O421" s="23" t="inlineStr">
        <is>
          <t>ashley@wealthfront.com</t>
        </is>
      </c>
      <c r="P421" s="24" t="inlineStr">
        <is>
          <t>+1 (650) 249-4250</t>
        </is>
      </c>
      <c r="Q421" s="25" t="inlineStr">
        <is>
          <t/>
        </is>
      </c>
      <c r="R421" s="113">
        <f>HYPERLINK("https://my.pitchbook.com?c=52816-87", "View company online")</f>
      </c>
    </row>
    <row r="422">
      <c r="A422" s="27" t="inlineStr">
        <is>
          <t>61318-18</t>
        </is>
      </c>
      <c r="B422" s="28" t="inlineStr">
        <is>
          <t>WealthForge</t>
        </is>
      </c>
      <c r="C422" s="29" t="inlineStr">
        <is>
          <t>23230</t>
        </is>
      </c>
      <c r="D422" s="30" t="inlineStr">
        <is>
          <t>Provider of an online private placement transaction processing platform designed to bring greater efficiency to the private capital marketplace. The company's private placement transaction processing platform streamline investor's experience with an automated transaction processing technology and upload, organize and store offering documents, all in one secure location, enabling companies raising capital to present investment opportunities to a network of registered intermediaries, such as broker-dealers and investment advisors.</t>
        </is>
      </c>
      <c r="E422" s="31" t="inlineStr">
        <is>
          <t>Social/Platform Software</t>
        </is>
      </c>
      <c r="F422" s="32" t="inlineStr">
        <is>
          <t>Richmond, VA</t>
        </is>
      </c>
      <c r="G422" s="33" t="inlineStr">
        <is>
          <t>Privately Held (backing)</t>
        </is>
      </c>
      <c r="H422" s="34" t="inlineStr">
        <is>
          <t>Venture Capital-Backed</t>
        </is>
      </c>
      <c r="I422" s="35" t="inlineStr">
        <is>
          <t>Center for Innovative Technology Gap Funds, Jennifer O'Daniel, NRV, SenaHill Partners, UBS</t>
        </is>
      </c>
      <c r="J422" s="36" t="inlineStr">
        <is>
          <t>www.wealthforge.com</t>
        </is>
      </c>
      <c r="K422" s="37" t="inlineStr">
        <is>
          <t>info@wealthforgellc.com</t>
        </is>
      </c>
      <c r="L422" s="38" t="inlineStr">
        <is>
          <t>+1 (804) 658-5280</t>
        </is>
      </c>
      <c r="M422" s="39" t="inlineStr">
        <is>
          <t>Mathew Dellorso</t>
        </is>
      </c>
      <c r="N422" s="40" t="inlineStr">
        <is>
          <t>Co-Founder, Chief Strategy Officer &amp; Board Member</t>
        </is>
      </c>
      <c r="O422" s="41" t="inlineStr">
        <is>
          <t>mdellorso@wealthforge.com</t>
        </is>
      </c>
      <c r="P422" s="42" t="inlineStr">
        <is>
          <t>+1 (804) 658-5280</t>
        </is>
      </c>
      <c r="Q422" s="43" t="n">
        <v>2009.0</v>
      </c>
      <c r="R422" s="114">
        <f>HYPERLINK("https://my.pitchbook.com?c=61318-18", "View company online")</f>
      </c>
    </row>
    <row r="423">
      <c r="A423" s="9" t="inlineStr">
        <is>
          <t>101322-01</t>
        </is>
      </c>
      <c r="B423" s="10" t="inlineStr">
        <is>
          <t>We Are Curious</t>
        </is>
      </c>
      <c r="C423" s="11" t="inlineStr">
        <is>
          <t/>
        </is>
      </c>
      <c r="D423" s="12" t="inlineStr">
        <is>
          <t>Developer of a digital platform designed to track and analyze personal health. The company's digital platform offers flexible, tag-based system that detects patterns and correlations or curiosities with graphical data visualization, enabling users to assess their genetic predispositions on various issues, as well as securely storing personal health data.</t>
        </is>
      </c>
      <c r="E423" s="13" t="inlineStr">
        <is>
          <t>Application Software</t>
        </is>
      </c>
      <c r="F423" s="14" t="inlineStr">
        <is>
          <t>San Francisco, CA</t>
        </is>
      </c>
      <c r="G423" s="15" t="inlineStr">
        <is>
          <t>Privately Held (backing)</t>
        </is>
      </c>
      <c r="H423" s="16" t="inlineStr">
        <is>
          <t>Venture Capital-Backed</t>
        </is>
      </c>
      <c r="I423" s="17" t="inlineStr">
        <is>
          <t>Fresco Capital, Lifeline Ventures, Mike Krieger</t>
        </is>
      </c>
      <c r="J423" s="18" t="inlineStr">
        <is>
          <t>www.wearecurio.us</t>
        </is>
      </c>
      <c r="K423" s="19" t="inlineStr">
        <is>
          <t/>
        </is>
      </c>
      <c r="L423" s="20" t="inlineStr">
        <is>
          <t>+1 (650) 265-4951</t>
        </is>
      </c>
      <c r="M423" s="21" t="inlineStr">
        <is>
          <t>Linda Avey</t>
        </is>
      </c>
      <c r="N423" s="22" t="inlineStr">
        <is>
          <t>Co-Founder &amp; Chief Executive Officer</t>
        </is>
      </c>
      <c r="O423" s="23" t="inlineStr">
        <is>
          <t>linda@wearecurio.us</t>
        </is>
      </c>
      <c r="P423" s="24" t="inlineStr">
        <is>
          <t>+1 (650) 265-4951</t>
        </is>
      </c>
      <c r="Q423" s="25" t="n">
        <v>2011.0</v>
      </c>
      <c r="R423" s="113">
        <f>HYPERLINK("https://my.pitchbook.com?c=101322-01", "View company online")</f>
      </c>
    </row>
    <row r="424">
      <c r="A424" s="27" t="inlineStr">
        <is>
          <t>126088-75</t>
        </is>
      </c>
      <c r="B424" s="28" t="inlineStr">
        <is>
          <t>WB21</t>
        </is>
      </c>
      <c r="C424" s="29" t="inlineStr">
        <is>
          <t>048624</t>
        </is>
      </c>
      <c r="D424" s="30" t="inlineStr">
        <is>
          <t>Provider of a real-time money transfer system designed to facilitate online banking. The company's money transfer system offers global cross border payments and account opening in 18 currencies, enabling consumers to transact money through their account balances, bank accounts or credit cards paying less than usual bank charges.</t>
        </is>
      </c>
      <c r="E424" s="31" t="inlineStr">
        <is>
          <t>Other Capital Markets/Institutions</t>
        </is>
      </c>
      <c r="F424" s="32" t="inlineStr">
        <is>
          <t>Singapore, Singapore</t>
        </is>
      </c>
      <c r="G424" s="33" t="inlineStr">
        <is>
          <t>Privately Held (backing)</t>
        </is>
      </c>
      <c r="H424" s="34" t="inlineStr">
        <is>
          <t>Venture Capital-Backed</t>
        </is>
      </c>
      <c r="I424" s="35" t="inlineStr">
        <is>
          <t>AC, Gastauer Family Office</t>
        </is>
      </c>
      <c r="J424" s="36" t="inlineStr">
        <is>
          <t>www.wb21.com</t>
        </is>
      </c>
      <c r="K424" s="37" t="inlineStr">
        <is>
          <t/>
        </is>
      </c>
      <c r="L424" s="38" t="inlineStr">
        <is>
          <t>+65 6248 4658</t>
        </is>
      </c>
      <c r="M424" s="39" t="inlineStr">
        <is>
          <t>Peter Arnold</t>
        </is>
      </c>
      <c r="N424" s="40" t="inlineStr">
        <is>
          <t>Co-Founder &amp; Group Chief Executive Officer</t>
        </is>
      </c>
      <c r="O424" s="41" t="inlineStr">
        <is>
          <t>pa@wb21.com</t>
        </is>
      </c>
      <c r="P424" s="42" t="inlineStr">
        <is>
          <t>+1 (650) 273-4807</t>
        </is>
      </c>
      <c r="Q424" s="43" t="n">
        <v>2014.0</v>
      </c>
      <c r="R424" s="114">
        <f>HYPERLINK("https://my.pitchbook.com?c=126088-75", "View company online")</f>
      </c>
    </row>
    <row r="425">
      <c r="A425" s="9" t="inlineStr">
        <is>
          <t>172424-17</t>
        </is>
      </c>
      <c r="B425" s="10" t="inlineStr">
        <is>
          <t>Wazzu</t>
        </is>
      </c>
      <c r="C425" s="85">
        <f>HYPERLINK("https://my.pitchbook.com?rrp=172424-17&amp;type=c",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row>
    <row r="426">
      <c r="A426" s="27" t="inlineStr">
        <is>
          <t>170351-92</t>
        </is>
      </c>
      <c r="B426" s="28" t="inlineStr">
        <is>
          <t>WaystoCap</t>
        </is>
      </c>
      <c r="C426" s="29" t="inlineStr">
        <is>
          <t/>
        </is>
      </c>
      <c r="D426" s="30" t="inlineStr">
        <is>
          <t>Provider of a cross-border B2B marketplace designed to connect buyers and sellers. The company's B2B marketplace is an eCommerce platform that helps in quick delivery and provide daily deals, discounts and offers, enabling businesses in obtaining financing and insurance, managing their shipments and ensuring payments security.</t>
        </is>
      </c>
      <c r="E426" s="31" t="inlineStr">
        <is>
          <t>Social/Platform Software</t>
        </is>
      </c>
      <c r="F426" s="32" t="inlineStr">
        <is>
          <t>Casablanca, Morocco</t>
        </is>
      </c>
      <c r="G426" s="33" t="inlineStr">
        <is>
          <t>Privately Held (backing)</t>
        </is>
      </c>
      <c r="H426" s="34" t="inlineStr">
        <is>
          <t>Venture Capital-Backed</t>
        </is>
      </c>
      <c r="I426" s="35" t="inlineStr">
        <is>
          <t>4DX, Amino Capital, Battery Ventures, Endure Capital, Jude Gomila, Lynett Capital, Michael Seibel, Neon Capital, Palm Drive Capital, Pascal Levy-Garboua, Soma Capital, Story Ventures, Y Combinator</t>
        </is>
      </c>
      <c r="J426" s="36" t="inlineStr">
        <is>
          <t>www.waystocap.com</t>
        </is>
      </c>
      <c r="K426" s="37" t="inlineStr">
        <is>
          <t>info@waystocap.com</t>
        </is>
      </c>
      <c r="L426" s="38" t="inlineStr">
        <is>
          <t/>
        </is>
      </c>
      <c r="M426" s="39" t="inlineStr">
        <is>
          <t>Niama El Bassunie</t>
        </is>
      </c>
      <c r="N426" s="40" t="inlineStr">
        <is>
          <t>Co-Founder &amp; Chief Executive Officer</t>
        </is>
      </c>
      <c r="O426" s="41" t="inlineStr">
        <is>
          <t>nelbassunie@waystocap.com</t>
        </is>
      </c>
      <c r="P426" s="42" t="inlineStr">
        <is>
          <t/>
        </is>
      </c>
      <c r="Q426" s="43" t="n">
        <v>2014.0</v>
      </c>
      <c r="R426" s="114">
        <f>HYPERLINK("https://my.pitchbook.com?c=170351-92", "View company online")</f>
      </c>
    </row>
    <row r="427">
      <c r="A427" s="9" t="inlineStr">
        <is>
          <t>105775-75</t>
        </is>
      </c>
      <c r="B427" s="10" t="inlineStr">
        <is>
          <t>WayRay</t>
        </is>
      </c>
      <c r="C427" s="11" t="inlineStr">
        <is>
          <t>1018</t>
        </is>
      </c>
      <c r="D427" s="12" t="inlineStr">
        <is>
          <t>Developer of holographic augmented reality (AR) navigation systems designed to improve safety while driving a car. The company's holographic augmented reality (AR) navigation systems provides full-color heads-up displays in a car windshield and offers wide viewing angles while requiring less space for hardware and control systems enabling car drivers to look through data in their windshields without looking down at gauges watching road conditions.</t>
        </is>
      </c>
      <c r="E427" s="13" t="inlineStr">
        <is>
          <t>Electronic Components</t>
        </is>
      </c>
      <c r="F427" s="14" t="inlineStr">
        <is>
          <t>Lausanne, Switzerland</t>
        </is>
      </c>
      <c r="G427" s="15" t="inlineStr">
        <is>
          <t>Privately Held (backing)</t>
        </is>
      </c>
      <c r="H427" s="16" t="inlineStr">
        <is>
          <t>Venture Capital-Backed</t>
        </is>
      </c>
      <c r="I427" s="17" t="inlineStr">
        <is>
          <t>500 Startups, Accel, Alibaba Group, Intel Capital, New Enterprise Associates, Seedstars World, Sequoia Capital, Sistema, Y Combinator</t>
        </is>
      </c>
      <c r="J427" s="18" t="inlineStr">
        <is>
          <t>www.wayray.com</t>
        </is>
      </c>
      <c r="K427" s="19" t="inlineStr">
        <is>
          <t>info@wayray.com</t>
        </is>
      </c>
      <c r="L427" s="20" t="inlineStr">
        <is>
          <t/>
        </is>
      </c>
      <c r="M427" s="21" t="inlineStr">
        <is>
          <t>Vitaly Ponomarev</t>
        </is>
      </c>
      <c r="N427" s="22" t="inlineStr">
        <is>
          <t>Founder &amp; Chief Executive Officer</t>
        </is>
      </c>
      <c r="O427" s="23" t="inlineStr">
        <is>
          <t>vitaly@wayray.com</t>
        </is>
      </c>
      <c r="P427" s="24" t="inlineStr">
        <is>
          <t/>
        </is>
      </c>
      <c r="Q427" s="25" t="n">
        <v>2012.0</v>
      </c>
      <c r="R427" s="113">
        <f>HYPERLINK("https://my.pitchbook.com?c=105775-75", "View company online")</f>
      </c>
    </row>
    <row r="428">
      <c r="A428" s="27" t="inlineStr">
        <is>
          <t>125957-80</t>
        </is>
      </c>
      <c r="B428" s="28" t="inlineStr">
        <is>
          <t>Waypoint Building Group</t>
        </is>
      </c>
      <c r="C428" s="29" t="inlineStr">
        <is>
          <t>94111</t>
        </is>
      </c>
      <c r="D428" s="30" t="inlineStr">
        <is>
          <t>Provider of a software platform for the real estate industry. The company provides SaaS product directly to commercial real estate building owners, asset managers and property managers.</t>
        </is>
      </c>
      <c r="E428" s="31" t="inlineStr">
        <is>
          <t>Social/Platform Software</t>
        </is>
      </c>
      <c r="F428" s="32" t="inlineStr">
        <is>
          <t>San Francisco, CA</t>
        </is>
      </c>
      <c r="G428" s="33" t="inlineStr">
        <is>
          <t>Privately Held (backing)</t>
        </is>
      </c>
      <c r="H428" s="34" t="inlineStr">
        <is>
          <t>Venture Capital-Backed</t>
        </is>
      </c>
      <c r="I428" s="35" t="inlineStr">
        <is>
          <t>Cheerland Investments Group</t>
        </is>
      </c>
      <c r="J428" s="36" t="inlineStr">
        <is>
          <t>www.waypointbuilding.com</t>
        </is>
      </c>
      <c r="K428" s="37" t="inlineStr">
        <is>
          <t>info@waypointbuilding.com</t>
        </is>
      </c>
      <c r="L428" s="38" t="inlineStr">
        <is>
          <t>+1 (415) 738-4730</t>
        </is>
      </c>
      <c r="M428" s="39" t="inlineStr">
        <is>
          <t>Diane Vrkic</t>
        </is>
      </c>
      <c r="N428" s="40" t="inlineStr">
        <is>
          <t>Founder and Chief Executive Officer</t>
        </is>
      </c>
      <c r="O428" s="41" t="inlineStr">
        <is>
          <t/>
        </is>
      </c>
      <c r="P428" s="42" t="inlineStr">
        <is>
          <t>+1 (415) 738-4730</t>
        </is>
      </c>
      <c r="Q428" s="43" t="n">
        <v>2009.0</v>
      </c>
      <c r="R428" s="114">
        <f>HYPERLINK("https://my.pitchbook.com?c=125957-80", "View company online")</f>
      </c>
    </row>
    <row r="429">
      <c r="A429" s="9" t="inlineStr">
        <is>
          <t>97340-68</t>
        </is>
      </c>
      <c r="B429" s="10" t="inlineStr">
        <is>
          <t>Waygum</t>
        </is>
      </c>
      <c r="C429" s="11" t="inlineStr">
        <is>
          <t>94568</t>
        </is>
      </c>
      <c r="D429" s="12" t="inlineStr">
        <is>
          <t>Provider of mobile application platform designed to deliver the last mile mobile layer for industrial internet of things. The company's mobile application platform manages the mobile application through a robust cloud backend, enabling administrators and backend operators to connect their industrial assets, products, enterprise data, processes, workflows to realize the true benefits of IOT with a mobile experience.</t>
        </is>
      </c>
      <c r="E429" s="13" t="inlineStr">
        <is>
          <t>Application Software</t>
        </is>
      </c>
      <c r="F429" s="14" t="inlineStr">
        <is>
          <t>Dublin, CA</t>
        </is>
      </c>
      <c r="G429" s="15" t="inlineStr">
        <is>
          <t>Privately Held (backing)</t>
        </is>
      </c>
      <c r="H429" s="16" t="inlineStr">
        <is>
          <t>Venture Capital-Backed</t>
        </is>
      </c>
      <c r="I429" s="17" t="inlineStr">
        <is>
          <t>Alchemist Accelerator, Cisco Systems, Munich Re/HSB Ventures, Navitas Capital, Right Side Capital Management, Tyco Ventures</t>
        </is>
      </c>
      <c r="J429" s="18" t="inlineStr">
        <is>
          <t>www.waygum.io</t>
        </is>
      </c>
      <c r="K429" s="19" t="inlineStr">
        <is>
          <t/>
        </is>
      </c>
      <c r="L429" s="20" t="inlineStr">
        <is>
          <t/>
        </is>
      </c>
      <c r="M429" s="21" t="inlineStr">
        <is>
          <t>Sundar Krish</t>
        </is>
      </c>
      <c r="N429" s="22" t="inlineStr">
        <is>
          <t>Founder &amp; Chief Executive Officer</t>
        </is>
      </c>
      <c r="O429" s="23" t="inlineStr">
        <is>
          <t>sundar@waygum.io</t>
        </is>
      </c>
      <c r="P429" s="24" t="inlineStr">
        <is>
          <t/>
        </is>
      </c>
      <c r="Q429" s="25" t="n">
        <v>2013.0</v>
      </c>
      <c r="R429" s="113">
        <f>HYPERLINK("https://my.pitchbook.com?c=97340-68", "View company online")</f>
      </c>
    </row>
    <row r="430">
      <c r="A430" s="27" t="inlineStr">
        <is>
          <t>56088-28</t>
        </is>
      </c>
      <c r="B430" s="28" t="inlineStr">
        <is>
          <t>Waygo</t>
        </is>
      </c>
      <c r="C430" s="29" t="inlineStr">
        <is>
          <t>94042</t>
        </is>
      </c>
      <c r="D430" s="30" t="inlineStr">
        <is>
          <t>Provider of a smartphone translation application for international travelers. The company's translation application helps expats, tourists and business travelers understand Chinese, Korean and Japanese language.</t>
        </is>
      </c>
      <c r="E430" s="31" t="inlineStr">
        <is>
          <t>Application Software</t>
        </is>
      </c>
      <c r="F430" s="32" t="inlineStr">
        <is>
          <t>Mountain View, CA</t>
        </is>
      </c>
      <c r="G430" s="33" t="inlineStr">
        <is>
          <t>Privately Held (backing)</t>
        </is>
      </c>
      <c r="H430" s="34" t="inlineStr">
        <is>
          <t>Venture Capital-Backed</t>
        </is>
      </c>
      <c r="I430" s="35" t="inlineStr">
        <is>
          <t>500 Startups, AngelVest Group, Betaspring, David McClure, East Ventures, Golden Gate Ventures, Individual Investor, Presence Capital, Super Ventures</t>
        </is>
      </c>
      <c r="J430" s="36" t="inlineStr">
        <is>
          <t>www.waygoapp.com</t>
        </is>
      </c>
      <c r="K430" s="37" t="inlineStr">
        <is>
          <t>info@translateabroad.com</t>
        </is>
      </c>
      <c r="L430" s="38" t="inlineStr">
        <is>
          <t/>
        </is>
      </c>
      <c r="M430" s="39" t="inlineStr">
        <is>
          <t>Ryan Rogowski</t>
        </is>
      </c>
      <c r="N430" s="40" t="inlineStr">
        <is>
          <t>Chief Executive Officer &amp; Co-Founder</t>
        </is>
      </c>
      <c r="O430" s="41" t="inlineStr">
        <is>
          <t>ryan@waygoapp.com</t>
        </is>
      </c>
      <c r="P430" s="42" t="inlineStr">
        <is>
          <t/>
        </is>
      </c>
      <c r="Q430" s="43" t="n">
        <v>2010.0</v>
      </c>
      <c r="R430" s="114">
        <f>HYPERLINK("https://my.pitchbook.com?c=56088-28", "View company online")</f>
      </c>
    </row>
    <row r="431">
      <c r="A431" s="9" t="inlineStr">
        <is>
          <t>58417-39</t>
        </is>
      </c>
      <c r="B431" s="10" t="inlineStr">
        <is>
          <t>Wayfare Interactive Network</t>
        </is>
      </c>
      <c r="C431" s="11" t="inlineStr">
        <is>
          <t>94402</t>
        </is>
      </c>
      <c r="D431" s="12" t="inlineStr">
        <is>
          <t>Operator of an e-commerce advertisement platform. The company provides a technology platform that helps advertisers and content publishers improve monetization and revenues while enhancing the user experience.</t>
        </is>
      </c>
      <c r="E431" s="13" t="inlineStr">
        <is>
          <t>Business/Productivity Software</t>
        </is>
      </c>
      <c r="F431" s="14" t="inlineStr">
        <is>
          <t>San Mateo, CA</t>
        </is>
      </c>
      <c r="G431" s="15" t="inlineStr">
        <is>
          <t>Privately Held (backing)</t>
        </is>
      </c>
      <c r="H431" s="16" t="inlineStr">
        <is>
          <t>Venture Capital-Backed</t>
        </is>
      </c>
      <c r="I431" s="17" t="inlineStr">
        <is>
          <t/>
        </is>
      </c>
      <c r="J431" s="18" t="inlineStr">
        <is>
          <t>www.wayfareinteractive.com</t>
        </is>
      </c>
      <c r="K431" s="19" t="inlineStr">
        <is>
          <t>info@wayfareinteractive.com</t>
        </is>
      </c>
      <c r="L431" s="20" t="inlineStr">
        <is>
          <t>+1 (650) 235-7900</t>
        </is>
      </c>
      <c r="M431" s="21" t="inlineStr">
        <is>
          <t>Diana Wong</t>
        </is>
      </c>
      <c r="N431" s="22" t="inlineStr">
        <is>
          <t>Controller</t>
        </is>
      </c>
      <c r="O431" s="23" t="inlineStr">
        <is>
          <t>dwong@wayfareinteractive.com</t>
        </is>
      </c>
      <c r="P431" s="24" t="inlineStr">
        <is>
          <t>+1 (650) 235-7900</t>
        </is>
      </c>
      <c r="Q431" s="25" t="n">
        <v>2010.0</v>
      </c>
      <c r="R431" s="113">
        <f>HYPERLINK("https://my.pitchbook.com?c=58417-39", "View company online")</f>
      </c>
    </row>
    <row r="432">
      <c r="A432" s="27" t="inlineStr">
        <is>
          <t>123464-71</t>
        </is>
      </c>
      <c r="B432" s="28" t="inlineStr">
        <is>
          <t>Way2B1.com</t>
        </is>
      </c>
      <c r="C432" s="29" t="inlineStr">
        <is>
          <t>94301</t>
        </is>
      </c>
      <c r="D432" s="30" t="inlineStr">
        <is>
          <t>The company is currently operating in Stealth mode.</t>
        </is>
      </c>
      <c r="E432" s="31" t="inlineStr">
        <is>
          <t>Other Business Products and Services</t>
        </is>
      </c>
      <c r="F432" s="32" t="inlineStr">
        <is>
          <t>Palo Alto, CA</t>
        </is>
      </c>
      <c r="G432" s="33" t="inlineStr">
        <is>
          <t>Privately Held (backing)</t>
        </is>
      </c>
      <c r="H432" s="34" t="inlineStr">
        <is>
          <t>Venture Capital-Backed</t>
        </is>
      </c>
      <c r="I432" s="35" t="inlineStr">
        <is>
          <t/>
        </is>
      </c>
      <c r="J432" s="36" t="inlineStr">
        <is>
          <t/>
        </is>
      </c>
      <c r="K432" s="37" t="inlineStr">
        <is>
          <t/>
        </is>
      </c>
      <c r="L432" s="38" t="inlineStr">
        <is>
          <t>+1 (650) 308-4808</t>
        </is>
      </c>
      <c r="M432" s="39" t="inlineStr">
        <is>
          <t>Casey Ketterling</t>
        </is>
      </c>
      <c r="N432" s="40" t="inlineStr">
        <is>
          <t>Co-Founder, Chief Technology Officer &amp; Board Member</t>
        </is>
      </c>
      <c r="O432" s="41" t="inlineStr">
        <is>
          <t>casey@way2b1.com</t>
        </is>
      </c>
      <c r="P432" s="42" t="inlineStr">
        <is>
          <t>+1 (650) 308-4808</t>
        </is>
      </c>
      <c r="Q432" s="43" t="n">
        <v>2015.0</v>
      </c>
      <c r="R432" s="114">
        <f>HYPERLINK("https://my.pitchbook.com?c=123464-71", "View company online")</f>
      </c>
    </row>
    <row r="433">
      <c r="A433" s="9" t="inlineStr">
        <is>
          <t>156221-83</t>
        </is>
      </c>
      <c r="B433" s="10" t="inlineStr">
        <is>
          <t>Way.com</t>
        </is>
      </c>
      <c r="C433" s="11" t="inlineStr">
        <is>
          <t>94085</t>
        </is>
      </c>
      <c r="D433" s="12" t="inlineStr">
        <is>
          <t>Provider of a concierge service platform. The company offers a marketplace which allows users to find information on services such as food delivery, parking reservation and ticket booking and order them online.</t>
        </is>
      </c>
      <c r="E433" s="13" t="inlineStr">
        <is>
          <t>Social/Platform Software</t>
        </is>
      </c>
      <c r="F433" s="14" t="inlineStr">
        <is>
          <t>Sunnyvale, CA</t>
        </is>
      </c>
      <c r="G433" s="15" t="inlineStr">
        <is>
          <t>Privately Held (backing)</t>
        </is>
      </c>
      <c r="H433" s="16" t="inlineStr">
        <is>
          <t>Venture Capital-Backed</t>
        </is>
      </c>
      <c r="I433" s="17" t="inlineStr">
        <is>
          <t>Agnus Capital</t>
        </is>
      </c>
      <c r="J433" s="18" t="inlineStr">
        <is>
          <t>www.way.com</t>
        </is>
      </c>
      <c r="K433" s="19" t="inlineStr">
        <is>
          <t>hello@way.com</t>
        </is>
      </c>
      <c r="L433" s="20" t="inlineStr">
        <is>
          <t>+1 (408) 598-3338</t>
        </is>
      </c>
      <c r="M433" s="21" t="inlineStr">
        <is>
          <t>Bhumi Bhutani</t>
        </is>
      </c>
      <c r="N433" s="22" t="inlineStr">
        <is>
          <t>Co-Founder &amp; Vice President, Strategic Alliances</t>
        </is>
      </c>
      <c r="O433" s="23" t="inlineStr">
        <is>
          <t>bhumi.bhutani@way.com</t>
        </is>
      </c>
      <c r="P433" s="24" t="inlineStr">
        <is>
          <t>+1 (408) 598-3338</t>
        </is>
      </c>
      <c r="Q433" s="25" t="n">
        <v>2012.0</v>
      </c>
      <c r="R433" s="113">
        <f>HYPERLINK("https://my.pitchbook.com?c=156221-83", "View company online")</f>
      </c>
    </row>
    <row r="434">
      <c r="A434" s="27" t="inlineStr">
        <is>
          <t>152295-40</t>
        </is>
      </c>
      <c r="B434" s="28" t="inlineStr">
        <is>
          <t>Waxelene</t>
        </is>
      </c>
      <c r="C434" s="29" t="inlineStr">
        <is>
          <t>94901</t>
        </is>
      </c>
      <c r="D434" s="30" t="inlineStr">
        <is>
          <t>Manufacturer of skin care products. The company provides alternative of petroleum jelly and hydrogenated oils for removing make-up, soothing and moisturizing.</t>
        </is>
      </c>
      <c r="E434" s="31" t="inlineStr">
        <is>
          <t>Personal Products</t>
        </is>
      </c>
      <c r="F434" s="32" t="inlineStr">
        <is>
          <t>San Rafael, CA</t>
        </is>
      </c>
      <c r="G434" s="33" t="inlineStr">
        <is>
          <t>Privately Held (backing)</t>
        </is>
      </c>
      <c r="H434" s="34" t="inlineStr">
        <is>
          <t>Venture Capital-Backed</t>
        </is>
      </c>
      <c r="I434" s="35" t="inlineStr">
        <is>
          <t>Ajay Prakash, Peter Platzer</t>
        </is>
      </c>
      <c r="J434" s="36" t="inlineStr">
        <is>
          <t>www.waxelene.com</t>
        </is>
      </c>
      <c r="K434" s="37" t="inlineStr">
        <is>
          <t>info@waxelene.com</t>
        </is>
      </c>
      <c r="L434" s="38" t="inlineStr">
        <is>
          <t>+1 (800) 511-5983</t>
        </is>
      </c>
      <c r="M434" s="39" t="inlineStr">
        <is>
          <t>Chris Remington</t>
        </is>
      </c>
      <c r="N434" s="40" t="inlineStr">
        <is>
          <t>Co-Founder, Chief Financial Officer, Chief Operating Officer &amp; Board Member</t>
        </is>
      </c>
      <c r="O434" s="41" t="inlineStr">
        <is>
          <t/>
        </is>
      </c>
      <c r="P434" s="42" t="inlineStr">
        <is>
          <t>+1 (800) 511-5983</t>
        </is>
      </c>
      <c r="Q434" s="43" t="n">
        <v>2010.0</v>
      </c>
      <c r="R434" s="114">
        <f>HYPERLINK("https://my.pitchbook.com?c=152295-40", "View company online")</f>
      </c>
    </row>
    <row r="435">
      <c r="A435" s="9" t="inlineStr">
        <is>
          <t>169888-60</t>
        </is>
      </c>
      <c r="B435" s="10" t="inlineStr">
        <is>
          <t>Wavious</t>
        </is>
      </c>
      <c r="C435" s="11" t="inlineStr">
        <is>
          <t>92126</t>
        </is>
      </c>
      <c r="D435" s="12" t="inlineStr">
        <is>
          <t>Developer of a creative and innovative platform based solution addressing economics of innovation that has adversely affected the semiconductor industry growth. The company's software configurable platform helps in significant system level NRE , production cost and BoM reduction to address vertical and adjacent markets with optimum performance and power at lowest cost structure.</t>
        </is>
      </c>
      <c r="E435" s="13" t="inlineStr">
        <is>
          <t>Other Business Products and Services</t>
        </is>
      </c>
      <c r="F435" s="14" t="inlineStr">
        <is>
          <t>San Diego, CA</t>
        </is>
      </c>
      <c r="G435" s="15" t="inlineStr">
        <is>
          <t>Privately Held (backing)</t>
        </is>
      </c>
      <c r="H435" s="16" t="inlineStr">
        <is>
          <t>Venture Capital-Backed</t>
        </is>
      </c>
      <c r="I435" s="17" t="inlineStr">
        <is>
          <t>Bridgewest Group</t>
        </is>
      </c>
      <c r="J435" s="18" t="inlineStr">
        <is>
          <t>www.wavious.com</t>
        </is>
      </c>
      <c r="K435" s="19" t="inlineStr">
        <is>
          <t>info@wavious.com</t>
        </is>
      </c>
      <c r="L435" s="20" t="inlineStr">
        <is>
          <t>+1 (858) 335-3608</t>
        </is>
      </c>
      <c r="M435" s="21" t="inlineStr">
        <is>
          <t/>
        </is>
      </c>
      <c r="N435" s="22" t="inlineStr">
        <is>
          <t/>
        </is>
      </c>
      <c r="O435" s="23" t="inlineStr">
        <is>
          <t/>
        </is>
      </c>
      <c r="P435" s="24" t="inlineStr">
        <is>
          <t/>
        </is>
      </c>
      <c r="Q435" s="25" t="n">
        <v>2016.0</v>
      </c>
      <c r="R435" s="113">
        <f>HYPERLINK("https://my.pitchbook.com?c=169888-60", "View company online")</f>
      </c>
    </row>
    <row r="436">
      <c r="A436" s="27" t="inlineStr">
        <is>
          <t>53666-83</t>
        </is>
      </c>
      <c r="B436" s="28" t="inlineStr">
        <is>
          <t>WaveSplitter Technologies</t>
        </is>
      </c>
      <c r="C436" s="29" t="inlineStr">
        <is>
          <t>94539</t>
        </is>
      </c>
      <c r="D436" s="30" t="inlineStr">
        <is>
          <t>Manufacturer of optical components and modules designed to offer telecommunication services. The company's optical components and modules include development and distribution of wide variety of optical transceivers, cable extenders and fused fiber and planar light-guide circuit products, like pump laser combiners, optical channel inter-leavers, arrayed wave-guide gratings, couplers, WDMs, and drop thin-film filters, enabling optical systems manufacturers, enterprise, data center, and service provider customers to lower the cost of their optical infrastructure while simultaneously increasing the performance and capacity of their optical networks.</t>
        </is>
      </c>
      <c r="E436" s="31" t="inlineStr">
        <is>
          <t>Other Communications and Networking</t>
        </is>
      </c>
      <c r="F436" s="32" t="inlineStr">
        <is>
          <t>Fremont, CA</t>
        </is>
      </c>
      <c r="G436" s="33" t="inlineStr">
        <is>
          <t>Privately Held (backing)</t>
        </is>
      </c>
      <c r="H436" s="34" t="inlineStr">
        <is>
          <t>Venture Capital-Backed</t>
        </is>
      </c>
      <c r="I436" s="35" t="inlineStr">
        <is>
          <t>CDIB Capital International, China Development Financial Holding, Kalkhoven, Pettit, Levin &amp; Johnson Ventures, Lake Street Capital, Lucent Venture Partners, Mayfield Fund, Newbury Ventures, NIF Ventures, North America Venture Fund, Star Ventures, Thomas Weisel Partners Group</t>
        </is>
      </c>
      <c r="J436" s="36" t="inlineStr">
        <is>
          <t>www.wavesplitter.com</t>
        </is>
      </c>
      <c r="K436" s="37" t="inlineStr">
        <is>
          <t>info@wavesplitter.com</t>
        </is>
      </c>
      <c r="L436" s="38" t="inlineStr">
        <is>
          <t>+1 (925) 596-0414</t>
        </is>
      </c>
      <c r="M436" s="39" t="inlineStr">
        <is>
          <t>Sheau Chen</t>
        </is>
      </c>
      <c r="N436" s="40" t="inlineStr">
        <is>
          <t>Founder, Chairman &amp; Chief Executive Officer</t>
        </is>
      </c>
      <c r="O436" s="41" t="inlineStr">
        <is>
          <t>sheau_chen@wavesplitter.com</t>
        </is>
      </c>
      <c r="P436" s="42" t="inlineStr">
        <is>
          <t>+1 (925) 596-0414</t>
        </is>
      </c>
      <c r="Q436" s="43" t="n">
        <v>1996.0</v>
      </c>
      <c r="R436" s="114">
        <f>HYPERLINK("https://my.pitchbook.com?c=53666-83", "View company online")</f>
      </c>
    </row>
    <row r="437">
      <c r="A437" s="9" t="inlineStr">
        <is>
          <t>110140-30</t>
        </is>
      </c>
      <c r="B437" s="10" t="inlineStr">
        <is>
          <t>Wavesense</t>
        </is>
      </c>
      <c r="C437" s="11" t="inlineStr">
        <is>
          <t>92618</t>
        </is>
      </c>
      <c r="D437" s="12" t="inlineStr">
        <is>
          <t>Provider of medical devices for targeted cell isolation and enrichment. The company designs and develops in-vitro diagnostic (IVD) devices for cancer centers, laboratories, diagnostic equipment manufacturers and pharmaceutical companies.</t>
        </is>
      </c>
      <c r="E437" s="13" t="inlineStr">
        <is>
          <t>Diagnostic Equipment</t>
        </is>
      </c>
      <c r="F437" s="14" t="inlineStr">
        <is>
          <t>Irvine, CA</t>
        </is>
      </c>
      <c r="G437" s="15" t="inlineStr">
        <is>
          <t>Privately Held (backing)</t>
        </is>
      </c>
      <c r="H437" s="16" t="inlineStr">
        <is>
          <t>Venture Capital-Backed</t>
        </is>
      </c>
      <c r="I437" s="17" t="inlineStr">
        <is>
          <t>Signatures Capital</t>
        </is>
      </c>
      <c r="J437" s="18" t="inlineStr">
        <is>
          <t>www.wavesense.com</t>
        </is>
      </c>
      <c r="K437" s="19" t="inlineStr">
        <is>
          <t>info@wavesense.com</t>
        </is>
      </c>
      <c r="L437" s="20" t="inlineStr">
        <is>
          <t>+1 (949) 341-1980</t>
        </is>
      </c>
      <c r="M437" s="21" t="inlineStr">
        <is>
          <t>Chris Feistel</t>
        </is>
      </c>
      <c r="N437" s="22" t="inlineStr">
        <is>
          <t>Chief Technology Officer &amp; Co-Founder</t>
        </is>
      </c>
      <c r="O437" s="23" t="inlineStr">
        <is>
          <t>chris@wavesense.com</t>
        </is>
      </c>
      <c r="P437" s="24" t="inlineStr">
        <is>
          <t>+1 (949) 341-1980</t>
        </is>
      </c>
      <c r="Q437" s="25" t="n">
        <v>1999.0</v>
      </c>
      <c r="R437" s="113">
        <f>HYPERLINK("https://my.pitchbook.com?c=110140-30", "View company online")</f>
      </c>
    </row>
    <row r="438">
      <c r="A438" s="27" t="inlineStr">
        <is>
          <t>52242-22</t>
        </is>
      </c>
      <c r="B438" s="28" t="inlineStr">
        <is>
          <t>Wavepoint Ventures</t>
        </is>
      </c>
      <c r="C438" s="29" t="inlineStr">
        <is>
          <t>94025</t>
        </is>
      </c>
      <c r="D438" s="30" t="inlineStr">
        <is>
          <t>Operator of a venture capital firm focusing on seed and early stage financing. The company invests within communities with a focus on medical, clean technology and healthcare industry software.</t>
        </is>
      </c>
      <c r="E438" s="31" t="inlineStr">
        <is>
          <t>Private Equity</t>
        </is>
      </c>
      <c r="F438" s="32" t="inlineStr">
        <is>
          <t>Menlo Park, CA</t>
        </is>
      </c>
      <c r="G438" s="33" t="inlineStr">
        <is>
          <t>Privately Held (backing)</t>
        </is>
      </c>
      <c r="H438" s="34" t="inlineStr">
        <is>
          <t>Venture Capital-Backed</t>
        </is>
      </c>
      <c r="I438" s="35" t="inlineStr">
        <is>
          <t>Vencore Capital</t>
        </is>
      </c>
      <c r="J438" s="36" t="inlineStr">
        <is>
          <t>www.wavepointventures.com</t>
        </is>
      </c>
      <c r="K438" s="37" t="inlineStr">
        <is>
          <t/>
        </is>
      </c>
      <c r="L438" s="38" t="inlineStr">
        <is>
          <t>+1 (650) 331-7393</t>
        </is>
      </c>
      <c r="M438" s="39" t="inlineStr">
        <is>
          <t>Peter Gardner</t>
        </is>
      </c>
      <c r="N438" s="40" t="inlineStr">
        <is>
          <t>Managing Director</t>
        </is>
      </c>
      <c r="O438" s="41" t="inlineStr">
        <is>
          <t>peter@wavepointventures.com</t>
        </is>
      </c>
      <c r="P438" s="42" t="inlineStr">
        <is>
          <t>+1 (650) 331-7393</t>
        </is>
      </c>
      <c r="Q438" s="43" t="n">
        <v>2003.0</v>
      </c>
      <c r="R438" s="114">
        <f>HYPERLINK("https://my.pitchbook.com?c=52242-22", "View company online")</f>
      </c>
    </row>
    <row r="439">
      <c r="A439" s="9" t="inlineStr">
        <is>
          <t>51755-50</t>
        </is>
      </c>
      <c r="B439" s="10" t="inlineStr">
        <is>
          <t>Wavemaker Partners</t>
        </is>
      </c>
      <c r="C439" s="11" t="inlineStr">
        <is>
          <t>90401</t>
        </is>
      </c>
      <c r="D439" s="12" t="inlineStr">
        <is>
          <t>Operator of a venture capital firm. The company offers early stage funding to technology-driven startups based in Southern California and Southeast Asia.</t>
        </is>
      </c>
      <c r="E439" s="13" t="inlineStr">
        <is>
          <t>Private Equity</t>
        </is>
      </c>
      <c r="F439" s="14" t="inlineStr">
        <is>
          <t>Santa Monica, CA</t>
        </is>
      </c>
      <c r="G439" s="15" t="inlineStr">
        <is>
          <t>Privately Held (backing)</t>
        </is>
      </c>
      <c r="H439" s="16" t="inlineStr">
        <is>
          <t>Venture Capital-Backed</t>
        </is>
      </c>
      <c r="I439" s="17" t="inlineStr">
        <is>
          <t>Canyon Creek Capital, Karlin Ventures, Timothy Draper, Wavemaker Partners</t>
        </is>
      </c>
      <c r="J439" s="18" t="inlineStr">
        <is>
          <t>www.wavemaker.vc</t>
        </is>
      </c>
      <c r="K439" s="19" t="inlineStr">
        <is>
          <t/>
        </is>
      </c>
      <c r="L439" s="20" t="inlineStr">
        <is>
          <t>+1 (310) 861-2103</t>
        </is>
      </c>
      <c r="M439" s="21" t="inlineStr">
        <is>
          <t>Eric Manlunas</t>
        </is>
      </c>
      <c r="N439" s="22" t="inlineStr">
        <is>
          <t>Managing Partner &amp; Co-Founder</t>
        </is>
      </c>
      <c r="O439" s="23" t="inlineStr">
        <is>
          <t>eric@wavemaker.vc</t>
        </is>
      </c>
      <c r="P439" s="24" t="inlineStr">
        <is>
          <t>+1 (310) 861-2103</t>
        </is>
      </c>
      <c r="Q439" s="25" t="n">
        <v>2011.0</v>
      </c>
      <c r="R439" s="113">
        <f>HYPERLINK("https://my.pitchbook.com?c=51755-50", "View company online")</f>
      </c>
    </row>
    <row r="440">
      <c r="A440" s="27" t="inlineStr">
        <is>
          <t>55947-07</t>
        </is>
      </c>
      <c r="B440" s="28" t="inlineStr">
        <is>
          <t>Wavelet</t>
        </is>
      </c>
      <c r="C440" s="29" t="inlineStr">
        <is>
          <t>94043</t>
        </is>
      </c>
      <c r="D440" s="30" t="inlineStr">
        <is>
          <t>Developer of wearable devices designed to modernize clinical research. The company's wearable device tracks exercise, sleeping, heart rate and other activities of the body and provides feedback on iOS and Android platforms, enabling users to track their health on daily basis.</t>
        </is>
      </c>
      <c r="E440" s="31" t="inlineStr">
        <is>
          <t>Other Healthcare Technology Systems</t>
        </is>
      </c>
      <c r="F440" s="32" t="inlineStr">
        <is>
          <t>Mountain View, CA</t>
        </is>
      </c>
      <c r="G440" s="33" t="inlineStr">
        <is>
          <t>Privately Held (backing)</t>
        </is>
      </c>
      <c r="H440" s="34" t="inlineStr">
        <is>
          <t>Venture Capital-Backed</t>
        </is>
      </c>
      <c r="I440" s="35" t="inlineStr">
        <is>
          <t>Alpha Investment Partners, Flextronics Lab IX, Kickstart Seed Fund</t>
        </is>
      </c>
      <c r="J440" s="36" t="inlineStr">
        <is>
          <t>www.wavelethealth.com</t>
        </is>
      </c>
      <c r="K440" s="37" t="inlineStr">
        <is>
          <t>info@wavelethealth.com</t>
        </is>
      </c>
      <c r="L440" s="38" t="inlineStr">
        <is>
          <t>+1 (650) 422-0339</t>
        </is>
      </c>
      <c r="M440" s="39" t="inlineStr">
        <is>
          <t>David Scott</t>
        </is>
      </c>
      <c r="N440" s="40" t="inlineStr">
        <is>
          <t>Co-Founder &amp; Chief Operating Officer</t>
        </is>
      </c>
      <c r="O440" s="41" t="inlineStr">
        <is>
          <t>dscott@amiigo.co</t>
        </is>
      </c>
      <c r="P440" s="42" t="inlineStr">
        <is>
          <t>+1 (801) 618-5621</t>
        </is>
      </c>
      <c r="Q440" s="43" t="n">
        <v>2012.0</v>
      </c>
      <c r="R440" s="114">
        <f>HYPERLINK("https://my.pitchbook.com?c=55947-07", "View company online")</f>
      </c>
    </row>
    <row r="441">
      <c r="A441" s="9" t="inlineStr">
        <is>
          <t>100323-91</t>
        </is>
      </c>
      <c r="B441" s="10" t="inlineStr">
        <is>
          <t>Wavefront</t>
        </is>
      </c>
      <c r="C441" s="11" t="inlineStr">
        <is>
          <t>94306</t>
        </is>
      </c>
      <c r="D441" s="12" t="inlineStr">
        <is>
          <t>Provider of a cloud-based metrics monitoring platform designed to scale and improve customer experience. The company's cloud-based metrics monitoring platform is a real-time analytics platform enabling SaaS enterprises to visualize and query a wide range of metrics, including computing load and performance data.</t>
        </is>
      </c>
      <c r="E441" s="13" t="inlineStr">
        <is>
          <t>Database Software</t>
        </is>
      </c>
      <c r="F441" s="14" t="inlineStr">
        <is>
          <t>Palo Alto, CA</t>
        </is>
      </c>
      <c r="G441" s="15" t="inlineStr">
        <is>
          <t>Privately Held (backing)</t>
        </is>
      </c>
      <c r="H441" s="16" t="inlineStr">
        <is>
          <t>Venture Capital-Backed</t>
        </is>
      </c>
      <c r="I441" s="17" t="inlineStr">
        <is>
          <t>Arthur Patterson, Dell Technologies Capital, Kenny Van Zant, Sequoia Capital, Sutter Hill Ventures, Tenaya Capital, Webb Investment Network</t>
        </is>
      </c>
      <c r="J441" s="18" t="inlineStr">
        <is>
          <t>www.wavefront.com</t>
        </is>
      </c>
      <c r="K441" s="19" t="inlineStr">
        <is>
          <t>info@wavefront.com</t>
        </is>
      </c>
      <c r="L441" s="20" t="inlineStr">
        <is>
          <t/>
        </is>
      </c>
      <c r="M441" s="21" t="inlineStr">
        <is>
          <t>Durren Shen</t>
        </is>
      </c>
      <c r="N441" s="22" t="inlineStr">
        <is>
          <t>Co-Founder</t>
        </is>
      </c>
      <c r="O441" s="23" t="inlineStr">
        <is>
          <t>durren@wavefront.com</t>
        </is>
      </c>
      <c r="P441" s="24" t="inlineStr">
        <is>
          <t/>
        </is>
      </c>
      <c r="Q441" s="25" t="n">
        <v>2012.0</v>
      </c>
      <c r="R441" s="113">
        <f>HYPERLINK("https://my.pitchbook.com?c=100323-91", "View company online")</f>
      </c>
    </row>
    <row r="442">
      <c r="A442" s="27" t="inlineStr">
        <is>
          <t>179843-77</t>
        </is>
      </c>
      <c r="B442" s="28" t="inlineStr">
        <is>
          <t>Wavedash Games</t>
        </is>
      </c>
      <c r="C442" s="29" t="inlineStr">
        <is>
          <t>94114-1477</t>
        </is>
      </c>
      <c r="D442" s="30" t="inlineStr">
        <is>
          <t>Provider of gaming services intended to offer digital games for various online platform. The company's gaming services consists of games that can be played within various community, enabling the users to create a social group between them.</t>
        </is>
      </c>
      <c r="E442" s="31" t="inlineStr">
        <is>
          <t>Application Software</t>
        </is>
      </c>
      <c r="F442" s="32" t="inlineStr">
        <is>
          <t>San Francisco, CA</t>
        </is>
      </c>
      <c r="G442" s="33" t="inlineStr">
        <is>
          <t>Privately Held (backing)</t>
        </is>
      </c>
      <c r="H442" s="34" t="inlineStr">
        <is>
          <t>Venture Capital-Backed</t>
        </is>
      </c>
      <c r="I442" s="35" t="inlineStr">
        <is>
          <t>Advancit Capital, Cherry Tree Companies, Courtside Venture, Lowercase Capital, Luma Labs, Machine Shop Ventures, March Capital Partners</t>
        </is>
      </c>
      <c r="J442" s="36" t="inlineStr">
        <is>
          <t>www.wavedash.com</t>
        </is>
      </c>
      <c r="K442" s="37" t="inlineStr">
        <is>
          <t/>
        </is>
      </c>
      <c r="L442" s="38" t="inlineStr">
        <is>
          <t>+1 (214) 505-3938</t>
        </is>
      </c>
      <c r="M442" s="39" t="inlineStr">
        <is>
          <t>Jason Rice</t>
        </is>
      </c>
      <c r="N442" s="40" t="inlineStr">
        <is>
          <t>Co-Founder &amp; General Manager</t>
        </is>
      </c>
      <c r="O442" s="41" t="inlineStr">
        <is>
          <t>jason@wavedash.com</t>
        </is>
      </c>
      <c r="P442" s="42" t="inlineStr">
        <is>
          <t>+1 (214) 505-3938</t>
        </is>
      </c>
      <c r="Q442" s="43" t="n">
        <v>2015.0</v>
      </c>
      <c r="R442" s="114">
        <f>HYPERLINK("https://my.pitchbook.com?c=179843-77", "View company online")</f>
      </c>
    </row>
    <row r="443">
      <c r="A443" s="9" t="inlineStr">
        <is>
          <t>53712-19</t>
        </is>
      </c>
      <c r="B443" s="10" t="inlineStr">
        <is>
          <t>Wave Computing</t>
        </is>
      </c>
      <c r="C443" s="11" t="inlineStr">
        <is>
          <t>95008</t>
        </is>
      </c>
      <c r="D443" s="12" t="inlineStr">
        <is>
          <t>Developer of deep learning computers that are designed to massively improve the performance and scalability of machine learning training and inferencing. The company's solution is powered by data flow technology enabling the elimination CPUs, and co-processors such as GPUs and FPGAs. The company's computers improve machine learning performance up to 1,000x allowing businesses to analyze complex data in near real-time with accurate results.</t>
        </is>
      </c>
      <c r="E443" s="13" t="inlineStr">
        <is>
          <t>Computers, Parts and Peripherals</t>
        </is>
      </c>
      <c r="F443" s="14" t="inlineStr">
        <is>
          <t>Campbell, CA</t>
        </is>
      </c>
      <c r="G443" s="15" t="inlineStr">
        <is>
          <t>Privately Held (backing)</t>
        </is>
      </c>
      <c r="H443" s="16" t="inlineStr">
        <is>
          <t>Venture Capital-Backed</t>
        </is>
      </c>
      <c r="I443" s="17" t="inlineStr">
        <is>
          <t>Southern Cross Venture Partners, Tallwood Venture Capital</t>
        </is>
      </c>
      <c r="J443" s="18" t="inlineStr">
        <is>
          <t>www.wavecomp.ai</t>
        </is>
      </c>
      <c r="K443" s="19" t="inlineStr">
        <is>
          <t/>
        </is>
      </c>
      <c r="L443" s="20" t="inlineStr">
        <is>
          <t>+1 (408) 412-8645</t>
        </is>
      </c>
      <c r="M443" s="21" t="inlineStr">
        <is>
          <t>Derek Meyer</t>
        </is>
      </c>
      <c r="N443" s="22" t="inlineStr">
        <is>
          <t>Chief Executive Officer &amp; Board Member</t>
        </is>
      </c>
      <c r="O443" s="23" t="inlineStr">
        <is>
          <t>derek@wavecomp.ai</t>
        </is>
      </c>
      <c r="P443" s="24" t="inlineStr">
        <is>
          <t>+1 (408) 412-8645</t>
        </is>
      </c>
      <c r="Q443" s="25" t="n">
        <v>2009.0</v>
      </c>
      <c r="R443" s="113">
        <f>HYPERLINK("https://my.pitchbook.com?c=53712-19", "View company online")</f>
      </c>
    </row>
    <row r="444">
      <c r="A444" s="27" t="inlineStr">
        <is>
          <t>166613-68</t>
        </is>
      </c>
      <c r="B444" s="28" t="inlineStr">
        <is>
          <t>Wattz</t>
        </is>
      </c>
      <c r="C444" s="29" t="inlineStr">
        <is>
          <t/>
        </is>
      </c>
      <c r="D444" s="30" t="inlineStr">
        <is>
          <t>Developer of an energy harvesting device. The company develops a device which enables harvesting of ambient energy from solar, vibration and thermal sources for powering IoT devices.</t>
        </is>
      </c>
      <c r="E444" s="31" t="inlineStr">
        <is>
          <t>Electronics (B2C)</t>
        </is>
      </c>
      <c r="F444" s="32" t="inlineStr">
        <is>
          <t>San Francisco, CA</t>
        </is>
      </c>
      <c r="G444" s="33" t="inlineStr">
        <is>
          <t>Privately Held (backing)</t>
        </is>
      </c>
      <c r="H444" s="34" t="inlineStr">
        <is>
          <t>Venture Capital-Backed</t>
        </is>
      </c>
      <c r="I444" s="35" t="inlineStr">
        <is>
          <t>Alchemist Accelerator, Draper Fisher Jurvetson, Khosla Ventures, Tumml</t>
        </is>
      </c>
      <c r="J444" s="36" t="inlineStr">
        <is>
          <t>www.wattz.io</t>
        </is>
      </c>
      <c r="K444" s="37" t="inlineStr">
        <is>
          <t/>
        </is>
      </c>
      <c r="L444" s="38" t="inlineStr">
        <is>
          <t>+1 (415) 849-5604</t>
        </is>
      </c>
      <c r="M444" s="39" t="inlineStr">
        <is>
          <t>Alan Mathews</t>
        </is>
      </c>
      <c r="N444" s="40" t="inlineStr">
        <is>
          <t>Co-Founder &amp; Chief Product Officer</t>
        </is>
      </c>
      <c r="O444" s="41" t="inlineStr">
        <is>
          <t>alan@wattz.io</t>
        </is>
      </c>
      <c r="P444" s="42" t="inlineStr">
        <is>
          <t>+1 (415) 849-5604</t>
        </is>
      </c>
      <c r="Q444" s="43" t="n">
        <v>2016.0</v>
      </c>
      <c r="R444" s="114">
        <f>HYPERLINK("https://my.pitchbook.com?c=166613-68", "View company online")</f>
      </c>
    </row>
    <row r="445">
      <c r="A445" s="9" t="inlineStr">
        <is>
          <t>52773-22</t>
        </is>
      </c>
      <c r="B445" s="10" t="inlineStr">
        <is>
          <t>Wattpad</t>
        </is>
      </c>
      <c r="C445" s="11" t="inlineStr">
        <is>
          <t>M2M 3V5</t>
        </is>
      </c>
      <c r="D445" s="12" t="inlineStr">
        <is>
          <t>Operator of an online storytelling community for readers and writers designed to make it easy to read and write online or offline. The company's storytelling platform allows people from everywhere to participate and collaborate on content through comments, messages and multimedia, enabling them to access and share content easily.</t>
        </is>
      </c>
      <c r="E445" s="13" t="inlineStr">
        <is>
          <t>Social Content</t>
        </is>
      </c>
      <c r="F445" s="14" t="inlineStr">
        <is>
          <t>Toronto, Canada</t>
        </is>
      </c>
      <c r="G445" s="15" t="inlineStr">
        <is>
          <t>Privately Held (backing)</t>
        </is>
      </c>
      <c r="H445" s="16" t="inlineStr">
        <is>
          <t>Venture Capital-Backed</t>
        </is>
      </c>
      <c r="I445" s="17" t="inlineStr">
        <is>
          <t>Alan Levine, AME Cloud Ventures, August Capital, BDC Capital IT Venture Fund, Benjamin Ling, Bert Amato, Golden Venture Partners, Gordon Rubenstein, Harvey Beck, Hercules Capital, Individual Investor, Jerry Yang, Khosla Ventures, Northleaf Capital Partners, OMERS Ventures, Raine Ventures, Union Square Ventures, Version One Ventures, Vinod Khosla</t>
        </is>
      </c>
      <c r="J445" s="18" t="inlineStr">
        <is>
          <t>www.wattpad.com</t>
        </is>
      </c>
      <c r="K445" s="19" t="inlineStr">
        <is>
          <t>report@wattpad.com</t>
        </is>
      </c>
      <c r="L445" s="20" t="inlineStr">
        <is>
          <t>+1 (416) 479-9694</t>
        </is>
      </c>
      <c r="M445" s="21" t="inlineStr">
        <is>
          <t>Allen Lau</t>
        </is>
      </c>
      <c r="N445" s="22" t="inlineStr">
        <is>
          <t>Co-Founder, Chief Executive Officer &amp; Board Member</t>
        </is>
      </c>
      <c r="O445" s="23" t="inlineStr">
        <is>
          <t>allen@twosmallfishventures.com</t>
        </is>
      </c>
      <c r="P445" s="24" t="inlineStr">
        <is>
          <t>+1 (416) 479-9694</t>
        </is>
      </c>
      <c r="Q445" s="25" t="n">
        <v>2006.0</v>
      </c>
      <c r="R445" s="113">
        <f>HYPERLINK("https://my.pitchbook.com?c=52773-22", "View company online")</f>
      </c>
    </row>
    <row r="446">
      <c r="A446" s="27" t="inlineStr">
        <is>
          <t>64704-34</t>
        </is>
      </c>
      <c r="B446" s="28" t="inlineStr">
        <is>
          <t>Waterstone Management Group</t>
        </is>
      </c>
      <c r="C446" s="29" t="inlineStr">
        <is>
          <t>60606</t>
        </is>
      </c>
      <c r="D446" s="30" t="inlineStr">
        <is>
          <t>Publisher of software applications. The company provides TTPod Music player, a smartphone application for downloading and playing music videos and the software also features cloud backup and a music library of more than ten million songs.</t>
        </is>
      </c>
      <c r="E446" s="31" t="inlineStr">
        <is>
          <t>Social/Platform Software</t>
        </is>
      </c>
      <c r="F446" s="32" t="inlineStr">
        <is>
          <t>Chicago, IL</t>
        </is>
      </c>
      <c r="G446" s="33" t="inlineStr">
        <is>
          <t>Privately Held (backing)</t>
        </is>
      </c>
      <c r="H446" s="34" t="inlineStr">
        <is>
          <t>Venture Capital-Backed</t>
        </is>
      </c>
      <c r="I446" s="35" t="inlineStr">
        <is>
          <t>Morningside Group</t>
        </is>
      </c>
      <c r="J446" s="36" t="inlineStr">
        <is>
          <t>www.waterstonegroup.com</t>
        </is>
      </c>
      <c r="K446" s="37" t="inlineStr">
        <is>
          <t>information@waterstonegroup.com</t>
        </is>
      </c>
      <c r="L446" s="38" t="inlineStr">
        <is>
          <t>+1 (877) 603-1113</t>
        </is>
      </c>
      <c r="M446" s="39" t="inlineStr">
        <is>
          <t>Mark Hauser</t>
        </is>
      </c>
      <c r="N446" s="40" t="inlineStr">
        <is>
          <t>Managing Director &amp; Co-Founder</t>
        </is>
      </c>
      <c r="O446" s="41" t="inlineStr">
        <is>
          <t>mhauser@waterstonegroup.com</t>
        </is>
      </c>
      <c r="P446" s="42" t="inlineStr">
        <is>
          <t>+1 (877) 603-1113</t>
        </is>
      </c>
      <c r="Q446" s="43" t="n">
        <v>2003.0</v>
      </c>
      <c r="R446" s="114">
        <f>HYPERLINK("https://my.pitchbook.com?c=64704-34", "View company online")</f>
      </c>
    </row>
    <row r="447">
      <c r="A447" s="9" t="inlineStr">
        <is>
          <t>52200-46</t>
        </is>
      </c>
      <c r="B447" s="10" t="inlineStr">
        <is>
          <t>WaterSmart Software</t>
        </is>
      </c>
      <c r="C447" s="11" t="inlineStr">
        <is>
          <t>94111</t>
        </is>
      </c>
      <c r="D447" s="12" t="inlineStr">
        <is>
          <t>Provider of a customer engagement and data analytics software for water utilities. The company offers a cloud-based software helping water utilities educate and engage their customers to save water and money.</t>
        </is>
      </c>
      <c r="E447" s="13" t="inlineStr">
        <is>
          <t>Environmental Services (B2B)</t>
        </is>
      </c>
      <c r="F447" s="14" t="inlineStr">
        <is>
          <t>San Francisco, CA</t>
        </is>
      </c>
      <c r="G447" s="15" t="inlineStr">
        <is>
          <t>Privately Held (backing)</t>
        </is>
      </c>
      <c r="H447" s="16" t="inlineStr">
        <is>
          <t>Venture Capital-Backed</t>
        </is>
      </c>
      <c r="I447" s="17" t="inlineStr">
        <is>
          <t>Apsara Capital, Dixon Doll, Draper Associates, Draper Fisher Jurvetson, Energy Excelerator, Imagine H2O, Menlo Incubator, Michael Kinsbergen, Physic Ventures, Sand Hill Angels, The Westly Group, Unilever Ventures</t>
        </is>
      </c>
      <c r="J447" s="18" t="inlineStr">
        <is>
          <t>www.watersmart.com</t>
        </is>
      </c>
      <c r="K447" s="19" t="inlineStr">
        <is>
          <t>info@watersmart.com</t>
        </is>
      </c>
      <c r="L447" s="20" t="inlineStr">
        <is>
          <t>+1 (415) 366-8622</t>
        </is>
      </c>
      <c r="M447" s="21" t="inlineStr">
        <is>
          <t>Peter Yolles</t>
        </is>
      </c>
      <c r="N447" s="22" t="inlineStr">
        <is>
          <t>Co-Founder, Chief Policy Officer &amp; Board Member</t>
        </is>
      </c>
      <c r="O447" s="23" t="inlineStr">
        <is>
          <t>peter@watersmartsoftware.com</t>
        </is>
      </c>
      <c r="P447" s="24" t="inlineStr">
        <is>
          <t>+1 (415) 366-8622</t>
        </is>
      </c>
      <c r="Q447" s="25" t="n">
        <v>2009.0</v>
      </c>
      <c r="R447" s="113">
        <f>HYPERLINK("https://my.pitchbook.com?c=52200-46", "View company online")</f>
      </c>
    </row>
    <row r="448">
      <c r="A448" s="27" t="inlineStr">
        <is>
          <t>121076-38</t>
        </is>
      </c>
      <c r="B448" s="28" t="inlineStr">
        <is>
          <t>WaterPods</t>
        </is>
      </c>
      <c r="C448" s="29" t="inlineStr">
        <is>
          <t>94301</t>
        </is>
      </c>
      <c r="D448" s="30" t="inlineStr">
        <is>
          <t>Provider of water treatment technologies. The company engages in offering waste water treatment services for residential purpose in California.</t>
        </is>
      </c>
      <c r="E448" s="31" t="inlineStr">
        <is>
          <t>Water Utilities</t>
        </is>
      </c>
      <c r="F448" s="32" t="inlineStr">
        <is>
          <t>Palo Alto, CA</t>
        </is>
      </c>
      <c r="G448" s="33" t="inlineStr">
        <is>
          <t>Privately Held (backing)</t>
        </is>
      </c>
      <c r="H448" s="34" t="inlineStr">
        <is>
          <t>Venture Capital-Backed</t>
        </is>
      </c>
      <c r="I448" s="35" t="inlineStr">
        <is>
          <t>Shalon Ventures</t>
        </is>
      </c>
      <c r="J448" s="36" t="inlineStr">
        <is>
          <t/>
        </is>
      </c>
      <c r="K448" s="37" t="inlineStr">
        <is>
          <t/>
        </is>
      </c>
      <c r="L448" s="38" t="inlineStr">
        <is>
          <t>+1 (650) 566-8200</t>
        </is>
      </c>
      <c r="M448" s="39" t="inlineStr">
        <is>
          <t>Tadmor Shalon</t>
        </is>
      </c>
      <c r="N448" s="40" t="inlineStr">
        <is>
          <t>Chief Executive Officer, Founder, Board Member, Promoter &amp; President</t>
        </is>
      </c>
      <c r="O448" s="41" t="inlineStr">
        <is>
          <t/>
        </is>
      </c>
      <c r="P448" s="42" t="inlineStr">
        <is>
          <t>+1 (650) 566-8200</t>
        </is>
      </c>
      <c r="Q448" s="43" t="n">
        <v>2011.0</v>
      </c>
      <c r="R448" s="114">
        <f>HYPERLINK("https://my.pitchbook.com?c=121076-38", "View company online")</f>
      </c>
    </row>
    <row r="449">
      <c r="A449" s="9" t="inlineStr">
        <is>
          <t>61124-41</t>
        </is>
      </c>
      <c r="B449" s="10" t="inlineStr">
        <is>
          <t>Waterline Data</t>
        </is>
      </c>
      <c r="C449" s="11" t="inlineStr">
        <is>
          <t>94040</t>
        </is>
      </c>
      <c r="D449" s="12" t="inlineStr">
        <is>
          <t>Provider of enterprise data catalog with automated machine-learning driven data discovery and classification, compliance (such as GDPR), data lifecycle management and data rationalization software. The company's enterprise software is purposed for big data as well as cloud and relational databases.</t>
        </is>
      </c>
      <c r="E449" s="13" t="inlineStr">
        <is>
          <t>Database Software</t>
        </is>
      </c>
      <c r="F449" s="14" t="inlineStr">
        <is>
          <t>Mountain View, CA</t>
        </is>
      </c>
      <c r="G449" s="15" t="inlineStr">
        <is>
          <t>Privately Held (backing)</t>
        </is>
      </c>
      <c r="H449" s="16" t="inlineStr">
        <is>
          <t>Venture Capital-Backed</t>
        </is>
      </c>
      <c r="I449" s="17" t="inlineStr">
        <is>
          <t>Anthony McCusker, Dipchand Nishar, Infosys, Jackson Square Ventures, James Markarian, Menlo Ventures, Partech Ventures</t>
        </is>
      </c>
      <c r="J449" s="18" t="inlineStr">
        <is>
          <t>www.waterlinedata.com</t>
        </is>
      </c>
      <c r="K449" s="19" t="inlineStr">
        <is>
          <t/>
        </is>
      </c>
      <c r="L449" s="20" t="inlineStr">
        <is>
          <t>+1 (650) 946-2104</t>
        </is>
      </c>
      <c r="M449" s="21" t="inlineStr">
        <is>
          <t>Alex Gorelik</t>
        </is>
      </c>
      <c r="N449" s="22" t="inlineStr">
        <is>
          <t>Founder, Board Member &amp; Chief Executive Officer</t>
        </is>
      </c>
      <c r="O449" s="23" t="inlineStr">
        <is>
          <t>alex@waterlinedata.com</t>
        </is>
      </c>
      <c r="P449" s="24" t="inlineStr">
        <is>
          <t>+1 (650) 946-2104</t>
        </is>
      </c>
      <c r="Q449" s="25" t="n">
        <v>2013.0</v>
      </c>
      <c r="R449" s="113">
        <f>HYPERLINK("https://my.pitchbook.com?c=61124-41", "View company online")</f>
      </c>
    </row>
    <row r="450">
      <c r="A450" s="27" t="inlineStr">
        <is>
          <t>117530-38</t>
        </is>
      </c>
      <c r="B450" s="28" t="inlineStr">
        <is>
          <t>WaterCity</t>
        </is>
      </c>
      <c r="C450" s="29" t="inlineStr">
        <is>
          <t/>
        </is>
      </c>
      <c r="D450" s="30" t="inlineStr">
        <is>
          <t>Provider of a laundry water recycling system. The company has developed a water recycling system designed for capturing and reusing waste water from washing machines. The system includes controls to monitor re-usage statistics and cost savings.</t>
        </is>
      </c>
      <c r="E450" s="31" t="inlineStr">
        <is>
          <t>Other Commercial Products</t>
        </is>
      </c>
      <c r="F450" s="32" t="inlineStr">
        <is>
          <t>Monterey, CA</t>
        </is>
      </c>
      <c r="G450" s="33" t="inlineStr">
        <is>
          <t>Privately Held (backing)</t>
        </is>
      </c>
      <c r="H450" s="34" t="inlineStr">
        <is>
          <t>Venture Capital-Backed</t>
        </is>
      </c>
      <c r="I450" s="35" t="inlineStr">
        <is>
          <t/>
        </is>
      </c>
      <c r="J450" s="36" t="inlineStr">
        <is>
          <t>www.watercity.biz</t>
        </is>
      </c>
      <c r="K450" s="37" t="inlineStr">
        <is>
          <t/>
        </is>
      </c>
      <c r="L450" s="38" t="inlineStr">
        <is>
          <t/>
        </is>
      </c>
      <c r="M450" s="39" t="inlineStr">
        <is>
          <t>Maeve du Toit</t>
        </is>
      </c>
      <c r="N450" s="40" t="inlineStr">
        <is>
          <t>Co-Founder &amp; Chief Executive Officer</t>
        </is>
      </c>
      <c r="O450" s="41" t="inlineStr">
        <is>
          <t/>
        </is>
      </c>
      <c r="P450" s="42" t="inlineStr">
        <is>
          <t/>
        </is>
      </c>
      <c r="Q450" s="43" t="n">
        <v>2014.0</v>
      </c>
      <c r="R450" s="114">
        <f>HYPERLINK("https://my.pitchbook.com?c=117530-38", "View company online")</f>
      </c>
    </row>
    <row r="451">
      <c r="A451" s="9" t="inlineStr">
        <is>
          <t>166869-28</t>
        </is>
      </c>
      <c r="B451" s="10" t="inlineStr">
        <is>
          <t>Waterbit</t>
        </is>
      </c>
      <c r="C451" s="11" t="inlineStr">
        <is>
          <t>95054</t>
        </is>
      </c>
      <c r="D451" s="12" t="inlineStr">
        <is>
          <t>Developer of sensor system designed crop management in precision agriculture. The company's cloud-based wireless sensors enable farmers to detect soil conditions such as moisture, temperature and aridity, thereby enabling them to avoid crop failures and improve crop yields.</t>
        </is>
      </c>
      <c r="E451" s="13" t="inlineStr">
        <is>
          <t>Other Commercial Products</t>
        </is>
      </c>
      <c r="F451" s="14" t="inlineStr">
        <is>
          <t>Santa Clara, CA</t>
        </is>
      </c>
      <c r="G451" s="15" t="inlineStr">
        <is>
          <t>Privately Held (backing)</t>
        </is>
      </c>
      <c r="H451" s="16" t="inlineStr">
        <is>
          <t>Venture Capital-Backed</t>
        </is>
      </c>
      <c r="I451" s="17" t="inlineStr">
        <is>
          <t>Innolinks Ventures, Lab360 Hardware Incubator, National Science Foundation, Shenzhen Valley Ventures, Water Center</t>
        </is>
      </c>
      <c r="J451" s="18" t="inlineStr">
        <is>
          <t>www.waterbit.net</t>
        </is>
      </c>
      <c r="K451" s="19" t="inlineStr">
        <is>
          <t>info@waterbit.ne</t>
        </is>
      </c>
      <c r="L451" s="20" t="inlineStr">
        <is>
          <t>+1 (408) 618-6900</t>
        </is>
      </c>
      <c r="M451" s="21" t="inlineStr">
        <is>
          <t>Leif Chastaine</t>
        </is>
      </c>
      <c r="N451" s="22" t="inlineStr">
        <is>
          <t>Co-Founder &amp; Chief Operating Officer</t>
        </is>
      </c>
      <c r="O451" s="23" t="inlineStr">
        <is>
          <t>leif@waterbit.net</t>
        </is>
      </c>
      <c r="P451" s="24" t="inlineStr">
        <is>
          <t>+1 (208) 890-1043</t>
        </is>
      </c>
      <c r="Q451" s="25" t="n">
        <v>2015.0</v>
      </c>
      <c r="R451" s="113">
        <f>HYPERLINK("https://my.pitchbook.com?c=166869-28", "View company online")</f>
      </c>
    </row>
    <row r="452">
      <c r="A452" s="27" t="inlineStr">
        <is>
          <t>58947-94</t>
        </is>
      </c>
      <c r="B452" s="28" t="inlineStr">
        <is>
          <t>Water Planet</t>
        </is>
      </c>
      <c r="C452" s="29" t="inlineStr">
        <is>
          <t>90301</t>
        </is>
      </c>
      <c r="D452" s="30" t="inlineStr">
        <is>
          <t>Provider of water treatment products and services. The company develops and markets membrane-based wastewater treatment, water purification and filtration systems for industrial, municipal and agricultural use.</t>
        </is>
      </c>
      <c r="E452" s="31" t="inlineStr">
        <is>
          <t>Water Utilities</t>
        </is>
      </c>
      <c r="F452" s="32" t="inlineStr">
        <is>
          <t>Inglewood, CA</t>
        </is>
      </c>
      <c r="G452" s="33" t="inlineStr">
        <is>
          <t>Privately Held (backing)</t>
        </is>
      </c>
      <c r="H452" s="34" t="inlineStr">
        <is>
          <t>Venture Capital-Backed</t>
        </is>
      </c>
      <c r="I452" s="35" t="inlineStr">
        <is>
          <t>Air Liquide, Air Liquide Investments in the Future and Demonstration, Bluestem Capital Company, National Science Foundation, Steve Rothman, The UCLA Venture Capital Fund</t>
        </is>
      </c>
      <c r="J452" s="36" t="inlineStr">
        <is>
          <t>www.waterplanet.com</t>
        </is>
      </c>
      <c r="K452" s="37" t="inlineStr">
        <is>
          <t>info@waterplanet.com</t>
        </is>
      </c>
      <c r="L452" s="38" t="inlineStr">
        <is>
          <t>+1 (424) 331-7700</t>
        </is>
      </c>
      <c r="M452" s="39" t="inlineStr">
        <is>
          <t>Eric Hoek</t>
        </is>
      </c>
      <c r="N452" s="40" t="inlineStr">
        <is>
          <t>Co-Founder, Chief Executive Officer and Board Member</t>
        </is>
      </c>
      <c r="O452" s="41" t="inlineStr">
        <is>
          <t>eric@waterplanet.com</t>
        </is>
      </c>
      <c r="P452" s="42" t="inlineStr">
        <is>
          <t>+1 (424) 331-7701</t>
        </is>
      </c>
      <c r="Q452" s="43" t="n">
        <v>2011.0</v>
      </c>
      <c r="R452" s="114">
        <f>HYPERLINK("https://my.pitchbook.com?c=58947-94", "View company online")</f>
      </c>
    </row>
    <row r="453">
      <c r="A453" s="9" t="inlineStr">
        <is>
          <t>117191-44</t>
        </is>
      </c>
      <c r="B453" s="10" t="inlineStr">
        <is>
          <t>Watchbox</t>
        </is>
      </c>
      <c r="C453" s="11" t="inlineStr">
        <is>
          <t/>
        </is>
      </c>
      <c r="D453" s="12" t="inlineStr">
        <is>
          <t>Developer of mobile app designed to share pictures and short videos. The company's mobile app Watchbox, platform allows users to quickly create short videos and share them with private groups or with the public and users can follow others in order to be alerted to the latest posts, as well find videos with a search, enabling users and companies to improve social interaction among their staff.</t>
        </is>
      </c>
      <c r="E453" s="13" t="inlineStr">
        <is>
          <t>Application Software</t>
        </is>
      </c>
      <c r="F453" s="14" t="inlineStr">
        <is>
          <t>San Francisco, CA</t>
        </is>
      </c>
      <c r="G453" s="15" t="inlineStr">
        <is>
          <t>Privately Held (backing)</t>
        </is>
      </c>
      <c r="H453" s="16" t="inlineStr">
        <is>
          <t>Venture Capital-Backed</t>
        </is>
      </c>
      <c r="I453" s="17" t="inlineStr">
        <is>
          <t>Frumtak Ventures, Kjartan Olafsson</t>
        </is>
      </c>
      <c r="J453" s="18" t="inlineStr">
        <is>
          <t>watchboxapp.com</t>
        </is>
      </c>
      <c r="K453" s="19" t="inlineStr">
        <is>
          <t/>
        </is>
      </c>
      <c r="L453" s="20" t="inlineStr">
        <is>
          <t/>
        </is>
      </c>
      <c r="M453" s="21" t="inlineStr">
        <is>
          <t>David Simonarson</t>
        </is>
      </c>
      <c r="N453" s="22" t="inlineStr">
        <is>
          <t>Chief Executive Officer &amp; Co-Founder</t>
        </is>
      </c>
      <c r="O453" s="23" t="inlineStr">
        <is>
          <t>david@watchboxapp.com</t>
        </is>
      </c>
      <c r="P453" s="24" t="inlineStr">
        <is>
          <t/>
        </is>
      </c>
      <c r="Q453" s="25" t="n">
        <v>2013.0</v>
      </c>
      <c r="R453" s="113">
        <f>HYPERLINK("https://my.pitchbook.com?c=117191-44", "View company online")</f>
      </c>
    </row>
    <row r="454">
      <c r="A454" s="27" t="inlineStr">
        <is>
          <t>103436-29</t>
        </is>
      </c>
      <c r="B454" s="28" t="inlineStr">
        <is>
          <t>Warwick Analytical Software</t>
        </is>
      </c>
      <c r="C454" s="29" t="inlineStr">
        <is>
          <t>E2 8AA</t>
        </is>
      </c>
      <c r="D454" s="30" t="inlineStr">
        <is>
          <t>Provider of automated predictive analytics designed to convert raw data into a structured format. The company's automated predictive analytics software, algorithms, platforms and technology lowers the cost barriers to predictive analytics and builds standard databases and storage infrastructure, enabling its customers in manufacturing, energy, marketing and financial services to predict, maintain, improve quality and throughput and predict customer behavior and risk.</t>
        </is>
      </c>
      <c r="E454" s="31" t="inlineStr">
        <is>
          <t>Database Software</t>
        </is>
      </c>
      <c r="F454" s="32" t="inlineStr">
        <is>
          <t>London, United Kingdom</t>
        </is>
      </c>
      <c r="G454" s="33" t="inlineStr">
        <is>
          <t>Privately Held (backing)</t>
        </is>
      </c>
      <c r="H454" s="34" t="inlineStr">
        <is>
          <t>Venture Capital-Backed</t>
        </is>
      </c>
      <c r="I454" s="35" t="inlineStr">
        <is>
          <t>Boundary Capital, Capital One Growth Labs, Cisco Entrepreneurs in Residence, DEMO Traction, Individual Investor, Innovate UK, Jenson Funding Partners, Mark Hardy</t>
        </is>
      </c>
      <c r="J454" s="36" t="inlineStr">
        <is>
          <t>www.warwickanalytics.com</t>
        </is>
      </c>
      <c r="K454" s="37" t="inlineStr">
        <is>
          <t>info@warwickanalytics.com</t>
        </is>
      </c>
      <c r="L454" s="38" t="inlineStr">
        <is>
          <t>+44 (0)20 7060 6990</t>
        </is>
      </c>
      <c r="M454" s="39" t="inlineStr">
        <is>
          <t>Daniel Somers</t>
        </is>
      </c>
      <c r="N454" s="40" t="inlineStr">
        <is>
          <t>Founder, Board Member &amp; Chief Executive Officer</t>
        </is>
      </c>
      <c r="O454" s="41" t="inlineStr">
        <is>
          <t/>
        </is>
      </c>
      <c r="P454" s="42" t="inlineStr">
        <is>
          <t>+44 (0)20 7060 6990</t>
        </is>
      </c>
      <c r="Q454" s="43" t="n">
        <v>2011.0</v>
      </c>
      <c r="R454" s="114">
        <f>HYPERLINK("https://my.pitchbook.com?c=103436-29", "View company online")</f>
      </c>
    </row>
    <row r="455">
      <c r="A455" s="9" t="inlineStr">
        <is>
          <t>52838-11</t>
        </is>
      </c>
      <c r="B455" s="10" t="inlineStr">
        <is>
          <t>Warby Parker</t>
        </is>
      </c>
      <c r="C455" s="11" t="inlineStr">
        <is>
          <t>10013</t>
        </is>
      </c>
      <c r="D455" s="12" t="inlineStr">
        <is>
          <t>Provider of vintage-inspired prescription eyewear. The company designs, assembles and sells prescription eyewear, including sunglasses. The frames are made from cellulose acetate and ion-plated titanium and the polarized lenses are made from polycarbonate with anti-reflective coatings.</t>
        </is>
      </c>
      <c r="E455" s="13" t="inlineStr">
        <is>
          <t>Accessories</t>
        </is>
      </c>
      <c r="F455" s="14" t="inlineStr">
        <is>
          <t>New York, NY</t>
        </is>
      </c>
      <c r="G455" s="15" t="inlineStr">
        <is>
          <t>Privately Held (backing)</t>
        </is>
      </c>
      <c r="H455" s="16" t="inlineStr">
        <is>
          <t>Venture Capital-Backed</t>
        </is>
      </c>
      <c r="I455" s="17" t="inlineStr">
        <is>
          <t>American Express Ventures, Andrew Boszhardt, Andrew Dunn, Andrew Fine, BoxGroup, Bullish, Christopher Dixon, Cross Culture Ventures, Dave Lerner, David Tisch, Davis Smith, Felicis Ventures, First Round Capital, Forerunner Ventures, General Catalyst Partners, Grace Beauty Capital, Great Oaks Venture Capital, Hartford Financial Services Group (Mutual Fund Business), Individual Investor, Interplay Ventures, Jeff Fluhr, Josh Spear, Kal Vepuri, Lerer Hippeau Ventures, M13, Menlo Ventures, MentorTech Ventures, Millard Drexler, Nils Johnson, Scott Belsky, Shervin Pishevar, Spark Capital, Suffolk Equity Partners, SV Angel, T. Rowe Price, Tao Capital Partners, Thrive Capital, Tiger Global Management, Troy Carter, Wellington Management, Wharton Venture Initiation Program, WME Venture Partners, Zig Capital</t>
        </is>
      </c>
      <c r="J455" s="18" t="inlineStr">
        <is>
          <t>www.warbyparker.com</t>
        </is>
      </c>
      <c r="K455" s="19" t="inlineStr">
        <is>
          <t/>
        </is>
      </c>
      <c r="L455" s="20" t="inlineStr">
        <is>
          <t>+1 (646) 517-5223</t>
        </is>
      </c>
      <c r="M455" s="21" t="inlineStr">
        <is>
          <t>Steve Miller</t>
        </is>
      </c>
      <c r="N455" s="22" t="inlineStr">
        <is>
          <t>Chief Financial Officer</t>
        </is>
      </c>
      <c r="O455" s="23" t="inlineStr">
        <is>
          <t>steve@warbyparker.com</t>
        </is>
      </c>
      <c r="P455" s="24" t="inlineStr">
        <is>
          <t>+1 (646) 517-5223</t>
        </is>
      </c>
      <c r="Q455" s="25" t="n">
        <v>2009.0</v>
      </c>
      <c r="R455" s="113">
        <f>HYPERLINK("https://my.pitchbook.com?c=52838-11", "View company online")</f>
      </c>
    </row>
    <row r="456">
      <c r="A456" s="27" t="inlineStr">
        <is>
          <t>155187-64</t>
        </is>
      </c>
      <c r="B456" s="28" t="inlineStr">
        <is>
          <t>Wannar</t>
        </is>
      </c>
      <c r="C456" s="29" t="inlineStr">
        <is>
          <t>95134</t>
        </is>
      </c>
      <c r="D456" s="30" t="inlineStr">
        <is>
          <t>Provider of European and American destination travel services to Chinese people throughout the world. The company offers services including bus tour with groups, destination activities, hotels, car rental and other services.</t>
        </is>
      </c>
      <c r="E456" s="31" t="inlineStr">
        <is>
          <t>Media and Information Services (B2B)</t>
        </is>
      </c>
      <c r="F456" s="32" t="inlineStr">
        <is>
          <t>San Jose, CA</t>
        </is>
      </c>
      <c r="G456" s="33" t="inlineStr">
        <is>
          <t>Privately Held (backing)</t>
        </is>
      </c>
      <c r="H456" s="34" t="inlineStr">
        <is>
          <t>Venture Capital-Backed</t>
        </is>
      </c>
      <c r="I456" s="35" t="inlineStr">
        <is>
          <t>ChinaRock Capital Management, Hua Yan Capital, Sonhwa Capital</t>
        </is>
      </c>
      <c r="J456" s="36" t="inlineStr">
        <is>
          <t>www.wannar.com</t>
        </is>
      </c>
      <c r="K456" s="37" t="inlineStr">
        <is>
          <t/>
        </is>
      </c>
      <c r="L456" s="38" t="inlineStr">
        <is>
          <t>+1 (650) 388-9282</t>
        </is>
      </c>
      <c r="M456" s="39" t="inlineStr">
        <is>
          <t>Rong Jiang</t>
        </is>
      </c>
      <c r="N456" s="40" t="inlineStr">
        <is>
          <t>President</t>
        </is>
      </c>
      <c r="O456" s="41" t="inlineStr">
        <is>
          <t>rongjiang@wannar.com</t>
        </is>
      </c>
      <c r="P456" s="42" t="inlineStr">
        <is>
          <t>+1 (650) 388-9282</t>
        </is>
      </c>
      <c r="Q456" s="43" t="n">
        <v>2009.0</v>
      </c>
      <c r="R456" s="114">
        <f>HYPERLINK("https://my.pitchbook.com?c=155187-64", "View company online")</f>
      </c>
    </row>
    <row r="457">
      <c r="A457" s="9" t="inlineStr">
        <is>
          <t>103150-81</t>
        </is>
      </c>
      <c r="B457" s="10" t="inlineStr">
        <is>
          <t>WannaGo</t>
        </is>
      </c>
      <c r="C457" s="11" t="inlineStr">
        <is>
          <t>90212</t>
        </is>
      </c>
      <c r="D457" s="12" t="inlineStr">
        <is>
          <t>Operator of a mobile lifestyle company where food lovers, fashionistas and world travelers unite. The company provides a mobile application that enables users to track their favorite places to eat, stay, shop and travel. It also allows them to share their favorite places with friends and discover new places based on the recommendations of their own personalized network.</t>
        </is>
      </c>
      <c r="E457" s="13" t="inlineStr">
        <is>
          <t>Application Software</t>
        </is>
      </c>
      <c r="F457" s="14" t="inlineStr">
        <is>
          <t>Beverly Hills, CA</t>
        </is>
      </c>
      <c r="G457" s="15" t="inlineStr">
        <is>
          <t>Privately Held (backing)</t>
        </is>
      </c>
      <c r="H457" s="16" t="inlineStr">
        <is>
          <t>Venture Capital-Backed</t>
        </is>
      </c>
      <c r="I457" s="17" t="inlineStr">
        <is>
          <t>Belle de Mai, Omninet Capital</t>
        </is>
      </c>
      <c r="J457" s="18" t="inlineStr">
        <is>
          <t>www.wannago.com</t>
        </is>
      </c>
      <c r="K457" s="19" t="inlineStr">
        <is>
          <t>info@wannago.com</t>
        </is>
      </c>
      <c r="L457" s="20" t="inlineStr">
        <is>
          <t>+1 (310) 300-4100</t>
        </is>
      </c>
      <c r="M457" s="21" t="inlineStr">
        <is>
          <t>Benjamin Nazarian</t>
        </is>
      </c>
      <c r="N457" s="22" t="inlineStr">
        <is>
          <t>Founder &amp; Chief Executive Officer</t>
        </is>
      </c>
      <c r="O457" s="23" t="inlineStr">
        <is>
          <t>ben@wannago.com</t>
        </is>
      </c>
      <c r="P457" s="24" t="inlineStr">
        <is>
          <t>+1 (310) 300-4100</t>
        </is>
      </c>
      <c r="Q457" s="25" t="n">
        <v>2013.0</v>
      </c>
      <c r="R457" s="113">
        <f>HYPERLINK("https://my.pitchbook.com?c=103150-81", "View company online")</f>
      </c>
    </row>
    <row r="458">
      <c r="A458" s="27" t="inlineStr">
        <is>
          <t>54559-99</t>
        </is>
      </c>
      <c r="B458" s="28" t="inlineStr">
        <is>
          <t>Wanelo</t>
        </is>
      </c>
      <c r="C458" s="29" t="inlineStr">
        <is>
          <t>94103</t>
        </is>
      </c>
      <c r="D458" s="30" t="inlineStr">
        <is>
          <t>Provider of a curated online shopping community. The company's online shopping community helps people to shop in more unique places through a social network that would make it easy to discover stores and products from anywhere online, enabling users to purchase curated items online.</t>
        </is>
      </c>
      <c r="E458" s="31" t="inlineStr">
        <is>
          <t>Internet Retail</t>
        </is>
      </c>
      <c r="F458" s="32" t="inlineStr">
        <is>
          <t>San Francisco, CA</t>
        </is>
      </c>
      <c r="G458" s="33" t="inlineStr">
        <is>
          <t>Privately Held (backing)</t>
        </is>
      </c>
      <c r="H458" s="34" t="inlineStr">
        <is>
          <t>Venture Capital-Backed</t>
        </is>
      </c>
      <c r="I458" s="35" t="inlineStr">
        <is>
          <t>Aayush Phumbhra, Andrew Dunn, Atlas Venture, Bryan Wolff, Dave Morin, Donald Hutchison, DST Global, First Round Capital, Floodgate Fund, Forerunner Ventures, Founders Den, Inari Investment &amp; Consulting Co., Individual Investor, James Altucher, James Currier, Joshua Kopelman, Kevin Colleran, Matthew Brezina, Naval Ravikant, Ooga Labs, Red Swan Ventures, Rick Marini, Roger Dickey, Rothenberg Ventures, Shan Mehta, Stan Chudnovsky, Timothy Ferriss, TMT Investments, Yushan Ventures</t>
        </is>
      </c>
      <c r="J458" s="36" t="inlineStr">
        <is>
          <t>www.wanelo.com</t>
        </is>
      </c>
      <c r="K458" s="37" t="inlineStr">
        <is>
          <t>hello@wanelo.com</t>
        </is>
      </c>
      <c r="L458" s="38" t="inlineStr">
        <is>
          <t/>
        </is>
      </c>
      <c r="M458" s="39" t="inlineStr">
        <is>
          <t>Deena Varshavskaya</t>
        </is>
      </c>
      <c r="N458" s="40" t="inlineStr">
        <is>
          <t>Founder &amp; Chief Executive Officer</t>
        </is>
      </c>
      <c r="O458" s="41" t="inlineStr">
        <is>
          <t>deena@wanelo.com</t>
        </is>
      </c>
      <c r="P458" s="42" t="inlineStr">
        <is>
          <t/>
        </is>
      </c>
      <c r="Q458" s="43" t="inlineStr">
        <is>
          <t/>
        </is>
      </c>
      <c r="R458" s="114">
        <f>HYPERLINK("https://my.pitchbook.com?c=54559-99", "View company online")</f>
      </c>
    </row>
    <row r="459">
      <c r="A459" s="9" t="inlineStr">
        <is>
          <t>54460-36</t>
        </is>
      </c>
      <c r="B459" s="10" t="inlineStr">
        <is>
          <t>Wanderable</t>
        </is>
      </c>
      <c r="C459" s="11" t="inlineStr">
        <is>
          <t>94043</t>
        </is>
      </c>
      <c r="D459" s="12" t="inlineStr">
        <is>
          <t>Provider of an online honeymoon registry designed to help couples discover, plan and book their dream travel experiences. The company's platform helps in creating honeymoon-related profiles, with crowdsourcing tools to raise funds for their nuptial-related getaways and also includes a mobile application, enabling couples to share memories of their trip with their audience, as well as a mailing service to send out thank-you notes.</t>
        </is>
      </c>
      <c r="E459" s="13" t="inlineStr">
        <is>
          <t>Social/Platform Software</t>
        </is>
      </c>
      <c r="F459" s="14" t="inlineStr">
        <is>
          <t>Mountain View, CA</t>
        </is>
      </c>
      <c r="G459" s="15" t="inlineStr">
        <is>
          <t>Privately Held (backing)</t>
        </is>
      </c>
      <c r="H459" s="16" t="inlineStr">
        <is>
          <t>Venture Capital-Backed</t>
        </is>
      </c>
      <c r="I459" s="17" t="inlineStr">
        <is>
          <t>500 Startups, Alan Braverman, FFL Startup Accelerator, Individual Investor, Paul Singh, Roger Dickey, Sarah Imbach, Yee Lee</t>
        </is>
      </c>
      <c r="J459" s="18" t="inlineStr">
        <is>
          <t>www.wanderable.com</t>
        </is>
      </c>
      <c r="K459" s="19" t="inlineStr">
        <is>
          <t>hello@wanderable.com</t>
        </is>
      </c>
      <c r="L459" s="20" t="inlineStr">
        <is>
          <t>+1 (888) 878-2118</t>
        </is>
      </c>
      <c r="M459" s="21" t="inlineStr">
        <is>
          <t>Marcela Miyazawa</t>
        </is>
      </c>
      <c r="N459" s="22" t="inlineStr">
        <is>
          <t>Co-Founder &amp; Chief Executive Officer</t>
        </is>
      </c>
      <c r="O459" s="23" t="inlineStr">
        <is>
          <t/>
        </is>
      </c>
      <c r="P459" s="24" t="inlineStr">
        <is>
          <t>+1 (888) 878-2118</t>
        </is>
      </c>
      <c r="Q459" s="25" t="n">
        <v>2011.0</v>
      </c>
      <c r="R459" s="113">
        <f>HYPERLINK("https://my.pitchbook.com?c=54460-36", "View company online")</f>
      </c>
    </row>
    <row r="460">
      <c r="A460" s="27" t="inlineStr">
        <is>
          <t>56560-69</t>
        </is>
      </c>
      <c r="B460" s="28" t="inlineStr">
        <is>
          <t>Wandera</t>
        </is>
      </c>
      <c r="C460" s="29" t="inlineStr">
        <is>
          <t>W1W 8HJ</t>
        </is>
      </c>
      <c r="D460" s="30" t="inlineStr">
        <is>
          <t>Provider of enterprise mobile security and data management platform intended to offer protection against threats and manage data usage. The company's enterprise mobile security and data management platform protects data by preventing targeted mobile attacks, identifying data leaks and filtering access to risky or unapproved content as well as minimizes data costs and boost productivity, taking advantage of intelligent usage controls, insightful real-time analytics and powerful data compression, providing users with enterprise-grade threat defense against mobile security risks, and keeping devices secure across all four levels of protection.</t>
        </is>
      </c>
      <c r="E460" s="31" t="inlineStr">
        <is>
          <t>Network Management Software</t>
        </is>
      </c>
      <c r="F460" s="32" t="inlineStr">
        <is>
          <t>London, United Kingdom</t>
        </is>
      </c>
      <c r="G460" s="33" t="inlineStr">
        <is>
          <t>Privately Held (backing)</t>
        </is>
      </c>
      <c r="H460" s="34" t="inlineStr">
        <is>
          <t>Venture Capital-Backed</t>
        </is>
      </c>
      <c r="I460" s="35" t="inlineStr">
        <is>
          <t>83North, AccelerAsia, Bessemer Venture Partners, Episode 1 Ventures, Individual Investor, Klaus Hommels, LocalGlobe, Sapphire Ventures</t>
        </is>
      </c>
      <c r="J460" s="36" t="inlineStr">
        <is>
          <t>www.wandera.com</t>
        </is>
      </c>
      <c r="K460" s="37" t="inlineStr">
        <is>
          <t>info@wandera.com</t>
        </is>
      </c>
      <c r="L460" s="38" t="inlineStr">
        <is>
          <t>+44 (0)20 3301 2660</t>
        </is>
      </c>
      <c r="M460" s="39" t="inlineStr">
        <is>
          <t>Mark Flanders</t>
        </is>
      </c>
      <c r="N460" s="40" t="inlineStr">
        <is>
          <t>Director of Finance &amp; Secretary</t>
        </is>
      </c>
      <c r="O460" s="41" t="inlineStr">
        <is>
          <t>mark.flanders@wandera.com</t>
        </is>
      </c>
      <c r="P460" s="42" t="inlineStr">
        <is>
          <t>+44 (0)20 3301 2660</t>
        </is>
      </c>
      <c r="Q460" s="43" t="n">
        <v>2012.0</v>
      </c>
      <c r="R460" s="114">
        <f>HYPERLINK("https://my.pitchbook.com?c=56560-69", "View company online")</f>
      </c>
    </row>
    <row r="461">
      <c r="A461" s="9" t="inlineStr">
        <is>
          <t>120247-84</t>
        </is>
      </c>
      <c r="B461" s="10" t="inlineStr">
        <is>
          <t>Wanda</t>
        </is>
      </c>
      <c r="C461" s="11" t="inlineStr">
        <is>
          <t/>
        </is>
      </c>
      <c r="D461" s="12" t="inlineStr">
        <is>
          <t>Provider of a healthcare management platform designed to monitor and manage data for primary care patients with chronic diseases. The company's healthcare platform channels data from patients' home to the analytics module and offers life personalized medicine combined with secure computing, revolutionary data-mining and analytics, enabling clinicians to take action before any adverse event, potentially reducing hospitalization rates.</t>
        </is>
      </c>
      <c r="E461" s="13" t="inlineStr">
        <is>
          <t>Application Software</t>
        </is>
      </c>
      <c r="F461" s="14" t="inlineStr">
        <is>
          <t>San Francisco, CA</t>
        </is>
      </c>
      <c r="G461" s="15" t="inlineStr">
        <is>
          <t>Privately Held (backing)</t>
        </is>
      </c>
      <c r="H461" s="16" t="inlineStr">
        <is>
          <t>Venture Capital-Backed</t>
        </is>
      </c>
      <c r="I461" s="17" t="inlineStr">
        <is>
          <t>NetScientific</t>
        </is>
      </c>
      <c r="J461" s="18" t="inlineStr">
        <is>
          <t>yourwanda.com</t>
        </is>
      </c>
      <c r="K461" s="19" t="inlineStr">
        <is>
          <t>info@yourwanda.com</t>
        </is>
      </c>
      <c r="L461" s="20" t="inlineStr">
        <is>
          <t/>
        </is>
      </c>
      <c r="M461" s="21" t="inlineStr">
        <is>
          <t>Foad Dabiri</t>
        </is>
      </c>
      <c r="N461" s="22" t="inlineStr">
        <is>
          <t>Chief Executive Officer</t>
        </is>
      </c>
      <c r="O461" s="23" t="inlineStr">
        <is>
          <t>foad@yourwanda.com</t>
        </is>
      </c>
      <c r="P461" s="24" t="inlineStr">
        <is>
          <t/>
        </is>
      </c>
      <c r="Q461" s="25" t="n">
        <v>2011.0</v>
      </c>
      <c r="R461" s="113">
        <f>HYPERLINK("https://my.pitchbook.com?c=120247-84", "View company online")</f>
      </c>
    </row>
    <row r="462">
      <c r="A462" s="27" t="inlineStr">
        <is>
          <t>128382-31</t>
        </is>
      </c>
      <c r="B462" s="28" t="inlineStr">
        <is>
          <t>Waltz Networks</t>
        </is>
      </c>
      <c r="C462" s="29" t="inlineStr">
        <is>
          <t>94134</t>
        </is>
      </c>
      <c r="D462" s="30" t="inlineStr">
        <is>
          <t>Developer of a cloud based online performance traffic management platform designed to help engineers to automate network management. The company's cloud based online performance traffic management platform provides tool which engineers use virtually to test their networks and can deploy to production a self-optimizing traffic engineering algorithm to automate network management, enabling them to control network.</t>
        </is>
      </c>
      <c r="E462" s="31" t="inlineStr">
        <is>
          <t>Automation/Workflow Software</t>
        </is>
      </c>
      <c r="F462" s="32" t="inlineStr">
        <is>
          <t>San Francisco, CA</t>
        </is>
      </c>
      <c r="G462" s="33" t="inlineStr">
        <is>
          <t>Privately Held (backing)</t>
        </is>
      </c>
      <c r="H462" s="34" t="inlineStr">
        <is>
          <t>Venture Capital-Backed</t>
        </is>
      </c>
      <c r="I462" s="35" t="inlineStr">
        <is>
          <t>Canyon Creek Capital, Forest Baskett, Microsoft Accelerator, National Science Foundation, New Enterprise Associates, Ron Bernal, Specialized Types</t>
        </is>
      </c>
      <c r="J462" s="36" t="inlineStr">
        <is>
          <t>www.waltznetworks.com</t>
        </is>
      </c>
      <c r="K462" s="37" t="inlineStr">
        <is>
          <t>contact@waltznetworks.com</t>
        </is>
      </c>
      <c r="L462" s="38" t="inlineStr">
        <is>
          <t/>
        </is>
      </c>
      <c r="M462" s="39" t="inlineStr">
        <is>
          <t>Nithin Michael</t>
        </is>
      </c>
      <c r="N462" s="40" t="inlineStr">
        <is>
          <t>Co-Founder, President, Chief Executive Officer &amp; Board Member</t>
        </is>
      </c>
      <c r="O462" s="41" t="inlineStr">
        <is>
          <t>nithin@waltznetworks.com</t>
        </is>
      </c>
      <c r="P462" s="42" t="inlineStr">
        <is>
          <t/>
        </is>
      </c>
      <c r="Q462" s="43" t="n">
        <v>2013.0</v>
      </c>
      <c r="R462" s="114">
        <f>HYPERLINK("https://my.pitchbook.com?c=128382-31", "View company online")</f>
      </c>
    </row>
    <row r="463">
      <c r="A463" s="9" t="inlineStr">
        <is>
          <t>53990-56</t>
        </is>
      </c>
      <c r="B463" s="10" t="inlineStr">
        <is>
          <t>Wallit</t>
        </is>
      </c>
      <c r="C463" s="11" t="inlineStr">
        <is>
          <t>94704</t>
        </is>
      </c>
      <c r="D463" s="12" t="inlineStr">
        <is>
          <t>Provider of platform for people to create multi-media messages on virtual walls located around the world. The company's virtual walls provide a canvas for people to discover and share sentiments.</t>
        </is>
      </c>
      <c r="E463" s="13" t="inlineStr">
        <is>
          <t>Social Content</t>
        </is>
      </c>
      <c r="F463" s="14" t="inlineStr">
        <is>
          <t>Berkeley, CA</t>
        </is>
      </c>
      <c r="G463" s="15" t="inlineStr">
        <is>
          <t>Privately Held (backing)</t>
        </is>
      </c>
      <c r="H463" s="16" t="inlineStr">
        <is>
          <t>Venture Capital-Backed</t>
        </is>
      </c>
      <c r="I463" s="17" t="inlineStr">
        <is>
          <t>DBO Capital, Masao Tejima, Orrick Herrington &amp; Sutcliffe, Storm Ventures, Tenex Investment</t>
        </is>
      </c>
      <c r="J463" s="18" t="inlineStr">
        <is>
          <t>www.wallitapp.com</t>
        </is>
      </c>
      <c r="K463" s="19" t="inlineStr">
        <is>
          <t>info@wallitapp.com</t>
        </is>
      </c>
      <c r="L463" s="20" t="inlineStr">
        <is>
          <t>+1 (510) 463-1010</t>
        </is>
      </c>
      <c r="M463" s="21" t="inlineStr">
        <is>
          <t>Veysel Berk</t>
        </is>
      </c>
      <c r="N463" s="22" t="inlineStr">
        <is>
          <t>Chief Executive Officer &amp; Co-Founder</t>
        </is>
      </c>
      <c r="O463" s="23" t="inlineStr">
        <is>
          <t>veysel@wallitapp.com</t>
        </is>
      </c>
      <c r="P463" s="24" t="inlineStr">
        <is>
          <t>+1 (510) 463-1010</t>
        </is>
      </c>
      <c r="Q463" s="25" t="n">
        <v>2011.0</v>
      </c>
      <c r="R463" s="113">
        <f>HYPERLINK("https://my.pitchbook.com?c=53990-56", "View company online")</f>
      </c>
    </row>
    <row r="464">
      <c r="A464" s="27" t="inlineStr">
        <is>
          <t>108537-40</t>
        </is>
      </c>
      <c r="B464" s="28" t="inlineStr">
        <is>
          <t>Wallfeed</t>
        </is>
      </c>
      <c r="C464" s="29" t="inlineStr">
        <is>
          <t>92067</t>
        </is>
      </c>
      <c r="D464" s="30" t="inlineStr">
        <is>
          <t>Developer of launcher applications designed to create wallpapers, templates and user interfaces. The company's suite of cloud-based services allows users, artists, brands and content-creators/publishers to design, style, test and distribute Wallfeed (Dynamic Live Wallpapers), Fones (User Interfaces) and Applications (Mobile Applications) for mobile devices and tablets using a visual interface.</t>
        </is>
      </c>
      <c r="E464" s="31" t="inlineStr">
        <is>
          <t>Multimedia and Design Software</t>
        </is>
      </c>
      <c r="F464" s="32" t="inlineStr">
        <is>
          <t>Rancho Santa Fe, CA</t>
        </is>
      </c>
      <c r="G464" s="33" t="inlineStr">
        <is>
          <t>Privately Held (backing)</t>
        </is>
      </c>
      <c r="H464" s="34" t="inlineStr">
        <is>
          <t>Venture Capital-Backed</t>
        </is>
      </c>
      <c r="I464" s="35" t="inlineStr">
        <is>
          <t>Carib Ventures, CreatiFI, EchoVC Partners, Innovative Capital Ventures</t>
        </is>
      </c>
      <c r="J464" s="36" t="inlineStr">
        <is>
          <t>www.wallfeed.com</t>
        </is>
      </c>
      <c r="K464" s="37" t="inlineStr">
        <is>
          <t/>
        </is>
      </c>
      <c r="L464" s="38" t="inlineStr">
        <is>
          <t/>
        </is>
      </c>
      <c r="M464" s="39" t="inlineStr">
        <is>
          <t>Isaac Eteminan</t>
        </is>
      </c>
      <c r="N464" s="40" t="inlineStr">
        <is>
          <t>Co-Founder, Chief Executive Officer &amp; President</t>
        </is>
      </c>
      <c r="O464" s="41" t="inlineStr">
        <is>
          <t>isaac@foneclay.com</t>
        </is>
      </c>
      <c r="P464" s="42" t="inlineStr">
        <is>
          <t/>
        </is>
      </c>
      <c r="Q464" s="43" t="n">
        <v>2009.0</v>
      </c>
      <c r="R464" s="114">
        <f>HYPERLINK("https://my.pitchbook.com?c=108537-40", "View company online")</f>
      </c>
    </row>
    <row r="465">
      <c r="A465" s="9" t="inlineStr">
        <is>
          <t>61007-77</t>
        </is>
      </c>
      <c r="B465" s="10" t="inlineStr">
        <is>
          <t>WalletKit</t>
        </is>
      </c>
      <c r="C465" s="11" t="inlineStr">
        <is>
          <t>94041</t>
        </is>
      </c>
      <c r="D465" s="12" t="inlineStr">
        <is>
          <t>Provider of a platform to create,manage and deliver digital passes to mobile wallets. The company also offers tools for businesses to track results and visualize user engagement with passes.</t>
        </is>
      </c>
      <c r="E465" s="13" t="inlineStr">
        <is>
          <t>Application Software</t>
        </is>
      </c>
      <c r="F465" s="14" t="inlineStr">
        <is>
          <t>Mountain View, CA</t>
        </is>
      </c>
      <c r="G465" s="15" t="inlineStr">
        <is>
          <t>Privately Held (backing)</t>
        </is>
      </c>
      <c r="H465" s="16" t="inlineStr">
        <is>
          <t>Venture Capital-Backed</t>
        </is>
      </c>
      <c r="I465" s="17" t="inlineStr">
        <is>
          <t>500 Startups, Geekcelerator, LetsVenture Online, Pankaj Jain, Paul Singh</t>
        </is>
      </c>
      <c r="J465" s="18" t="inlineStr">
        <is>
          <t>www.walletkit.com</t>
        </is>
      </c>
      <c r="K465" s="19" t="inlineStr">
        <is>
          <t/>
        </is>
      </c>
      <c r="L465" s="20" t="inlineStr">
        <is>
          <t>+1 (415) 617-5737</t>
        </is>
      </c>
      <c r="M465" s="21" t="inlineStr">
        <is>
          <t>Kevin William David</t>
        </is>
      </c>
      <c r="N465" s="22" t="inlineStr">
        <is>
          <t>Chief Executive Officer &amp; Co-Founder</t>
        </is>
      </c>
      <c r="O465" s="23" t="inlineStr">
        <is>
          <t>kevin@walletkit.com</t>
        </is>
      </c>
      <c r="P465" s="24" t="inlineStr">
        <is>
          <t>+1 (415) 617-5737</t>
        </is>
      </c>
      <c r="Q465" s="25" t="n">
        <v>2012.0</v>
      </c>
      <c r="R465" s="113">
        <f>HYPERLINK("https://my.pitchbook.com?c=61007-77", "View company online")</f>
      </c>
    </row>
    <row r="466">
      <c r="A466" s="27" t="inlineStr">
        <is>
          <t>60207-67</t>
        </is>
      </c>
      <c r="B466" s="28" t="inlineStr">
        <is>
          <t>Wallarm</t>
        </is>
      </c>
      <c r="C466" s="29" t="inlineStr">
        <is>
          <t>94025</t>
        </is>
      </c>
      <c r="D466" s="30" t="inlineStr">
        <is>
          <t>Provider of security services to protect online businesses from hacking attempts. The company offers a platform for blocking attacks and detecting vulnerabilities for the modern Web applications and application program interfaces (APIs). It uses machine learning to identify malicious requests received by Web applications.</t>
        </is>
      </c>
      <c r="E466" s="31" t="inlineStr">
        <is>
          <t>Network Management Software</t>
        </is>
      </c>
      <c r="F466" s="32" t="inlineStr">
        <is>
          <t>Menlo Park, CA</t>
        </is>
      </c>
      <c r="G466" s="33" t="inlineStr">
        <is>
          <t>Privately Held (backing)</t>
        </is>
      </c>
      <c r="H466" s="34" t="inlineStr">
        <is>
          <t>Venture Capital-Backed</t>
        </is>
      </c>
      <c r="I466" s="35" t="inlineStr">
        <is>
          <t>Altair Capital, Amino Capital, Gagarin Capital Partners, Partech Ventures, Runa Capital, Skolkovo Foundation, Y Combinator</t>
        </is>
      </c>
      <c r="J466" s="36" t="inlineStr">
        <is>
          <t>www.wallarm.com</t>
        </is>
      </c>
      <c r="K466" s="37" t="inlineStr">
        <is>
          <t/>
        </is>
      </c>
      <c r="L466" s="38" t="inlineStr">
        <is>
          <t>+1 (415) 940-7077</t>
        </is>
      </c>
      <c r="M466" s="39" t="inlineStr">
        <is>
          <t>Ivan Novikov</t>
        </is>
      </c>
      <c r="N466" s="40" t="inlineStr">
        <is>
          <t>Chief Executive Officer &amp; Co-Founder</t>
        </is>
      </c>
      <c r="O466" s="41" t="inlineStr">
        <is>
          <t>in@wallarm.com</t>
        </is>
      </c>
      <c r="P466" s="42" t="inlineStr">
        <is>
          <t>+1 (415) 940-7077</t>
        </is>
      </c>
      <c r="Q466" s="43" t="n">
        <v>2009.0</v>
      </c>
      <c r="R466" s="114">
        <f>HYPERLINK("https://my.pitchbook.com?c=60207-67", "View company online")</f>
      </c>
    </row>
    <row r="467">
      <c r="A467" s="9" t="inlineStr">
        <is>
          <t>149120-56</t>
        </is>
      </c>
      <c r="B467" s="10" t="inlineStr">
        <is>
          <t>Wall Tiger Entertainment</t>
        </is>
      </c>
      <c r="C467" s="11" t="inlineStr">
        <is>
          <t>91105</t>
        </is>
      </c>
      <c r="D467" s="12" t="inlineStr">
        <is>
          <t>Operator of a multi-media studio. The company's multi-media studio focuses on designing and creating 2D hand-drawn animated videos.</t>
        </is>
      </c>
      <c r="E467" s="13" t="inlineStr">
        <is>
          <t>Multimedia and Design Software</t>
        </is>
      </c>
      <c r="F467" s="14" t="inlineStr">
        <is>
          <t>Pasadena, CA</t>
        </is>
      </c>
      <c r="G467" s="15" t="inlineStr">
        <is>
          <t>Privately Held (backing)</t>
        </is>
      </c>
      <c r="H467" s="16" t="inlineStr">
        <is>
          <t>Venture Capital-Backed</t>
        </is>
      </c>
      <c r="I467" s="17" t="inlineStr">
        <is>
          <t>F50</t>
        </is>
      </c>
      <c r="J467" s="18" t="inlineStr">
        <is>
          <t/>
        </is>
      </c>
      <c r="K467" s="19" t="inlineStr">
        <is>
          <t/>
        </is>
      </c>
      <c r="L467" s="20" t="inlineStr">
        <is>
          <t/>
        </is>
      </c>
      <c r="M467" s="21" t="inlineStr">
        <is>
          <t/>
        </is>
      </c>
      <c r="N467" s="22" t="inlineStr">
        <is>
          <t/>
        </is>
      </c>
      <c r="O467" s="23" t="inlineStr">
        <is>
          <t/>
        </is>
      </c>
      <c r="P467" s="24" t="inlineStr">
        <is>
          <t/>
        </is>
      </c>
      <c r="Q467" s="25" t="n">
        <v>2014.0</v>
      </c>
      <c r="R467" s="113">
        <f>HYPERLINK("https://my.pitchbook.com?c=149120-56", "View company online")</f>
      </c>
    </row>
    <row r="468">
      <c r="A468" s="27" t="inlineStr">
        <is>
          <t>54237-61</t>
        </is>
      </c>
      <c r="B468" s="28" t="inlineStr">
        <is>
          <t>WalkMe</t>
        </is>
      </c>
      <c r="C468" s="29" t="inlineStr">
        <is>
          <t>94103</t>
        </is>
      </c>
      <c r="D468" s="30" t="inlineStr">
        <is>
          <t>Developer of an interactive online guidance and engagement platform. The company provides a cloud-based service designed to help sales and user-experience professionals guide and engage prospects, customers, employees and partners through any online experience.</t>
        </is>
      </c>
      <c r="E468" s="31" t="inlineStr">
        <is>
          <t>Social/Platform Software</t>
        </is>
      </c>
      <c r="F468" s="32" t="inlineStr">
        <is>
          <t>San Francisco, CA</t>
        </is>
      </c>
      <c r="G468" s="33" t="inlineStr">
        <is>
          <t>Privately Held (backing)</t>
        </is>
      </c>
      <c r="H468" s="34" t="inlineStr">
        <is>
          <t>Venture Capital-Backed</t>
        </is>
      </c>
      <c r="I468" s="35" t="inlineStr">
        <is>
          <t>Flint Capital, Gemini Israel Ventures, Giza Venture Capital, Greenspring Associates, Insight Venture Partners, Mangrove Capital Partners, Scale Venture Partners</t>
        </is>
      </c>
      <c r="J468" s="36" t="inlineStr">
        <is>
          <t>www.walkme.com</t>
        </is>
      </c>
      <c r="K468" s="37" t="inlineStr">
        <is>
          <t>info@walkme.com</t>
        </is>
      </c>
      <c r="L468" s="38" t="inlineStr">
        <is>
          <t>+1 (855) 492-5563</t>
        </is>
      </c>
      <c r="M468" s="39" t="inlineStr">
        <is>
          <t>Dan Adika</t>
        </is>
      </c>
      <c r="N468" s="40" t="inlineStr">
        <is>
          <t>Co-Founder, Co-Director and Chief Executive Officer</t>
        </is>
      </c>
      <c r="O468" s="41" t="inlineStr">
        <is>
          <t>dan@walkme.com</t>
        </is>
      </c>
      <c r="P468" s="42" t="inlineStr">
        <is>
          <t>+1 (855) 492-5563</t>
        </is>
      </c>
      <c r="Q468" s="43" t="n">
        <v>2011.0</v>
      </c>
      <c r="R468" s="114">
        <f>HYPERLINK("https://my.pitchbook.com?c=54237-61", "View company online")</f>
      </c>
    </row>
    <row r="469">
      <c r="A469" s="9" t="inlineStr">
        <is>
          <t>61079-41</t>
        </is>
      </c>
      <c r="B469" s="10" t="inlineStr">
        <is>
          <t>Walker &amp; Company</t>
        </is>
      </c>
      <c r="C469" s="11" t="inlineStr">
        <is>
          <t>94301</t>
        </is>
      </c>
      <c r="D469" s="12" t="inlineStr">
        <is>
          <t>Manufacturer of personal care and beauty products created to reinvent the way consumers purchase and enjoys health and beauty products. The company's personal care and beauty product line include shaving kits, including razor, shaving brush, blades, priming oil and shaving cream, enabling consumers to improve their experience of personal care products.</t>
        </is>
      </c>
      <c r="E469" s="13" t="inlineStr">
        <is>
          <t>Personal Products</t>
        </is>
      </c>
      <c r="F469" s="14" t="inlineStr">
        <is>
          <t>Palo Alto, CA</t>
        </is>
      </c>
      <c r="G469" s="15" t="inlineStr">
        <is>
          <t>Privately Held (backing)</t>
        </is>
      </c>
      <c r="H469" s="16" t="inlineStr">
        <is>
          <t>Venture Capital-Backed</t>
        </is>
      </c>
      <c r="I469" s="17" t="inlineStr">
        <is>
          <t>500 Startups, Aaron Batalion, Andre Iguodala, Andreessen Horowitz, Anre Williams, Anthony Saleh, Charles King, Collaborative Fund, Daher Capital, Earvin Johnson, Felicis Ventures, Floodgate Fund, GV, Harrison Barnes, IVP, Jed York, John Legend, John Maeda, Johnson + Partners, King Bach, Lee Linden, Melo7 Tech Partners, Nasir Jones, Paraag Marathe, Paula Williams, Ron Johnson, Ryan Leslie, Sherpa Capital, SV Angel, Upfront Ventures, William Morris Endeavor Entertainment</t>
        </is>
      </c>
      <c r="J469" s="18" t="inlineStr">
        <is>
          <t>www.walkerandcompany.com</t>
        </is>
      </c>
      <c r="K469" s="19" t="inlineStr">
        <is>
          <t>info@walkerandcompany.com</t>
        </is>
      </c>
      <c r="L469" s="20" t="inlineStr">
        <is>
          <t/>
        </is>
      </c>
      <c r="M469" s="21" t="inlineStr">
        <is>
          <t>Carol Rosario</t>
        </is>
      </c>
      <c r="N469" s="22" t="inlineStr">
        <is>
          <t>Talent &amp; Finance Operations Lead</t>
        </is>
      </c>
      <c r="O469" s="23" t="inlineStr">
        <is>
          <t>carol@walkerandcompany.com</t>
        </is>
      </c>
      <c r="P469" s="24" t="inlineStr">
        <is>
          <t/>
        </is>
      </c>
      <c r="Q469" s="25" t="n">
        <v>2013.0</v>
      </c>
      <c r="R469" s="113">
        <f>HYPERLINK("https://my.pitchbook.com?c=61079-41", "View company online")</f>
      </c>
    </row>
    <row r="470">
      <c r="A470" s="27" t="inlineStr">
        <is>
          <t>58253-41</t>
        </is>
      </c>
      <c r="B470" s="28" t="inlineStr">
        <is>
          <t>Wakie</t>
        </is>
      </c>
      <c r="C470" s="29" t="inlineStr">
        <is>
          <t>115419</t>
        </is>
      </c>
      <c r="D470" s="30" t="inlineStr">
        <is>
          <t>Developer of a social alarm clock application designed to share advice and experience. The company's application uses audio and video messages, music or gaming, and get friends and even strangers to give a wake-up call. It also fosters a community where users connect via phone call to another user and discuss about any topic they have experienced, only for a maximum of five minutes, enabling users to avoid their mundane alarm clock in their phone.</t>
        </is>
      </c>
      <c r="E470" s="31" t="inlineStr">
        <is>
          <t>Application Software</t>
        </is>
      </c>
      <c r="F470" s="32" t="inlineStr">
        <is>
          <t>Moscow City, Russia</t>
        </is>
      </c>
      <c r="G470" s="33" t="inlineStr">
        <is>
          <t>Privately Held (backing)</t>
        </is>
      </c>
      <c r="H470" s="34" t="inlineStr">
        <is>
          <t>Venture Capital-Backed</t>
        </is>
      </c>
      <c r="I470" s="35" t="inlineStr">
        <is>
          <t>Alphabet, Foundation Capital, Hive Ventures, Leta Capital, Titanium Investments, Y Combinator, Yuri Milner</t>
        </is>
      </c>
      <c r="J470" s="36" t="inlineStr">
        <is>
          <t>www.wakie.com</t>
        </is>
      </c>
      <c r="K470" s="37" t="inlineStr">
        <is>
          <t/>
        </is>
      </c>
      <c r="L470" s="38" t="inlineStr">
        <is>
          <t>+7 (8)926 099 0926</t>
        </is>
      </c>
      <c r="M470" s="39" t="inlineStr">
        <is>
          <t>Tatul Ajamyan</t>
        </is>
      </c>
      <c r="N470" s="40" t="inlineStr">
        <is>
          <t>Co-Founder</t>
        </is>
      </c>
      <c r="O470" s="41" t="inlineStr">
        <is>
          <t/>
        </is>
      </c>
      <c r="P470" s="42" t="inlineStr">
        <is>
          <t>+7 (8)926 099 0926</t>
        </is>
      </c>
      <c r="Q470" s="43" t="n">
        <v>2011.0</v>
      </c>
      <c r="R470" s="114">
        <f>HYPERLINK("https://my.pitchbook.com?c=58253-41", "View company online")</f>
      </c>
    </row>
    <row r="471">
      <c r="A471" s="9" t="inlineStr">
        <is>
          <t>102670-66</t>
        </is>
      </c>
      <c r="B471" s="10" t="inlineStr">
        <is>
          <t>Wake</t>
        </is>
      </c>
      <c r="C471" s="11" t="inlineStr">
        <is>
          <t>94103</t>
        </is>
      </c>
      <c r="D471" s="12" t="inlineStr">
        <is>
          <t>Provider of a web-based platform designed to share work within a team. The company provides a web-based platform and a mobile application that allows sharing animations and videos of prototypes, capture ideas from notebook and whiteboard with the mobile application and check how ideas evolve into finished product enabling designers to communicate with their team and receive feedback on their design, work and products.</t>
        </is>
      </c>
      <c r="E471" s="13" t="inlineStr">
        <is>
          <t>Social/Platform Software</t>
        </is>
      </c>
      <c r="F471" s="14" t="inlineStr">
        <is>
          <t>San Francisco, CA</t>
        </is>
      </c>
      <c r="G471" s="15" t="inlineStr">
        <is>
          <t>Privately Held (backing)</t>
        </is>
      </c>
      <c r="H471" s="16" t="inlineStr">
        <is>
          <t>Venture Capital-Backed</t>
        </is>
      </c>
      <c r="I471" s="17" t="inlineStr">
        <is>
          <t>Alliance Venture, Brandon Brock, Brendan Holsberry, Designer Fund, First Round Capital, Jake Lodwick, Jared Morgenstern, Naomi Gleit, Slow Ventures, Tikhon Bernstam</t>
        </is>
      </c>
      <c r="J471" s="18" t="inlineStr">
        <is>
          <t>www.wake.com</t>
        </is>
      </c>
      <c r="K471" s="19" t="inlineStr">
        <is>
          <t>hello@wake.com</t>
        </is>
      </c>
      <c r="L471" s="20" t="inlineStr">
        <is>
          <t>+1 (415) 570-9280</t>
        </is>
      </c>
      <c r="M471" s="21" t="inlineStr">
        <is>
          <t>Chris Kalani</t>
        </is>
      </c>
      <c r="N471" s="22" t="inlineStr">
        <is>
          <t>Co-Founder, Chief Executive Officer &amp; Board Member</t>
        </is>
      </c>
      <c r="O471" s="23" t="inlineStr">
        <is>
          <t>ck@wake.io</t>
        </is>
      </c>
      <c r="P471" s="24" t="inlineStr">
        <is>
          <t>+1 (415) 570-9280</t>
        </is>
      </c>
      <c r="Q471" s="25" t="n">
        <v>2014.0</v>
      </c>
      <c r="R471" s="113">
        <f>HYPERLINK("https://my.pitchbook.com?c=102670-66", "View company online")</f>
      </c>
    </row>
    <row r="472">
      <c r="A472" s="27" t="inlineStr">
        <is>
          <t>113279-32</t>
        </is>
      </c>
      <c r="B472" s="28" t="inlineStr">
        <is>
          <t>Waitlist Me</t>
        </is>
      </c>
      <c r="C472" s="29" t="inlineStr">
        <is>
          <t>94111</t>
        </is>
      </c>
      <c r="D472" s="30" t="inlineStr">
        <is>
          <t>Developer of a restaurant waitlisting application designed to manage waitlists and reservations. The company's application enables business to communicate with and provide estimated wait times to their customers enabling them to get survey feedback from their customers regarding their waiting times at restaurants.</t>
        </is>
      </c>
      <c r="E472" s="31" t="inlineStr">
        <is>
          <t>Application Software</t>
        </is>
      </c>
      <c r="F472" s="32" t="inlineStr">
        <is>
          <t>San Francisco, CA</t>
        </is>
      </c>
      <c r="G472" s="33" t="inlineStr">
        <is>
          <t>Privately Held (backing)</t>
        </is>
      </c>
      <c r="H472" s="34" t="inlineStr">
        <is>
          <t>Venture Capital-Backed</t>
        </is>
      </c>
      <c r="I472" s="35" t="inlineStr">
        <is>
          <t>Andreessen Horowitz, GV</t>
        </is>
      </c>
      <c r="J472" s="36" t="inlineStr">
        <is>
          <t>www.waitlist.me</t>
        </is>
      </c>
      <c r="K472" s="37" t="inlineStr">
        <is>
          <t>info@waitlist.me</t>
        </is>
      </c>
      <c r="L472" s="38" t="inlineStr">
        <is>
          <t/>
        </is>
      </c>
      <c r="M472" s="39" t="inlineStr">
        <is>
          <t>Alex Cornell</t>
        </is>
      </c>
      <c r="N472" s="40" t="inlineStr">
        <is>
          <t>Co-Founder</t>
        </is>
      </c>
      <c r="O472" s="41" t="inlineStr">
        <is>
          <t/>
        </is>
      </c>
      <c r="P472" s="42" t="inlineStr">
        <is>
          <t/>
        </is>
      </c>
      <c r="Q472" s="43" t="n">
        <v>2011.0</v>
      </c>
      <c r="R472" s="114">
        <f>HYPERLINK("https://my.pitchbook.com?c=113279-32", "View company online")</f>
      </c>
    </row>
    <row r="473">
      <c r="A473" s="9" t="inlineStr">
        <is>
          <t>154896-76</t>
        </is>
      </c>
      <c r="B473" s="10" t="inlineStr">
        <is>
          <t>Waggle (Video Streaming)</t>
        </is>
      </c>
      <c r="C473" s="11" t="inlineStr">
        <is>
          <t>10112</t>
        </is>
      </c>
      <c r="D473" s="12" t="inlineStr">
        <is>
          <t>Provider of an animal video-sharing platform. The company offers an online platform for pet lovers and animal enthusiasts to live stream and share photos and videos of their animals.</t>
        </is>
      </c>
      <c r="E473" s="13" t="inlineStr">
        <is>
          <t>Movies, Music and Entertainment</t>
        </is>
      </c>
      <c r="F473" s="14" t="inlineStr">
        <is>
          <t>New York, NY</t>
        </is>
      </c>
      <c r="G473" s="15" t="inlineStr">
        <is>
          <t>Privately Held (backing)</t>
        </is>
      </c>
      <c r="H473" s="16" t="inlineStr">
        <is>
          <t>Venture Capital-Backed</t>
        </is>
      </c>
      <c r="I473" s="17" t="inlineStr">
        <is>
          <t>Allen Debevoise, Broadway Video, Brooklyn Bridge Ventures, Lowercase Capital, Ore Ventures, Raine Ventures, United Talent Agency</t>
        </is>
      </c>
      <c r="J473" s="18" t="inlineStr">
        <is>
          <t>www.waggle.tv</t>
        </is>
      </c>
      <c r="K473" s="19" t="inlineStr">
        <is>
          <t/>
        </is>
      </c>
      <c r="L473" s="20" t="inlineStr">
        <is>
          <t>+1 (212) 664-6781</t>
        </is>
      </c>
      <c r="M473" s="21" t="inlineStr">
        <is>
          <t>Matthew Cavnar</t>
        </is>
      </c>
      <c r="N473" s="22" t="inlineStr">
        <is>
          <t>Co-Founder, Chief Executive Officer &amp; Board Member</t>
        </is>
      </c>
      <c r="O473" s="23" t="inlineStr">
        <is>
          <t>matt@waggle.tv</t>
        </is>
      </c>
      <c r="P473" s="24" t="inlineStr">
        <is>
          <t>+1 (212) 664-6781</t>
        </is>
      </c>
      <c r="Q473" s="25" t="n">
        <v>2015.0</v>
      </c>
      <c r="R473" s="113">
        <f>HYPERLINK("https://my.pitchbook.com?c=154896-76", "View company online")</f>
      </c>
    </row>
    <row r="474">
      <c r="A474" s="27" t="inlineStr">
        <is>
          <t>62741-08</t>
        </is>
      </c>
      <c r="B474" s="28" t="inlineStr">
        <is>
          <t>Waggl</t>
        </is>
      </c>
      <c r="C474" s="29" t="inlineStr">
        <is>
          <t>94965</t>
        </is>
      </c>
      <c r="D474" s="30" t="inlineStr">
        <is>
          <t>Provider of messaging and employee response puling platform. The company offers a search engine for its users who need to surface new ideas or honest input and provides a platform where business leaders can pose questions where employees are able to respond and vote anonymously.</t>
        </is>
      </c>
      <c r="E474" s="31" t="inlineStr">
        <is>
          <t>Application Software</t>
        </is>
      </c>
      <c r="F474" s="32" t="inlineStr">
        <is>
          <t>Sausalito, CA</t>
        </is>
      </c>
      <c r="G474" s="33" t="inlineStr">
        <is>
          <t>Privately Held (backing)</t>
        </is>
      </c>
      <c r="H474" s="34" t="inlineStr">
        <is>
          <t>Venture Capital-Backed</t>
        </is>
      </c>
      <c r="I474" s="35" t="inlineStr">
        <is>
          <t>FundersClub, Ignace Goethals, Jeff Snipes, Joe Abrams, Rob Bernshteyn, Robert Hohman</t>
        </is>
      </c>
      <c r="J474" s="36" t="inlineStr">
        <is>
          <t>www.waggl.com</t>
        </is>
      </c>
      <c r="K474" s="37" t="inlineStr">
        <is>
          <t>connect@waggl.it</t>
        </is>
      </c>
      <c r="L474" s="38" t="inlineStr">
        <is>
          <t>+1 (415) 399-9949</t>
        </is>
      </c>
      <c r="M474" s="39" t="inlineStr">
        <is>
          <t>Michael Papay</t>
        </is>
      </c>
      <c r="N474" s="40" t="inlineStr">
        <is>
          <t>Chief Executive Officer, Board Member &amp; Co-Founder</t>
        </is>
      </c>
      <c r="O474" s="41" t="inlineStr">
        <is>
          <t>papay@waggl.it</t>
        </is>
      </c>
      <c r="P474" s="42" t="inlineStr">
        <is>
          <t>+1 (415) 399-9949</t>
        </is>
      </c>
      <c r="Q474" s="43" t="n">
        <v>2014.0</v>
      </c>
      <c r="R474" s="114">
        <f>HYPERLINK("https://my.pitchbook.com?c=62741-08", "View company online")</f>
      </c>
    </row>
    <row r="475">
      <c r="A475" s="9" t="inlineStr">
        <is>
          <t>56233-27</t>
        </is>
      </c>
      <c r="B475" s="10" t="inlineStr">
        <is>
          <t>Wag Hotels</t>
        </is>
      </c>
      <c r="C475" s="11" t="inlineStr">
        <is>
          <t>94103</t>
        </is>
      </c>
      <c r="D475" s="12" t="inlineStr">
        <is>
          <t>Provider of pet-boarding facilities designed to offer personalized pet care. The company's pet-boarding resort provide pet lovers with a suitable place to leave their pets during business trips, as well as offers grooming and training services for pets, enabling pet owners to access an affordable experience for their dogs and cats.</t>
        </is>
      </c>
      <c r="E475" s="13" t="inlineStr">
        <is>
          <t>Other Services (B2C Non-Financial)</t>
        </is>
      </c>
      <c r="F475" s="14" t="inlineStr">
        <is>
          <t>San Francisco, CA</t>
        </is>
      </c>
      <c r="G475" s="15" t="inlineStr">
        <is>
          <t>Privately Held (backing)</t>
        </is>
      </c>
      <c r="H475" s="16" t="inlineStr">
        <is>
          <t>Venture Capital-Backed</t>
        </is>
      </c>
      <c r="I475" s="17" t="inlineStr">
        <is>
          <t>CC Wage, Interstate properties, Myrtlewood Capital, Treat Management, Vencore Capital</t>
        </is>
      </c>
      <c r="J475" s="18" t="inlineStr">
        <is>
          <t>www.waghotels.com</t>
        </is>
      </c>
      <c r="K475" s="19" t="inlineStr">
        <is>
          <t>sf@waghotels.com</t>
        </is>
      </c>
      <c r="L475" s="20" t="inlineStr">
        <is>
          <t>+1 (415) 876-0700</t>
        </is>
      </c>
      <c r="M475" s="21" t="inlineStr">
        <is>
          <t>Gordon Spector</t>
        </is>
      </c>
      <c r="N475" s="22" t="inlineStr">
        <is>
          <t>Chief Financial Officer</t>
        </is>
      </c>
      <c r="O475" s="23" t="inlineStr">
        <is>
          <t>gordon@waghotels.com</t>
        </is>
      </c>
      <c r="P475" s="24" t="inlineStr">
        <is>
          <t>+1 (415) 876-0700</t>
        </is>
      </c>
      <c r="Q475" s="25" t="n">
        <v>2005.0</v>
      </c>
      <c r="R475" s="113">
        <f>HYPERLINK("https://my.pitchbook.com?c=56233-27", "View company online")</f>
      </c>
    </row>
    <row r="476">
      <c r="A476" s="27" t="inlineStr">
        <is>
          <t>112027-33</t>
        </is>
      </c>
      <c r="B476" s="28" t="inlineStr">
        <is>
          <t>Wag</t>
        </is>
      </c>
      <c r="C476" s="29" t="inlineStr">
        <is>
          <t/>
        </is>
      </c>
      <c r="D476" s="30" t="inlineStr">
        <is>
          <t>Developer of a mobile dog walking application. The company provides a mobile application that helps to find certified dog walkers, offers live tracking of the dog on its walk, as well as digital reports.</t>
        </is>
      </c>
      <c r="E476" s="31" t="inlineStr">
        <is>
          <t>Application Software</t>
        </is>
      </c>
      <c r="F476" s="32" t="inlineStr">
        <is>
          <t>Los Angeles, CA</t>
        </is>
      </c>
      <c r="G476" s="33" t="inlineStr">
        <is>
          <t>Privately Held (backing)</t>
        </is>
      </c>
      <c r="H476" s="34" t="inlineStr">
        <is>
          <t>Venture Capital-Backed</t>
        </is>
      </c>
      <c r="I476" s="35" t="inlineStr">
        <is>
          <t>Bullpen Capital, CrunchFund, Freestyle Capital, General Catalyst Partners, Greylock Partners, Haystack, Joel Englander, John Maloney, Ludlow Ventures, Pascal Levy-Garboua, Rakesh Agrawal, RRE Ventures, Sherpa Capital, Slow Ventures, Social Leverage, Structure Capital</t>
        </is>
      </c>
      <c r="J476" s="36" t="inlineStr">
        <is>
          <t>www.wagwalking.com</t>
        </is>
      </c>
      <c r="K476" s="37" t="inlineStr">
        <is>
          <t/>
        </is>
      </c>
      <c r="L476" s="38" t="inlineStr">
        <is>
          <t>+1 (323) 210-4096</t>
        </is>
      </c>
      <c r="M476" s="39" t="inlineStr">
        <is>
          <t>Jason Meltzer</t>
        </is>
      </c>
      <c r="N476" s="40" t="inlineStr">
        <is>
          <t>Co-Founder &amp; Chief Dog Officer</t>
        </is>
      </c>
      <c r="O476" s="41" t="inlineStr">
        <is>
          <t>jason@wagwalking.com</t>
        </is>
      </c>
      <c r="P476" s="42" t="inlineStr">
        <is>
          <t>+1 (323) 238-9548</t>
        </is>
      </c>
      <c r="Q476" s="43" t="n">
        <v>2014.0</v>
      </c>
      <c r="R476" s="114">
        <f>HYPERLINK("https://my.pitchbook.com?c=112027-33", "View company online")</f>
      </c>
    </row>
    <row r="477">
      <c r="A477" s="9" t="inlineStr">
        <is>
          <t>118850-95</t>
        </is>
      </c>
      <c r="B477" s="10" t="inlineStr">
        <is>
          <t>Vyu Labs</t>
        </is>
      </c>
      <c r="C477" s="11" t="inlineStr">
        <is>
          <t>95014</t>
        </is>
      </c>
      <c r="D477" s="12" t="inlineStr">
        <is>
          <t>Developer of a mobile application for social interaction. The company offers a social interaction platform that connects users face-to-face via live streaming, video chat and enable users to share any media on mobile phone.</t>
        </is>
      </c>
      <c r="E477" s="13" t="inlineStr">
        <is>
          <t>Application Software</t>
        </is>
      </c>
      <c r="F477" s="14" t="inlineStr">
        <is>
          <t>Cupertino, CA</t>
        </is>
      </c>
      <c r="G477" s="15" t="inlineStr">
        <is>
          <t>Privately Held (backing)</t>
        </is>
      </c>
      <c r="H477" s="16" t="inlineStr">
        <is>
          <t>Venture Capital-Backed</t>
        </is>
      </c>
      <c r="I477" s="17" t="inlineStr">
        <is>
          <t>Ignite Farm</t>
        </is>
      </c>
      <c r="J477" s="18" t="inlineStr">
        <is>
          <t>www.vyulabs.com</t>
        </is>
      </c>
      <c r="K477" s="19" t="inlineStr">
        <is>
          <t>info@vyulabs.com</t>
        </is>
      </c>
      <c r="L477" s="20" t="inlineStr">
        <is>
          <t/>
        </is>
      </c>
      <c r="M477" s="21" t="inlineStr">
        <is>
          <t>Srini Dharmaji</t>
        </is>
      </c>
      <c r="N477" s="22" t="inlineStr">
        <is>
          <t>Founder &amp; Chief Executive Officer</t>
        </is>
      </c>
      <c r="O477" s="23" t="inlineStr">
        <is>
          <t>sd@vyulabs.com</t>
        </is>
      </c>
      <c r="P477" s="24" t="inlineStr">
        <is>
          <t/>
        </is>
      </c>
      <c r="Q477" s="25" t="n">
        <v>2014.0</v>
      </c>
      <c r="R477" s="113">
        <f>HYPERLINK("https://my.pitchbook.com?c=118850-95", "View company online")</f>
      </c>
    </row>
    <row r="478">
      <c r="A478" s="27" t="inlineStr">
        <is>
          <t>51353-29</t>
        </is>
      </c>
      <c r="B478" s="28" t="inlineStr">
        <is>
          <t>VytronUS</t>
        </is>
      </c>
      <c r="C478" s="29" t="inlineStr">
        <is>
          <t>94085</t>
        </is>
      </c>
      <c r="D478" s="30" t="inlineStr">
        <is>
          <t>Manufacturer of a device used to treat cardiac arrhythmia. The company manufactures and markets the device which uses both imaging capabilities and ultrasound energy.</t>
        </is>
      </c>
      <c r="E478" s="31" t="inlineStr">
        <is>
          <t>Surgical Devices</t>
        </is>
      </c>
      <c r="F478" s="32" t="inlineStr">
        <is>
          <t>Sunnyvale, CA</t>
        </is>
      </c>
      <c r="G478" s="33" t="inlineStr">
        <is>
          <t>Privately Held (backing)</t>
        </is>
      </c>
      <c r="H478" s="34" t="inlineStr">
        <is>
          <t>Venture Capital-Backed</t>
        </is>
      </c>
      <c r="I478" s="35" t="inlineStr">
        <is>
          <t>Apple Tree Partners, BioStar Ventures, Delphi Ventures, New Enterprise Associates, Windham Venture Partners</t>
        </is>
      </c>
      <c r="J478" s="36" t="inlineStr">
        <is>
          <t>www.vytronus.com</t>
        </is>
      </c>
      <c r="K478" s="37" t="inlineStr">
        <is>
          <t>info@vytronus.com</t>
        </is>
      </c>
      <c r="L478" s="38" t="inlineStr">
        <is>
          <t>+1 (408) 730-1333</t>
        </is>
      </c>
      <c r="M478" s="39" t="inlineStr">
        <is>
          <t>Mike Horzewski</t>
        </is>
      </c>
      <c r="N478" s="40" t="inlineStr">
        <is>
          <t>Chief Operating Officer</t>
        </is>
      </c>
      <c r="O478" s="41" t="inlineStr">
        <is>
          <t>mhorzewski@vytronus.com</t>
        </is>
      </c>
      <c r="P478" s="42" t="inlineStr">
        <is>
          <t>+1 (408) 730-1333</t>
        </is>
      </c>
      <c r="Q478" s="43" t="n">
        <v>2006.0</v>
      </c>
      <c r="R478" s="114">
        <f>HYPERLINK("https://my.pitchbook.com?c=51353-29", "View company online")</f>
      </c>
    </row>
    <row r="479">
      <c r="A479" s="9" t="inlineStr">
        <is>
          <t>117772-93</t>
        </is>
      </c>
      <c r="B479" s="10" t="inlineStr">
        <is>
          <t>Vytmn</t>
        </is>
      </c>
      <c r="C479" s="11" t="inlineStr">
        <is>
          <t>90291</t>
        </is>
      </c>
      <c r="D479" s="12" t="inlineStr">
        <is>
          <t>Provider of a marketing platform and an analytics dashboard. The company's software enables users to target their audience in online channels by implementing data mining sources for their competitors and related businesses.</t>
        </is>
      </c>
      <c r="E479" s="13" t="inlineStr">
        <is>
          <t>Media and Information Services (B2B)</t>
        </is>
      </c>
      <c r="F479" s="14" t="inlineStr">
        <is>
          <t>Los Angeles, CA</t>
        </is>
      </c>
      <c r="G479" s="15" t="inlineStr">
        <is>
          <t>Privately Held (backing)</t>
        </is>
      </c>
      <c r="H479" s="16" t="inlineStr">
        <is>
          <t>Venture Capital-Backed</t>
        </is>
      </c>
      <c r="I479" s="17" t="inlineStr">
        <is>
          <t>Aaron Schiff, Allen Debevoise, Carter Reum, Courtney Reum, First Ascent Associates, Howard Marks, Michael Smith, Miles Beckett, Shaun Arora, Third Wave Digital</t>
        </is>
      </c>
      <c r="J479" s="18" t="inlineStr">
        <is>
          <t>www.vytmn.com</t>
        </is>
      </c>
      <c r="K479" s="19" t="inlineStr">
        <is>
          <t/>
        </is>
      </c>
      <c r="L479" s="20" t="inlineStr">
        <is>
          <t>+1 (424) 257-0296</t>
        </is>
      </c>
      <c r="M479" s="21" t="inlineStr">
        <is>
          <t>Justin Wu</t>
        </is>
      </c>
      <c r="N479" s="22" t="inlineStr">
        <is>
          <t>Co-Founder, Growth Engineer and Information Architect</t>
        </is>
      </c>
      <c r="O479" s="23" t="inlineStr">
        <is>
          <t>justin@vytmn.com</t>
        </is>
      </c>
      <c r="P479" s="24" t="inlineStr">
        <is>
          <t>+1 (424) 257-0296</t>
        </is>
      </c>
      <c r="Q479" s="25" t="n">
        <v>2015.0</v>
      </c>
      <c r="R479" s="113">
        <f>HYPERLINK("https://my.pitchbook.com?c=117772-93", "View company online")</f>
      </c>
    </row>
    <row r="480">
      <c r="A480" s="27" t="inlineStr">
        <is>
          <t>121115-17</t>
        </is>
      </c>
      <c r="B480" s="28" t="inlineStr">
        <is>
          <t>Vyng</t>
        </is>
      </c>
      <c r="C480" s="29" t="inlineStr">
        <is>
          <t>90401</t>
        </is>
      </c>
      <c r="D480" s="30" t="inlineStr">
        <is>
          <t>Provider of social video ringtones for android. The company's social video ringtones can be added to lock screen, enabling users to get nice videos with every call.</t>
        </is>
      </c>
      <c r="E480" s="31" t="inlineStr">
        <is>
          <t>Social/Platform Software</t>
        </is>
      </c>
      <c r="F480" s="32" t="inlineStr">
        <is>
          <t>Santa Monica, CA</t>
        </is>
      </c>
      <c r="G480" s="33" t="inlineStr">
        <is>
          <t>Privately Held (backing)</t>
        </is>
      </c>
      <c r="H480" s="34" t="inlineStr">
        <is>
          <t>Venture Capital-Backed</t>
        </is>
      </c>
      <c r="I480" s="35" t="inlineStr">
        <is>
          <t>Clearstone Venture Partners, Edgewater Ventures, Inspiration Ventures, March Capital Partners, Pulsar Venture Capital, Vesna Investment</t>
        </is>
      </c>
      <c r="J480" s="36" t="inlineStr">
        <is>
          <t>www.vyng.me</t>
        </is>
      </c>
      <c r="K480" s="37" t="inlineStr">
        <is>
          <t>info@ringalingapp.com</t>
        </is>
      </c>
      <c r="L480" s="38" t="inlineStr">
        <is>
          <t/>
        </is>
      </c>
      <c r="M480" s="39" t="inlineStr">
        <is>
          <t>Paul Kats</t>
        </is>
      </c>
      <c r="N480" s="40" t="inlineStr">
        <is>
          <t>Co-Founder &amp; Chief Executive Officer</t>
        </is>
      </c>
      <c r="O480" s="41" t="inlineStr">
        <is>
          <t>paul@vyng.me</t>
        </is>
      </c>
      <c r="P480" s="42" t="inlineStr">
        <is>
          <t/>
        </is>
      </c>
      <c r="Q480" s="43" t="n">
        <v>2014.0</v>
      </c>
      <c r="R480" s="114">
        <f>HYPERLINK("https://my.pitchbook.com?c=121115-17", "View company online")</f>
      </c>
    </row>
    <row r="481">
      <c r="A481" s="9" t="inlineStr">
        <is>
          <t>121288-24</t>
        </is>
      </c>
      <c r="B481" s="10" t="inlineStr">
        <is>
          <t>Vynca</t>
        </is>
      </c>
      <c r="C481" s="11" t="inlineStr">
        <is>
          <t>94040</t>
        </is>
      </c>
      <c r="D481" s="12" t="inlineStr">
        <is>
          <t>Developer of a software for health information exchange. The company develops a platform focused on enabling patient education, documentation and competition of physician orders for life-sustaining treatment forms.</t>
        </is>
      </c>
      <c r="E481" s="13" t="inlineStr">
        <is>
          <t>Enterprise Systems (Healthcare)</t>
        </is>
      </c>
      <c r="F481" s="14" t="inlineStr">
        <is>
          <t>Mountain View, CA</t>
        </is>
      </c>
      <c r="G481" s="15" t="inlineStr">
        <is>
          <t>Privately Held (backing)</t>
        </is>
      </c>
      <c r="H481" s="16" t="inlineStr">
        <is>
          <t>Venture Capital-Backed</t>
        </is>
      </c>
      <c r="I481" s="17" t="inlineStr">
        <is>
          <t>Aging2.0, Aphelion Capital, Founder.org, Link-age, MedTech Innovator, The Silicon Valley Boomer Venture Summit</t>
        </is>
      </c>
      <c r="J481" s="18" t="inlineStr">
        <is>
          <t>www.vynca.org</t>
        </is>
      </c>
      <c r="K481" s="19" t="inlineStr">
        <is>
          <t>info@vynca.org</t>
        </is>
      </c>
      <c r="L481" s="20" t="inlineStr">
        <is>
          <t>+1 (650) 575-3065</t>
        </is>
      </c>
      <c r="M481" s="21" t="inlineStr">
        <is>
          <t>Ryan Van Wert</t>
        </is>
      </c>
      <c r="N481" s="22" t="inlineStr">
        <is>
          <t>Co-Founder</t>
        </is>
      </c>
      <c r="O481" s="23" t="inlineStr">
        <is>
          <t>ryan@vynca.org</t>
        </is>
      </c>
      <c r="P481" s="24" t="inlineStr">
        <is>
          <t>+1 (650) 575-3065</t>
        </is>
      </c>
      <c r="Q481" s="25" t="n">
        <v>2012.0</v>
      </c>
      <c r="R481" s="113">
        <f>HYPERLINK("https://my.pitchbook.com?c=121288-24", "View company online")</f>
      </c>
    </row>
    <row r="482">
      <c r="A482" s="27" t="inlineStr">
        <is>
          <t>99201-34</t>
        </is>
      </c>
      <c r="B482" s="28" t="inlineStr">
        <is>
          <t>vWise</t>
        </is>
      </c>
      <c r="C482" s="29" t="inlineStr">
        <is>
          <t>92656</t>
        </is>
      </c>
      <c r="D482" s="30" t="inlineStr">
        <is>
          <t>Developer of rich-media internet applications for employee benefit designed to boost confidence and drive informed decision-making. The company's employee benefit platforms are based on behavioral finance fundamentals and provides a highly interactive participant experience that reflects the way today's digital-savvy audiences consume content, enabling providers and advisors to maximize operational efficiency and increase profitability across the retirement continuum.</t>
        </is>
      </c>
      <c r="E482" s="31" t="inlineStr">
        <is>
          <t>Business/Productivity Software</t>
        </is>
      </c>
      <c r="F482" s="32" t="inlineStr">
        <is>
          <t>Aliso Viejo, CA</t>
        </is>
      </c>
      <c r="G482" s="33" t="inlineStr">
        <is>
          <t>Privately Held (backing)</t>
        </is>
      </c>
      <c r="H482" s="34" t="inlineStr">
        <is>
          <t>Venture Capital-Backed</t>
        </is>
      </c>
      <c r="I482" s="35" t="inlineStr">
        <is>
          <t>Mosaik Partners</t>
        </is>
      </c>
      <c r="J482" s="36" t="inlineStr">
        <is>
          <t>www.vwise.com</t>
        </is>
      </c>
      <c r="K482" s="37" t="inlineStr">
        <is>
          <t>info@vwise.com</t>
        </is>
      </c>
      <c r="L482" s="38" t="inlineStr">
        <is>
          <t>+1 (877) 820-8212</t>
        </is>
      </c>
      <c r="M482" s="39" t="inlineStr">
        <is>
          <t>David Ferrigno</t>
        </is>
      </c>
      <c r="N482" s="40" t="inlineStr">
        <is>
          <t>Chief Financial Officer</t>
        </is>
      </c>
      <c r="O482" s="41" t="inlineStr">
        <is>
          <t>dferrigno@vwise.com</t>
        </is>
      </c>
      <c r="P482" s="42" t="inlineStr">
        <is>
          <t>+1 (877) 820-8212</t>
        </is>
      </c>
      <c r="Q482" s="43" t="n">
        <v>2006.0</v>
      </c>
      <c r="R482" s="114">
        <f>HYPERLINK("https://my.pitchbook.com?c=99201-34", "View company online")</f>
      </c>
    </row>
    <row r="483">
      <c r="A483" s="9" t="inlineStr">
        <is>
          <t>12751-84</t>
        </is>
      </c>
      <c r="B483" s="10" t="inlineStr">
        <is>
          <t>Vungle</t>
        </is>
      </c>
      <c r="C483" s="11" t="inlineStr">
        <is>
          <t>94107</t>
        </is>
      </c>
      <c r="D483" s="12" t="inlineStr">
        <is>
          <t>Provider of a mobile video-advertising platform for applications. The company's advertising network provides localized video advertising to application users on both Android and iOS devices, integrated for a high-definition user experience.</t>
        </is>
      </c>
      <c r="E483" s="13" t="inlineStr">
        <is>
          <t>Business/Productivity Software</t>
        </is>
      </c>
      <c r="F483" s="14" t="inlineStr">
        <is>
          <t>San Francisco, CA</t>
        </is>
      </c>
      <c r="G483" s="15" t="inlineStr">
        <is>
          <t>Privately Held (backing)</t>
        </is>
      </c>
      <c r="H483" s="16" t="inlineStr">
        <is>
          <t>Venture Capital-Backed</t>
        </is>
      </c>
      <c r="I483" s="17" t="inlineStr">
        <is>
          <t>500 Startups, Aadil Mamujee, AngelPad, AOL Ventures, Ben Lewis, Benjamin Narasin, Clint Chao, Crosslink Capital, David McClure, Dino Vendetti, Draper Associates, Eniac Ventures, Eric Chin, Gokul Rajaram, GV, Individual Investor, Jean-Francois Clavier, Krishna Visvanathan, Musha Ventures, Nihal Mehta, Scott McNealy, Seven Peaks Ventures, Sierra Ventures, SoftTech VC, SV Angel, Thomas Korte, Thomvest Ventures, Timothy Draper, TriplePoint Capital, Webb Investment Network</t>
        </is>
      </c>
      <c r="J483" s="18" t="inlineStr">
        <is>
          <t>www.vungle.com</t>
        </is>
      </c>
      <c r="K483" s="19" t="inlineStr">
        <is>
          <t>info@vungle.com</t>
        </is>
      </c>
      <c r="L483" s="20" t="inlineStr">
        <is>
          <t/>
        </is>
      </c>
      <c r="M483" s="21" t="inlineStr">
        <is>
          <t>Zain Jaffer</t>
        </is>
      </c>
      <c r="N483" s="22" t="inlineStr">
        <is>
          <t>Co-Founder, Chief Executive Officer &amp; Board Member</t>
        </is>
      </c>
      <c r="O483" s="23" t="inlineStr">
        <is>
          <t>zain.jaffer@vungle.com</t>
        </is>
      </c>
      <c r="P483" s="24" t="inlineStr">
        <is>
          <t>+1 (415) 990-1442</t>
        </is>
      </c>
      <c r="Q483" s="25" t="n">
        <v>2011.0</v>
      </c>
      <c r="R483" s="113">
        <f>HYPERLINK("https://my.pitchbook.com?c=12751-84", "View company online")</f>
      </c>
    </row>
    <row r="484">
      <c r="A484" s="27" t="inlineStr">
        <is>
          <t>117328-78</t>
        </is>
      </c>
      <c r="B484" s="28" t="inlineStr">
        <is>
          <t>Vufine</t>
        </is>
      </c>
      <c r="C484" s="29" t="inlineStr">
        <is>
          <t>94086</t>
        </is>
      </c>
      <c r="D484" s="30" t="inlineStr">
        <is>
          <t>Developer of a wearable display device designed to offer display across all devices. The company's wearable display device places the image of what is on the phone, tablet, laptop or camera, onto the screen directly in front of the right eye, enabling consumers to operate mobile devices in a hands-free environment.</t>
        </is>
      </c>
      <c r="E484" s="31" t="inlineStr">
        <is>
          <t>Electronics (B2C)</t>
        </is>
      </c>
      <c r="F484" s="32" t="inlineStr">
        <is>
          <t>Sunnyvale, CA</t>
        </is>
      </c>
      <c r="G484" s="33" t="inlineStr">
        <is>
          <t>Privately Held (backing)</t>
        </is>
      </c>
      <c r="H484" s="34" t="inlineStr">
        <is>
          <t>Venture Capital-Backed</t>
        </is>
      </c>
      <c r="I484" s="35" t="inlineStr">
        <is>
          <t>Firsthand Capital Management, Firsthand Technology Value Fund</t>
        </is>
      </c>
      <c r="J484" s="36" t="inlineStr">
        <is>
          <t>www.vufine.com</t>
        </is>
      </c>
      <c r="K484" s="37" t="inlineStr">
        <is>
          <t>info@vufine.com</t>
        </is>
      </c>
      <c r="L484" s="38" t="inlineStr">
        <is>
          <t>+1 (844) 688-3463</t>
        </is>
      </c>
      <c r="M484" s="39" t="inlineStr">
        <is>
          <t>Goro Kosaka</t>
        </is>
      </c>
      <c r="N484" s="40" t="inlineStr">
        <is>
          <t>Founder and Chief Executive Officer</t>
        </is>
      </c>
      <c r="O484" s="41" t="inlineStr">
        <is>
          <t>goro@vufine.com</t>
        </is>
      </c>
      <c r="P484" s="42" t="inlineStr">
        <is>
          <t>+1 (844) 688-3463</t>
        </is>
      </c>
      <c r="Q484" s="43" t="n">
        <v>2014.0</v>
      </c>
      <c r="R484" s="114">
        <f>HYPERLINK("https://my.pitchbook.com?c=117328-78", "View company online")</f>
      </c>
    </row>
    <row r="485">
      <c r="A485" s="9" t="inlineStr">
        <is>
          <t>99915-40</t>
        </is>
      </c>
      <c r="B485" s="10" t="inlineStr">
        <is>
          <t>Vuemix</t>
        </is>
      </c>
      <c r="C485" s="11" t="inlineStr">
        <is>
          <t>95054</t>
        </is>
      </c>
      <c r="D485" s="12" t="inlineStr">
        <is>
          <t>Developer of a video streaming platform. The company offers Vuemix, cloud-based technology platform which allows consumers to search, view and consume video content.</t>
        </is>
      </c>
      <c r="E485" s="13" t="inlineStr">
        <is>
          <t>Social Content</t>
        </is>
      </c>
      <c r="F485" s="14" t="inlineStr">
        <is>
          <t>Santa Clara, CA</t>
        </is>
      </c>
      <c r="G485" s="15" t="inlineStr">
        <is>
          <t>Privately Held (backing)</t>
        </is>
      </c>
      <c r="H485" s="16" t="inlineStr">
        <is>
          <t>Venture Capital-Backed</t>
        </is>
      </c>
      <c r="I485" s="17" t="inlineStr">
        <is>
          <t>Amos Ben-Meir, Wellington Partners</t>
        </is>
      </c>
      <c r="J485" s="18" t="inlineStr">
        <is>
          <t>www.vuemix.com</t>
        </is>
      </c>
      <c r="K485" s="19" t="inlineStr">
        <is>
          <t>info@vuemix.com</t>
        </is>
      </c>
      <c r="L485" s="20" t="inlineStr">
        <is>
          <t>+1 (408) 567-8318</t>
        </is>
      </c>
      <c r="M485" s="21" t="inlineStr">
        <is>
          <t>Govind Kizhepat</t>
        </is>
      </c>
      <c r="N485" s="22" t="inlineStr">
        <is>
          <t>Co-Founder &amp; Chief Executive Officer</t>
        </is>
      </c>
      <c r="O485" s="23" t="inlineStr">
        <is>
          <t>govind@vuemix.com</t>
        </is>
      </c>
      <c r="P485" s="24" t="inlineStr">
        <is>
          <t>+1 (408) 567-8318</t>
        </is>
      </c>
      <c r="Q485" s="25" t="n">
        <v>2011.0</v>
      </c>
      <c r="R485" s="113">
        <f>HYPERLINK("https://my.pitchbook.com?c=99915-40", "View company online")</f>
      </c>
    </row>
    <row r="486">
      <c r="A486" s="27" t="inlineStr">
        <is>
          <t>12757-60</t>
        </is>
      </c>
      <c r="B486" s="28" t="inlineStr">
        <is>
          <t>Vubiquity</t>
        </is>
      </c>
      <c r="C486" s="29" t="inlineStr">
        <is>
          <t>91505</t>
        </is>
      </c>
      <c r="D486" s="30" t="inlineStr">
        <is>
          <t>Provider of video services to OTT (over the top) platforms. The company connects content owners and video providers to deliver entertainment to viewers on any screen. It's services include VOD encoding, metadata creation and management, file management and delivery, and marketing, advanced advertising services encompassing C3 and digital ad insertion (DAI), creative services to support customers in marketing content and data analytics.</t>
        </is>
      </c>
      <c r="E486" s="31" t="inlineStr">
        <is>
          <t>Movies, Music and Entertainment</t>
        </is>
      </c>
      <c r="F486" s="32" t="inlineStr">
        <is>
          <t>Burbank, CA</t>
        </is>
      </c>
      <c r="G486" s="33" t="inlineStr">
        <is>
          <t>Privately Held (backing)</t>
        </is>
      </c>
      <c r="H486" s="34" t="inlineStr">
        <is>
          <t>Venture Capital-Backed</t>
        </is>
      </c>
      <c r="I486" s="35" t="inlineStr">
        <is>
          <t>Arnold Venture Group, Columbia Capital, Novak Biddle Venture Partners, Pioneer Venture Partners, Pioneer Ventures, QED Investors, The Carlyle Group, Valhalla Partners</t>
        </is>
      </c>
      <c r="J486" s="36" t="inlineStr">
        <is>
          <t>www.vubiquity.com</t>
        </is>
      </c>
      <c r="K486" s="37" t="inlineStr">
        <is>
          <t/>
        </is>
      </c>
      <c r="L486" s="38" t="inlineStr">
        <is>
          <t>+1 (818) 526-5000</t>
        </is>
      </c>
      <c r="M486" s="39" t="inlineStr">
        <is>
          <t>William Arendt</t>
        </is>
      </c>
      <c r="N486" s="40" t="inlineStr">
        <is>
          <t>Chief Financial Officer</t>
        </is>
      </c>
      <c r="O486" s="41" t="inlineStr">
        <is>
          <t>warendt@vubiquity.com</t>
        </is>
      </c>
      <c r="P486" s="42" t="inlineStr">
        <is>
          <t>+1 (818) 526-5000</t>
        </is>
      </c>
      <c r="Q486" s="43" t="inlineStr">
        <is>
          <t/>
        </is>
      </c>
      <c r="R486" s="114">
        <f>HYPERLINK("https://my.pitchbook.com?c=12757-60", "View company online")</f>
      </c>
    </row>
    <row r="487">
      <c r="A487" s="9" t="inlineStr">
        <is>
          <t>60553-27</t>
        </is>
      </c>
      <c r="B487" s="10" t="inlineStr">
        <is>
          <t>VTS</t>
        </is>
      </c>
      <c r="C487" s="11" t="inlineStr">
        <is>
          <t>10036</t>
        </is>
      </c>
      <c r="D487" s="12" t="inlineStr">
        <is>
          <t>Developer of an online commercial real estate tool. The company is a cloud-based leasing and portfolio management platform that provides brokers and owners with real-time access to everything happening throughout their portfolio. Users get their portfolio and team onto a single platform to interact with data, identify trends, highlight opportunities and quickly raise red flags when necessary.</t>
        </is>
      </c>
      <c r="E487" s="13" t="inlineStr">
        <is>
          <t>Business/Productivity Software</t>
        </is>
      </c>
      <c r="F487" s="14" t="inlineStr">
        <is>
          <t>New York, NY</t>
        </is>
      </c>
      <c r="G487" s="15" t="inlineStr">
        <is>
          <t>Privately Held (backing)</t>
        </is>
      </c>
      <c r="H487" s="16" t="inlineStr">
        <is>
          <t>Venture Capital-Backed</t>
        </is>
      </c>
      <c r="I487" s="17" t="inlineStr">
        <is>
          <t>500 Startups, Alex Krug, Benjamin Ling, Camber Creek, Fifth Wall Ventures, Greg Waldorf, Insight Venture Partners, Nicholas Romito, OpenView Venture Partners, Seedfund, The Blackstone Group, Thomas Byrne, Trinity Ventures, Work-Bench</t>
        </is>
      </c>
      <c r="J487" s="18" t="inlineStr">
        <is>
          <t>www.vts.com</t>
        </is>
      </c>
      <c r="K487" s="19" t="inlineStr">
        <is>
          <t>nycmetro@vts.com</t>
        </is>
      </c>
      <c r="L487" s="20" t="inlineStr">
        <is>
          <t>+1 (844) 252-3059</t>
        </is>
      </c>
      <c r="M487" s="21" t="inlineStr">
        <is>
          <t>Nicholas Romito</t>
        </is>
      </c>
      <c r="N487" s="22" t="inlineStr">
        <is>
          <t>Co-Founder &amp; Chief Executive Officer</t>
        </is>
      </c>
      <c r="O487" s="23" t="inlineStr">
        <is>
          <t>nick@vts.com</t>
        </is>
      </c>
      <c r="P487" s="24" t="inlineStr">
        <is>
          <t>+1 (844) 252-3059</t>
        </is>
      </c>
      <c r="Q487" s="25" t="n">
        <v>2012.0</v>
      </c>
      <c r="R487" s="113">
        <f>HYPERLINK("https://my.pitchbook.com?c=60553-27", "View company online")</f>
      </c>
    </row>
    <row r="488">
      <c r="A488" s="27" t="inlineStr">
        <is>
          <t>64557-82</t>
        </is>
      </c>
      <c r="B488" s="28" t="inlineStr">
        <is>
          <t>VSporto</t>
        </is>
      </c>
      <c r="C488" s="29" t="inlineStr">
        <is>
          <t>94111</t>
        </is>
      </c>
      <c r="D488" s="30" t="inlineStr">
        <is>
          <t>Provider of an online sports podcast platform designed to connect sports fans with their favorite teams. The company's online sports podcast platform connects true sports fans with unlimited quality audio and video content of their favorite teams, enabling them to get the latest news and information of their favorite teams.</t>
        </is>
      </c>
      <c r="E488" s="31" t="inlineStr">
        <is>
          <t>Broadcasting, Radio and Television</t>
        </is>
      </c>
      <c r="F488" s="32" t="inlineStr">
        <is>
          <t>San Francisco, CA</t>
        </is>
      </c>
      <c r="G488" s="33" t="inlineStr">
        <is>
          <t>Privately Held (backing)</t>
        </is>
      </c>
      <c r="H488" s="34" t="inlineStr">
        <is>
          <t>Venture Capital-Backed</t>
        </is>
      </c>
      <c r="I488" s="35" t="inlineStr">
        <is>
          <t>Courtside Venture, Dan Bragiel, Deep Fork Capital, Haystack, Pascal Levy-Garboua, Will Bunker, Yee Lee</t>
        </is>
      </c>
      <c r="J488" s="36" t="inlineStr">
        <is>
          <t>www.vsporto.com</t>
        </is>
      </c>
      <c r="K488" s="37" t="inlineStr">
        <is>
          <t/>
        </is>
      </c>
      <c r="L488" s="38" t="inlineStr">
        <is>
          <t>+1 (601) 624-9693</t>
        </is>
      </c>
      <c r="M488" s="39" t="inlineStr">
        <is>
          <t>Keith Jasper</t>
        </is>
      </c>
      <c r="N488" s="40" t="inlineStr">
        <is>
          <t>Co-Founder, President &amp; Chief Executive Officer</t>
        </is>
      </c>
      <c r="O488" s="41" t="inlineStr">
        <is>
          <t>keith@vsporto.com</t>
        </is>
      </c>
      <c r="P488" s="42" t="inlineStr">
        <is>
          <t>+1 (601) 624-9693</t>
        </is>
      </c>
      <c r="Q488" s="43" t="n">
        <v>2011.0</v>
      </c>
      <c r="R488" s="114">
        <f>HYPERLINK("https://my.pitchbook.com?c=64557-82", "View company online")</f>
      </c>
    </row>
    <row r="489">
      <c r="A489" s="9" t="inlineStr">
        <is>
          <t>103110-49</t>
        </is>
      </c>
      <c r="B489" s="10" t="inlineStr">
        <is>
          <t>Vserv</t>
        </is>
      </c>
      <c r="C489" s="11" t="inlineStr">
        <is>
          <t>400063</t>
        </is>
      </c>
      <c r="D489" s="12" t="inlineStr">
        <is>
          <t>Developer of a smart data platform for mobile marketing and commerce. The company offers a mobile marketing platform that delivers smart data led results to marketers, application developers and data partners.</t>
        </is>
      </c>
      <c r="E489" s="13" t="inlineStr">
        <is>
          <t>Social/Platform Software</t>
        </is>
      </c>
      <c r="F489" s="14" t="inlineStr">
        <is>
          <t>Mumbai, India</t>
        </is>
      </c>
      <c r="G489" s="15" t="inlineStr">
        <is>
          <t>Privately Held (backing)</t>
        </is>
      </c>
      <c r="H489" s="16" t="inlineStr">
        <is>
          <t>Venture Capital-Backed</t>
        </is>
      </c>
      <c r="I489" s="17" t="inlineStr">
        <is>
          <t>Ajay Adiseshann, Epiphany Ventures, IDG Ventures India, Maverick Capital, Maverick Ventures (San Francisco)</t>
        </is>
      </c>
      <c r="J489" s="18" t="inlineStr">
        <is>
          <t>www.vserv.com</t>
        </is>
      </c>
      <c r="K489" s="19" t="inlineStr">
        <is>
          <t>info@vserv.com</t>
        </is>
      </c>
      <c r="L489" s="20" t="inlineStr">
        <is>
          <t>+91 (0)22 6123 1000</t>
        </is>
      </c>
      <c r="M489" s="21" t="inlineStr">
        <is>
          <t>Dippak Khurana</t>
        </is>
      </c>
      <c r="N489" s="22" t="inlineStr">
        <is>
          <t>Co-Founder &amp; Chief Executive Officer</t>
        </is>
      </c>
      <c r="O489" s="23" t="inlineStr">
        <is>
          <t>dippak@vserv.mobi</t>
        </is>
      </c>
      <c r="P489" s="24" t="inlineStr">
        <is>
          <t>+91 (0)22 6123 1000</t>
        </is>
      </c>
      <c r="Q489" s="25" t="inlineStr">
        <is>
          <t/>
        </is>
      </c>
      <c r="R489" s="113">
        <f>HYPERLINK("https://my.pitchbook.com?c=103110-49", "View company online")</f>
      </c>
    </row>
    <row r="490">
      <c r="A490" s="27" t="inlineStr">
        <is>
          <t>53517-25</t>
        </is>
      </c>
      <c r="B490" s="28" t="inlineStr">
        <is>
          <t>VSee</t>
        </is>
      </c>
      <c r="C490" s="29" t="inlineStr">
        <is>
          <t>94086</t>
        </is>
      </c>
      <c r="D490" s="30" t="inlineStr">
        <is>
          <t>Provider of video collaboration software. The company develops a proprietary low-bandwidth, group video chat and screen-sharing software tool that allows multiple users in various locations to communicate in real-time by video and audio.</t>
        </is>
      </c>
      <c r="E490" s="31" t="inlineStr">
        <is>
          <t>Communication Software</t>
        </is>
      </c>
      <c r="F490" s="32" t="inlineStr">
        <is>
          <t>Sunnyvale, CA</t>
        </is>
      </c>
      <c r="G490" s="33" t="inlineStr">
        <is>
          <t>Privately Held (backing)</t>
        </is>
      </c>
      <c r="H490" s="34" t="inlineStr">
        <is>
          <t>Venture Capital-Backed</t>
        </is>
      </c>
      <c r="I490" s="35" t="inlineStr">
        <is>
          <t>Individual Investor, In-Q-Tel, National Science Foundation</t>
        </is>
      </c>
      <c r="J490" s="36" t="inlineStr">
        <is>
          <t>www.vsee.com</t>
        </is>
      </c>
      <c r="K490" s="37" t="inlineStr">
        <is>
          <t/>
        </is>
      </c>
      <c r="L490" s="38" t="inlineStr">
        <is>
          <t>+1 (650) 390-6970</t>
        </is>
      </c>
      <c r="M490" s="39" t="inlineStr">
        <is>
          <t>Milton Chen</t>
        </is>
      </c>
      <c r="N490" s="40" t="inlineStr">
        <is>
          <t>Founder &amp; Chief Executive Officer</t>
        </is>
      </c>
      <c r="O490" s="41" t="inlineStr">
        <is>
          <t>mchen@mdlive.com</t>
        </is>
      </c>
      <c r="P490" s="42" t="inlineStr">
        <is>
          <t>+1 (510) 823-3564</t>
        </is>
      </c>
      <c r="Q490" s="43" t="n">
        <v>2003.0</v>
      </c>
      <c r="R490" s="114">
        <f>HYPERLINK("https://my.pitchbook.com?c=53517-25", "View company online")</f>
      </c>
    </row>
    <row r="491">
      <c r="A491" s="9" t="inlineStr">
        <is>
          <t>62878-78</t>
        </is>
      </c>
      <c r="B491" s="10" t="inlineStr">
        <is>
          <t>VSCO</t>
        </is>
      </c>
      <c r="C491" s="11" t="inlineStr">
        <is>
          <t>94612</t>
        </is>
      </c>
      <c r="D491" s="12" t="inlineStr">
        <is>
          <t>Developer of photo-editing software. The company provides a collection of digital film-emulation tools designed to give digital photos the tone and color balance of earlier film-based photography. Its software also has a social platform component, enabling users to share their work with others.</t>
        </is>
      </c>
      <c r="E491" s="13" t="inlineStr">
        <is>
          <t>Social/Platform Software</t>
        </is>
      </c>
      <c r="F491" s="14" t="inlineStr">
        <is>
          <t>Oakland, CA</t>
        </is>
      </c>
      <c r="G491" s="15" t="inlineStr">
        <is>
          <t>Privately Held (backing)</t>
        </is>
      </c>
      <c r="H491" s="16" t="inlineStr">
        <is>
          <t>Venture Capital-Backed</t>
        </is>
      </c>
      <c r="I491" s="17" t="inlineStr">
        <is>
          <t>Accel, Glynn Capital Management, Goldcrest Capital</t>
        </is>
      </c>
      <c r="J491" s="18" t="inlineStr">
        <is>
          <t>www.vsco.co</t>
        </is>
      </c>
      <c r="K491" s="19" t="inlineStr">
        <is>
          <t>info@vsco.com</t>
        </is>
      </c>
      <c r="L491" s="20" t="inlineStr">
        <is>
          <t>+1 (925) 413-8250</t>
        </is>
      </c>
      <c r="M491" s="21" t="inlineStr">
        <is>
          <t>Joel Flory</t>
        </is>
      </c>
      <c r="N491" s="22" t="inlineStr">
        <is>
          <t>Chief Executive Officer, Co-Founder, President &amp; Board Member</t>
        </is>
      </c>
      <c r="O491" s="23" t="inlineStr">
        <is>
          <t>joel@vsco.co</t>
        </is>
      </c>
      <c r="P491" s="24" t="inlineStr">
        <is>
          <t>+1 (925) 413-8250</t>
        </is>
      </c>
      <c r="Q491" s="25" t="n">
        <v>2011.0</v>
      </c>
      <c r="R491" s="113">
        <f>HYPERLINK("https://my.pitchbook.com?c=62878-78", "View company online")</f>
      </c>
    </row>
    <row r="492">
      <c r="A492" s="27" t="inlineStr">
        <is>
          <t>145511-83</t>
        </is>
      </c>
      <c r="B492" s="28" t="inlineStr">
        <is>
          <t>Vrtv</t>
        </is>
      </c>
      <c r="C492" s="29" t="inlineStr">
        <is>
          <t/>
        </is>
      </c>
      <c r="D492" s="30" t="inlineStr">
        <is>
          <t>Provider of a virtual reality content creation platform. The company provides a platform which allows creation, sharing and viewing of virtual reality content across all platforms (VR, Oculus,Vive), Mobile (Android,IOS) and Web (Facebook).</t>
        </is>
      </c>
      <c r="E492" s="31" t="inlineStr">
        <is>
          <t>Entertainment Software</t>
        </is>
      </c>
      <c r="F492" s="32" t="inlineStr">
        <is>
          <t>Oakland, CA</t>
        </is>
      </c>
      <c r="G492" s="33" t="inlineStr">
        <is>
          <t>Privately Held (backing)</t>
        </is>
      </c>
      <c r="H492" s="34" t="inlineStr">
        <is>
          <t>Venture Capital-Backed</t>
        </is>
      </c>
      <c r="I492" s="35" t="inlineStr">
        <is>
          <t>Keiretsu Forum, River, Seven Seas Partners</t>
        </is>
      </c>
      <c r="J492" s="36" t="inlineStr">
        <is>
          <t>www.vrtv.io</t>
        </is>
      </c>
      <c r="K492" s="37" t="inlineStr">
        <is>
          <t/>
        </is>
      </c>
      <c r="L492" s="38" t="inlineStr">
        <is>
          <t>+1 (510) 292-3539</t>
        </is>
      </c>
      <c r="M492" s="39" t="inlineStr">
        <is>
          <t>Benjamin Cooley</t>
        </is>
      </c>
      <c r="N492" s="40" t="inlineStr">
        <is>
          <t>Co-Founder, Chief Executive Officer &amp; Board Member</t>
        </is>
      </c>
      <c r="O492" s="41" t="inlineStr">
        <is>
          <t>benjamin.cooley@vrtv.io</t>
        </is>
      </c>
      <c r="P492" s="42" t="inlineStr">
        <is>
          <t>+1 (510) 292-3539</t>
        </is>
      </c>
      <c r="Q492" s="43" t="n">
        <v>2015.0</v>
      </c>
      <c r="R492" s="114">
        <f>HYPERLINK("https://my.pitchbook.com?c=145511-83", "View company online")</f>
      </c>
    </row>
    <row r="493">
      <c r="A493" s="9" t="inlineStr">
        <is>
          <t>118389-97</t>
        </is>
      </c>
      <c r="B493" s="10" t="inlineStr">
        <is>
          <t>Vrtify</t>
        </is>
      </c>
      <c r="C493" s="11" t="inlineStr">
        <is>
          <t>94303</t>
        </is>
      </c>
      <c r="D493" s="12" t="inlineStr">
        <is>
          <t>Developer of a virtual reality music platform. The company's software enables users to play music from their phone or online accounts and also allows for live music streaming.</t>
        </is>
      </c>
      <c r="E493" s="13" t="inlineStr">
        <is>
          <t>Movies, Music and Entertainment</t>
        </is>
      </c>
      <c r="F493" s="14" t="inlineStr">
        <is>
          <t>Palo Alto, CA</t>
        </is>
      </c>
      <c r="G493" s="15" t="inlineStr">
        <is>
          <t>Privately Held (backing)</t>
        </is>
      </c>
      <c r="H493" s="16" t="inlineStr">
        <is>
          <t>Venture Capital-Backed</t>
        </is>
      </c>
      <c r="I493" s="17" t="inlineStr">
        <is>
          <t>Angel Ventures</t>
        </is>
      </c>
      <c r="J493" s="18" t="inlineStr">
        <is>
          <t>www.vrtify.com</t>
        </is>
      </c>
      <c r="K493" s="19" t="inlineStr">
        <is>
          <t>officeusa@vrtify.com</t>
        </is>
      </c>
      <c r="L493" s="20" t="inlineStr">
        <is>
          <t>+1 (844) 498-2475</t>
        </is>
      </c>
      <c r="M493" s="21" t="inlineStr">
        <is>
          <t>Diego Vergeli</t>
        </is>
      </c>
      <c r="N493" s="22" t="inlineStr">
        <is>
          <t>Chief Financial Officer</t>
        </is>
      </c>
      <c r="O493" s="23" t="inlineStr">
        <is>
          <t>diego.vergeli@vrtify.com</t>
        </is>
      </c>
      <c r="P493" s="24" t="inlineStr">
        <is>
          <t>+1 (844) 498-2475</t>
        </is>
      </c>
      <c r="Q493" s="25" t="n">
        <v>2014.0</v>
      </c>
      <c r="R493" s="113">
        <f>HYPERLINK("https://my.pitchbook.com?c=118389-97", "View company online")</f>
      </c>
    </row>
    <row r="494">
      <c r="A494" s="27" t="inlineStr">
        <is>
          <t>122673-79</t>
        </is>
      </c>
      <c r="B494" s="28" t="inlineStr">
        <is>
          <t>VRChat</t>
        </is>
      </c>
      <c r="C494" s="29" t="inlineStr">
        <is>
          <t>94103</t>
        </is>
      </c>
      <c r="D494" s="30" t="inlineStr">
        <is>
          <t>Developer of a social virtual reality platform. The company develops a social virtual reality platform that allows users to users to explore, socialize and create with other users from around the world.</t>
        </is>
      </c>
      <c r="E494" s="31" t="inlineStr">
        <is>
          <t>Application Software</t>
        </is>
      </c>
      <c r="F494" s="32" t="inlineStr">
        <is>
          <t>San Francisco, CA</t>
        </is>
      </c>
      <c r="G494" s="33" t="inlineStr">
        <is>
          <t>Privately Held (backing)</t>
        </is>
      </c>
      <c r="H494" s="34" t="inlineStr">
        <is>
          <t>Venture Capital-Backed</t>
        </is>
      </c>
      <c r="I494" s="35" t="inlineStr">
        <is>
          <t>Brightstone Venture Capital, GREE, HTC, River, Rothenberg Ventures</t>
        </is>
      </c>
      <c r="J494" s="36" t="inlineStr">
        <is>
          <t>www.vrchat.com</t>
        </is>
      </c>
      <c r="K494" s="37" t="inlineStr">
        <is>
          <t>hello@vrchat.net</t>
        </is>
      </c>
      <c r="L494" s="38" t="inlineStr">
        <is>
          <t/>
        </is>
      </c>
      <c r="M494" s="39" t="inlineStr">
        <is>
          <t>Graham Gaylor</t>
        </is>
      </c>
      <c r="N494" s="40" t="inlineStr">
        <is>
          <t>Co-Founder, Secretary, Chief Executive Officer &amp; Board Member</t>
        </is>
      </c>
      <c r="O494" s="41" t="inlineStr">
        <is>
          <t>graham@vrchat.net</t>
        </is>
      </c>
      <c r="P494" s="42" t="inlineStr">
        <is>
          <t/>
        </is>
      </c>
      <c r="Q494" s="43" t="n">
        <v>2014.0</v>
      </c>
      <c r="R494" s="114">
        <f>HYPERLINK("https://my.pitchbook.com?c=122673-79", "View company online")</f>
      </c>
    </row>
    <row r="495">
      <c r="A495" s="9" t="inlineStr">
        <is>
          <t>139884-58</t>
        </is>
      </c>
      <c r="B495" s="10" t="inlineStr">
        <is>
          <t>VR Medical</t>
        </is>
      </c>
      <c r="C495" s="11" t="inlineStr">
        <is>
          <t>91006</t>
        </is>
      </c>
      <c r="D495" s="12" t="inlineStr">
        <is>
          <t>Manufacturer of medical devices designed to provide proper medication facilities. The company's medical devices offer product development and low cost manufacturing for disposable products and electronic devices for private label to OEMs and distributors worldwide, enabling medical markets to focus on respiratory care, critical care, blood purification, and advanced wound care.</t>
        </is>
      </c>
      <c r="E495" s="13" t="inlineStr">
        <is>
          <t>Medical Supplies</t>
        </is>
      </c>
      <c r="F495" s="14" t="inlineStr">
        <is>
          <t>Arcadia, CA</t>
        </is>
      </c>
      <c r="G495" s="15" t="inlineStr">
        <is>
          <t>Privately Held (backing)</t>
        </is>
      </c>
      <c r="H495" s="16" t="inlineStr">
        <is>
          <t>Venture Capital-Backed</t>
        </is>
      </c>
      <c r="I495" s="17" t="inlineStr">
        <is>
          <t>Qiming Venture Partners</t>
        </is>
      </c>
      <c r="J495" s="18" t="inlineStr">
        <is>
          <t>www.vrmedical.net</t>
        </is>
      </c>
      <c r="K495" s="19" t="inlineStr">
        <is>
          <t>info@vrmedical.net</t>
        </is>
      </c>
      <c r="L495" s="20" t="inlineStr">
        <is>
          <t>+1 (443) 905-1195</t>
        </is>
      </c>
      <c r="M495" s="21" t="inlineStr">
        <is>
          <t>Lee Pan</t>
        </is>
      </c>
      <c r="N495" s="22" t="inlineStr">
        <is>
          <t>Chief Executive Officer &amp; Founder</t>
        </is>
      </c>
      <c r="O495" s="23" t="inlineStr">
        <is>
          <t>lpan@vrmedical.net</t>
        </is>
      </c>
      <c r="P495" s="24" t="inlineStr">
        <is>
          <t>+1 (443) 905-1195</t>
        </is>
      </c>
      <c r="Q495" s="25" t="n">
        <v>2009.0</v>
      </c>
      <c r="R495" s="113">
        <f>HYPERLINK("https://my.pitchbook.com?c=139884-58", "View company online")</f>
      </c>
    </row>
    <row r="496">
      <c r="A496" s="27" t="inlineStr">
        <is>
          <t>172629-46</t>
        </is>
      </c>
      <c r="B496" s="28" t="inlineStr">
        <is>
          <t>VOZ Sports</t>
        </is>
      </c>
      <c r="C496" s="86">
        <f>HYPERLINK("https://my.pitchbook.com?rrp=172629-46&amp;type=c", "This Company's information is not available to download. Need this Company? Request availability")</f>
      </c>
      <c r="D496" s="30" t="inlineStr">
        <is>
          <t/>
        </is>
      </c>
      <c r="E496" s="31" t="inlineStr">
        <is>
          <t/>
        </is>
      </c>
      <c r="F496" s="32" t="inlineStr">
        <is>
          <t/>
        </is>
      </c>
      <c r="G496" s="33" t="inlineStr">
        <is>
          <t/>
        </is>
      </c>
      <c r="H496" s="34" t="inlineStr">
        <is>
          <t/>
        </is>
      </c>
      <c r="I496" s="35" t="inlineStr">
        <is>
          <t/>
        </is>
      </c>
      <c r="J496" s="36" t="inlineStr">
        <is>
          <t/>
        </is>
      </c>
      <c r="K496" s="37" t="inlineStr">
        <is>
          <t/>
        </is>
      </c>
      <c r="L496" s="38" t="inlineStr">
        <is>
          <t/>
        </is>
      </c>
      <c r="M496" s="39" t="inlineStr">
        <is>
          <t/>
        </is>
      </c>
      <c r="N496" s="40" t="inlineStr">
        <is>
          <t/>
        </is>
      </c>
      <c r="O496" s="41" t="inlineStr">
        <is>
          <t/>
        </is>
      </c>
      <c r="P496" s="42" t="inlineStr">
        <is>
          <t/>
        </is>
      </c>
      <c r="Q496" s="43" t="inlineStr">
        <is>
          <t/>
        </is>
      </c>
      <c r="R496" s="44" t="inlineStr">
        <is>
          <t/>
        </is>
      </c>
    </row>
    <row r="497">
      <c r="A497" s="9" t="inlineStr">
        <is>
          <t>167489-92</t>
        </is>
      </c>
      <c r="B497" s="10" t="inlineStr">
        <is>
          <t>Voyomotive</t>
        </is>
      </c>
      <c r="C497" s="11" t="inlineStr">
        <is>
          <t>94115</t>
        </is>
      </c>
      <c r="D497" s="12" t="inlineStr">
        <is>
          <t>Provider of a cloud-based plug and play system designed to connect with cars. The company's cloud-based plug and play system connects car with user's phone and transfers GPS data to owner's mobile application, enabling users to increase their driving safety, anti-theft assurance, convenience and fuel efficiency.</t>
        </is>
      </c>
      <c r="E497" s="13" t="inlineStr">
        <is>
          <t>Electronics (B2C)</t>
        </is>
      </c>
      <c r="F497" s="14" t="inlineStr">
        <is>
          <t>San Francisco, CA</t>
        </is>
      </c>
      <c r="G497" s="15" t="inlineStr">
        <is>
          <t>Privately Held (backing)</t>
        </is>
      </c>
      <c r="H497" s="16" t="inlineStr">
        <is>
          <t>Venture Capital-Backed</t>
        </is>
      </c>
      <c r="I497" s="17" t="inlineStr">
        <is>
          <t>frogVentures</t>
        </is>
      </c>
      <c r="J497" s="18" t="inlineStr">
        <is>
          <t>www.voyomotive.com</t>
        </is>
      </c>
      <c r="K497" s="19" t="inlineStr">
        <is>
          <t>contact@voyomotive.com</t>
        </is>
      </c>
      <c r="L497" s="20" t="inlineStr">
        <is>
          <t/>
        </is>
      </c>
      <c r="M497" s="21" t="inlineStr">
        <is>
          <t>Peter Yorke</t>
        </is>
      </c>
      <c r="N497" s="22" t="inlineStr">
        <is>
          <t>Co-Founder, Board Member &amp; Chief Executive Officer</t>
        </is>
      </c>
      <c r="O497" s="23" t="inlineStr">
        <is>
          <t>peter@voyomotive.com</t>
        </is>
      </c>
      <c r="P497" s="24" t="inlineStr">
        <is>
          <t/>
        </is>
      </c>
      <c r="Q497" s="25" t="n">
        <v>2011.0</v>
      </c>
      <c r="R497" s="113">
        <f>HYPERLINK("https://my.pitchbook.com?c=167489-92", "View company online")</f>
      </c>
    </row>
    <row r="498">
      <c r="A498" s="27" t="inlineStr">
        <is>
          <t>153360-37</t>
        </is>
      </c>
      <c r="B498" s="28" t="inlineStr">
        <is>
          <t>Voyajoy</t>
        </is>
      </c>
      <c r="C498" s="29" t="inlineStr">
        <is>
          <t>94110</t>
        </is>
      </c>
      <c r="D498" s="30" t="inlineStr">
        <is>
          <t>Provider of vacation rental property management services. The company offers an automation software that helps users to manage rental properties, handle booking requests, screen guests and manage cleanings.</t>
        </is>
      </c>
      <c r="E498" s="31" t="inlineStr">
        <is>
          <t>Application Software</t>
        </is>
      </c>
      <c r="F498" s="32" t="inlineStr">
        <is>
          <t>San Francisco, CA</t>
        </is>
      </c>
      <c r="G498" s="33" t="inlineStr">
        <is>
          <t>Privately Held (backing)</t>
        </is>
      </c>
      <c r="H498" s="34" t="inlineStr">
        <is>
          <t>Venture Capital-Backed</t>
        </is>
      </c>
      <c r="I498" s="35" t="inlineStr">
        <is>
          <t>500 Startups, Rosecliff Ventures</t>
        </is>
      </c>
      <c r="J498" s="36" t="inlineStr">
        <is>
          <t>www.voyajoy.com</t>
        </is>
      </c>
      <c r="K498" s="37" t="inlineStr">
        <is>
          <t/>
        </is>
      </c>
      <c r="L498" s="38" t="inlineStr">
        <is>
          <t>+1 (415) 347-8038</t>
        </is>
      </c>
      <c r="M498" s="39" t="inlineStr">
        <is>
          <t>Wayne Thai</t>
        </is>
      </c>
      <c r="N498" s="40" t="inlineStr">
        <is>
          <t>Co-Founder</t>
        </is>
      </c>
      <c r="O498" s="41" t="inlineStr">
        <is>
          <t>wayne@voyajoy.com</t>
        </is>
      </c>
      <c r="P498" s="42" t="inlineStr">
        <is>
          <t>+1 (415) 347-8038</t>
        </is>
      </c>
      <c r="Q498" s="43" t="n">
        <v>2012.0</v>
      </c>
      <c r="R498" s="114">
        <f>HYPERLINK("https://my.pitchbook.com?c=153360-37", "View company online")</f>
      </c>
    </row>
    <row r="499">
      <c r="A499" s="9" t="inlineStr">
        <is>
          <t>156251-89</t>
        </is>
      </c>
      <c r="B499" s="10" t="inlineStr">
        <is>
          <t>VoyageOne</t>
        </is>
      </c>
      <c r="C499" s="11" t="inlineStr">
        <is>
          <t>90703</t>
        </is>
      </c>
      <c r="D499" s="12" t="inlineStr">
        <is>
          <t>Provider of a cloud-based e-commerce platform. The company provides a turnkey cloud-based eCommerce services that enable the United States retailer and manufacturers to integrate, manage and optimize their product sales across online channels in China's market.</t>
        </is>
      </c>
      <c r="E499" s="13" t="inlineStr">
        <is>
          <t>Internet Retail</t>
        </is>
      </c>
      <c r="F499" s="14" t="inlineStr">
        <is>
          <t>Cerritos, CA</t>
        </is>
      </c>
      <c r="G499" s="15" t="inlineStr">
        <is>
          <t>Privately Held (backing)</t>
        </is>
      </c>
      <c r="H499" s="16" t="inlineStr">
        <is>
          <t>Venture Capital-Backed</t>
        </is>
      </c>
      <c r="I499" s="17" t="inlineStr">
        <is>
          <t/>
        </is>
      </c>
      <c r="J499" s="18" t="inlineStr">
        <is>
          <t>www.voyageone.com</t>
        </is>
      </c>
      <c r="K499" s="19" t="inlineStr">
        <is>
          <t>info@voyageone.com</t>
        </is>
      </c>
      <c r="L499" s="20" t="inlineStr">
        <is>
          <t>+1 (562) 977-640</t>
        </is>
      </c>
      <c r="M499" s="21" t="inlineStr">
        <is>
          <t>Dennis Zhang</t>
        </is>
      </c>
      <c r="N499" s="22" t="inlineStr">
        <is>
          <t>Founder &amp; Chief Executive Officer</t>
        </is>
      </c>
      <c r="O499" s="23" t="inlineStr">
        <is>
          <t>dennis@voyageone.com</t>
        </is>
      </c>
      <c r="P499" s="24" t="inlineStr">
        <is>
          <t>+1 (562) 977-640</t>
        </is>
      </c>
      <c r="Q499" s="25" t="n">
        <v>2002.0</v>
      </c>
      <c r="R499" s="113">
        <f>HYPERLINK("https://my.pitchbook.com?c=156251-89", "View company online")</f>
      </c>
    </row>
    <row r="500">
      <c r="A500" s="27" t="inlineStr">
        <is>
          <t>179508-16</t>
        </is>
      </c>
      <c r="B500" s="28" t="inlineStr">
        <is>
          <t>Voyage</t>
        </is>
      </c>
      <c r="C500" s="29" t="inlineStr">
        <is>
          <t>95126</t>
        </is>
      </c>
      <c r="D500" s="30" t="inlineStr">
        <is>
          <t>Provider of autonomous taxi service intended to carry people anywhere for a very low cost. The company's autonomous taxi service focuses on creating a fleet of self-driving taxis using retrofitted mass-production automobiles, enabling passengers to control the whole experience.</t>
        </is>
      </c>
      <c r="E500" s="31" t="inlineStr">
        <is>
          <t>Automotive</t>
        </is>
      </c>
      <c r="F500" s="32" t="inlineStr">
        <is>
          <t>San Jose, CA</t>
        </is>
      </c>
      <c r="G500" s="33" t="inlineStr">
        <is>
          <t>Privately Held (backing)</t>
        </is>
      </c>
      <c r="H500" s="34" t="inlineStr">
        <is>
          <t>Venture Capital-Backed</t>
        </is>
      </c>
      <c r="I500" s="35" t="inlineStr">
        <is>
          <t>Charles River Ventures, Initialized Capital, Khosla Ventures, Udacity</t>
        </is>
      </c>
      <c r="J500" s="36" t="inlineStr">
        <is>
          <t>www.voyage.auto</t>
        </is>
      </c>
      <c r="K500" s="37" t="inlineStr">
        <is>
          <t>contact@voyage.auto</t>
        </is>
      </c>
      <c r="L500" s="38" t="inlineStr">
        <is>
          <t/>
        </is>
      </c>
      <c r="M500" s="39" t="inlineStr">
        <is>
          <t>Oliver Cameron</t>
        </is>
      </c>
      <c r="N500" s="40" t="inlineStr">
        <is>
          <t>Chief Executive Officer</t>
        </is>
      </c>
      <c r="O500" s="41" t="inlineStr">
        <is>
          <t>oliver@voyage.auto</t>
        </is>
      </c>
      <c r="P500" s="42" t="inlineStr">
        <is>
          <t/>
        </is>
      </c>
      <c r="Q500" s="43" t="n">
        <v>2017.0</v>
      </c>
      <c r="R500" s="114">
        <f>HYPERLINK("https://my.pitchbook.com?c=179508-16", "View company online")</f>
      </c>
    </row>
    <row r="501">
      <c r="A501" s="9" t="inlineStr">
        <is>
          <t>55969-84</t>
        </is>
      </c>
      <c r="B501" s="10" t="inlineStr">
        <is>
          <t>Voxox</t>
        </is>
      </c>
      <c r="C501" s="11" t="inlineStr">
        <is>
          <t>92121</t>
        </is>
      </c>
      <c r="D501" s="12" t="inlineStr">
        <is>
          <t>Provider of unified cloud communication services for consumers and businesses. The company offers VoxOx desktop and iPhone applications that combine features like VoIP calling, texting, chatting and faxing with social networking.</t>
        </is>
      </c>
      <c r="E501" s="13" t="inlineStr">
        <is>
          <t>Application Software</t>
        </is>
      </c>
      <c r="F501" s="14" t="inlineStr">
        <is>
          <t>San Diego, CA</t>
        </is>
      </c>
      <c r="G501" s="15" t="inlineStr">
        <is>
          <t>Privately Held (backing)</t>
        </is>
      </c>
      <c r="H501" s="16" t="inlineStr">
        <is>
          <t>Venture Capital-Backed</t>
        </is>
      </c>
      <c r="I501" s="17" t="inlineStr">
        <is>
          <t>SBD Global Fund</t>
        </is>
      </c>
      <c r="J501" s="18" t="inlineStr">
        <is>
          <t>www.voxox.com</t>
        </is>
      </c>
      <c r="K501" s="19" t="inlineStr">
        <is>
          <t/>
        </is>
      </c>
      <c r="L501" s="20" t="inlineStr">
        <is>
          <t>+1 (619) 900-9000</t>
        </is>
      </c>
      <c r="M501" s="21" t="inlineStr">
        <is>
          <t>Jim Krupiarz</t>
        </is>
      </c>
      <c r="N501" s="22" t="inlineStr">
        <is>
          <t>Chief Financial Officer &amp; Executive Vice President, Finance</t>
        </is>
      </c>
      <c r="O501" s="23" t="inlineStr">
        <is>
          <t>jim.krupiarz@telcentris.com</t>
        </is>
      </c>
      <c r="P501" s="24" t="inlineStr">
        <is>
          <t>+1 (619) 900-9000</t>
        </is>
      </c>
      <c r="Q501" s="25" t="n">
        <v>2006.0</v>
      </c>
      <c r="R501" s="113">
        <f>HYPERLINK("https://my.pitchbook.com?c=55969-84", "View company online")</f>
      </c>
    </row>
    <row r="502">
      <c r="A502" s="27" t="inlineStr">
        <is>
          <t>53913-34</t>
        </is>
      </c>
      <c r="B502" s="28" t="inlineStr">
        <is>
          <t>Voxer</t>
        </is>
      </c>
      <c r="C502" s="29" t="inlineStr">
        <is>
          <t>94105</t>
        </is>
      </c>
      <c r="D502" s="30" t="inlineStr">
        <is>
          <t>Provider of a walkie talkie application for smartphones. The company offers an instant voice communications application for Android, iPhone, Windows Phone 8 and desktop that enables its users to send instant audio, text and photo messages.</t>
        </is>
      </c>
      <c r="E502" s="31" t="inlineStr">
        <is>
          <t>Application Software</t>
        </is>
      </c>
      <c r="F502" s="32" t="inlineStr">
        <is>
          <t>San Francisco, CA</t>
        </is>
      </c>
      <c r="G502" s="33" t="inlineStr">
        <is>
          <t>Privately Held (backing)</t>
        </is>
      </c>
      <c r="H502" s="34" t="inlineStr">
        <is>
          <t>Venture Capital-Backed</t>
        </is>
      </c>
      <c r="I502" s="35" t="inlineStr">
        <is>
          <t>AFSquare, Brian Pokorny, Christopher Dixon, CrunchFund, Individual Investor, Intel Capital, IT-Farm Corporation, IVP, James Pallotta, Matthew Brezina, Michael Acheson, Pilot Growth Equity, Roger McNamee, Scott Sahadi, Solebury Capital Group, SV Angel, Troy Carter, Webb Investment Network, William Tai, Windcrest Partners</t>
        </is>
      </c>
      <c r="J502" s="36" t="inlineStr">
        <is>
          <t>www.voxer.com</t>
        </is>
      </c>
      <c r="K502" s="37" t="inlineStr">
        <is>
          <t>info@voxer.com</t>
        </is>
      </c>
      <c r="L502" s="38" t="inlineStr">
        <is>
          <t/>
        </is>
      </c>
      <c r="M502" s="39" t="inlineStr">
        <is>
          <t>Tom Katis</t>
        </is>
      </c>
      <c r="N502" s="40" t="inlineStr">
        <is>
          <t>Chairman &amp; Co-Founder</t>
        </is>
      </c>
      <c r="O502" s="41" t="inlineStr">
        <is>
          <t>tom.katis@voxer.com</t>
        </is>
      </c>
      <c r="P502" s="42" t="inlineStr">
        <is>
          <t>+1 (703) 673-5000</t>
        </is>
      </c>
      <c r="Q502" s="43" t="n">
        <v>2007.0</v>
      </c>
      <c r="R502" s="114">
        <f>HYPERLINK("https://my.pitchbook.com?c=53913-34", "View company online")</f>
      </c>
    </row>
    <row r="503">
      <c r="A503" s="9" t="inlineStr">
        <is>
          <t>181314-10</t>
        </is>
      </c>
      <c r="B503" s="10" t="inlineStr">
        <is>
          <t>VoxelCloud</t>
        </is>
      </c>
      <c r="C503" s="85">
        <f>HYPERLINK("https://my.pitchbook.com?rrp=181314-10&amp;type=c",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row>
    <row r="504">
      <c r="A504" s="27" t="inlineStr">
        <is>
          <t>57583-99</t>
        </is>
      </c>
      <c r="B504" s="28" t="inlineStr">
        <is>
          <t>Voxeet</t>
        </is>
      </c>
      <c r="C504" s="29" t="inlineStr">
        <is>
          <t>94965</t>
        </is>
      </c>
      <c r="D504" s="30" t="inlineStr">
        <is>
          <t>Provider of audio conference technology and services. The company provides TrueVoice, 3D surround sound technology and collaboration capabilities for conference rooms run by distributed teams.</t>
        </is>
      </c>
      <c r="E504" s="31" t="inlineStr">
        <is>
          <t>Communication Software</t>
        </is>
      </c>
      <c r="F504" s="32" t="inlineStr">
        <is>
          <t>Sausalito, CA</t>
        </is>
      </c>
      <c r="G504" s="33" t="inlineStr">
        <is>
          <t>Privately Held (backing)</t>
        </is>
      </c>
      <c r="H504" s="34" t="inlineStr">
        <is>
          <t>Venture Capital-Backed</t>
        </is>
      </c>
      <c r="I504" s="35" t="inlineStr">
        <is>
          <t>500 Startups, AQUITI Gestion, Han-Sheong Lai, Jérémie Berrebi, Kima Ventures, LDV Partners, Oleg Tscheltzoff, Partech Ventures, Susan Xu</t>
        </is>
      </c>
      <c r="J504" s="36" t="inlineStr">
        <is>
          <t>www.voxeet.com</t>
        </is>
      </c>
      <c r="K504" s="37" t="inlineStr">
        <is>
          <t>info@voxeet.com</t>
        </is>
      </c>
      <c r="L504" s="38" t="inlineStr">
        <is>
          <t/>
        </is>
      </c>
      <c r="M504" s="39" t="inlineStr">
        <is>
          <t>Stephane Giraudie</t>
        </is>
      </c>
      <c r="N504" s="40" t="inlineStr">
        <is>
          <t>Co-Founder, Chief Executive Officer &amp; Board Member</t>
        </is>
      </c>
      <c r="O504" s="41" t="inlineStr">
        <is>
          <t>stephane.giraudie@voxeet.com</t>
        </is>
      </c>
      <c r="P504" s="42" t="inlineStr">
        <is>
          <t/>
        </is>
      </c>
      <c r="Q504" s="43" t="n">
        <v>2009.0</v>
      </c>
      <c r="R504" s="114">
        <f>HYPERLINK("https://my.pitchbook.com?c=57583-99", "View company online")</f>
      </c>
    </row>
    <row r="505">
      <c r="A505" s="9" t="inlineStr">
        <is>
          <t>51252-85</t>
        </is>
      </c>
      <c r="B505" s="10" t="inlineStr">
        <is>
          <t>Vox Media</t>
        </is>
      </c>
      <c r="C505" s="11" t="inlineStr">
        <is>
          <t>20036</t>
        </is>
      </c>
      <c r="D505" s="12" t="inlineStr">
        <is>
          <t>Operator of an online media publishing company designed to build smart brands that people love. The company owns and operates three online portals in distinct vertical categories such as SB Nation, an online sports media brand and network of fan centric communities, The Verge, focused on technology news and Polygon, a media outlet focused on adult gamers.</t>
        </is>
      </c>
      <c r="E505" s="13" t="inlineStr">
        <is>
          <t>Media and Information Services (B2B)</t>
        </is>
      </c>
      <c r="F505" s="14" t="inlineStr">
        <is>
          <t>Washington, DC</t>
        </is>
      </c>
      <c r="G505" s="15" t="inlineStr">
        <is>
          <t>Privately Held (backing)</t>
        </is>
      </c>
      <c r="H505" s="16" t="inlineStr">
        <is>
          <t>Venture Capital-Backed</t>
        </is>
      </c>
      <c r="I505" s="17" t="inlineStr">
        <is>
          <t>Accel, Allen &amp; Company, Brent Jones, Comcast Ventures, Daniel Rosensweig, General Atlantic, Jeffrey Weiner, Khosla Ventures, NBCUniversal, Ted Leonsis</t>
        </is>
      </c>
      <c r="J505" s="18" t="inlineStr">
        <is>
          <t>www.voxmedia.com</t>
        </is>
      </c>
      <c r="K505" s="19" t="inlineStr">
        <is>
          <t>info@voxmedia.com</t>
        </is>
      </c>
      <c r="L505" s="20" t="inlineStr">
        <is>
          <t>+1 (202) 591-1140</t>
        </is>
      </c>
      <c r="M505" s="21" t="inlineStr">
        <is>
          <t>Stephen Swad</t>
        </is>
      </c>
      <c r="N505" s="22" t="inlineStr">
        <is>
          <t>Chief Financial Officer</t>
        </is>
      </c>
      <c r="O505" s="23" t="inlineStr">
        <is>
          <t/>
        </is>
      </c>
      <c r="P505" s="24" t="inlineStr">
        <is>
          <t>+1 (202) 591-1140</t>
        </is>
      </c>
      <c r="Q505" s="25" t="n">
        <v>2003.0</v>
      </c>
      <c r="R505" s="113">
        <f>HYPERLINK("https://my.pitchbook.com?c=51252-85", "View company online")</f>
      </c>
    </row>
    <row r="506">
      <c r="A506" s="27" t="inlineStr">
        <is>
          <t>99461-98</t>
        </is>
      </c>
      <c r="B506" s="28" t="inlineStr">
        <is>
          <t>VOX (Coppertino)</t>
        </is>
      </c>
      <c r="C506" s="29" t="inlineStr">
        <is>
          <t>19801</t>
        </is>
      </c>
      <c r="D506" s="30" t="inlineStr">
        <is>
          <t>Developer of an audio player for MAC. The company develops audio player application which supports playing different file formats including the ones that are not supported by iTunes with minimalistic interface for the MAC application store where there are no audio losses, enabling users to experience better sound and music quality.</t>
        </is>
      </c>
      <c r="E506" s="31" t="inlineStr">
        <is>
          <t>Movies, Music and Entertainment</t>
        </is>
      </c>
      <c r="F506" s="32" t="inlineStr">
        <is>
          <t>Wilmington, DE</t>
        </is>
      </c>
      <c r="G506" s="33" t="inlineStr">
        <is>
          <t>Privately Held (backing)</t>
        </is>
      </c>
      <c r="H506" s="34" t="inlineStr">
        <is>
          <t>Venture Capital-Backed</t>
        </is>
      </c>
      <c r="I506" s="35" t="inlineStr">
        <is>
          <t>AVentures Capital, BeValue, GrowthUP Business Accelerator, Iig Internet Investments Group, TA Ventures</t>
        </is>
      </c>
      <c r="J506" s="36" t="inlineStr">
        <is>
          <t>vox.rocks</t>
        </is>
      </c>
      <c r="K506" s="37" t="inlineStr">
        <is>
          <t>dmca@coppertino.com</t>
        </is>
      </c>
      <c r="L506" s="38" t="inlineStr">
        <is>
          <t>+1 (888) 765-7069</t>
        </is>
      </c>
      <c r="M506" s="39" t="inlineStr">
        <is>
          <t>Petro Bondarevskyi</t>
        </is>
      </c>
      <c r="N506" s="40" t="inlineStr">
        <is>
          <t>Co-Chief Financial Officer, Co-Chief Executive Officer &amp; Co-Founder</t>
        </is>
      </c>
      <c r="O506" s="41" t="inlineStr">
        <is>
          <t>petro@iig-global.com</t>
        </is>
      </c>
      <c r="P506" s="42" t="inlineStr">
        <is>
          <t>+380 (0)44 377 73 08</t>
        </is>
      </c>
      <c r="Q506" s="43" t="n">
        <v>2011.0</v>
      </c>
      <c r="R506" s="114">
        <f>HYPERLINK("https://my.pitchbook.com?c=99461-98", "View company online")</f>
      </c>
    </row>
    <row r="507">
      <c r="A507" s="9" t="inlineStr">
        <is>
          <t>60946-93</t>
        </is>
      </c>
      <c r="B507" s="10" t="inlineStr">
        <is>
          <t>Vow To Be Chic</t>
        </is>
      </c>
      <c r="C507" s="11" t="inlineStr">
        <is>
          <t>90401</t>
        </is>
      </c>
      <c r="D507" s="12" t="inlineStr">
        <is>
          <t>Provider of online rental of bridesmaid dresses. The company allows women to select wedding dresses online and also offer services such as at-home try-on, shipping, dry cleaning and insurance.</t>
        </is>
      </c>
      <c r="E507" s="13" t="inlineStr">
        <is>
          <t>Clothing</t>
        </is>
      </c>
      <c r="F507" s="14" t="inlineStr">
        <is>
          <t>Santa Monica, CA</t>
        </is>
      </c>
      <c r="G507" s="15" t="inlineStr">
        <is>
          <t>Privately Held (backing)</t>
        </is>
      </c>
      <c r="H507" s="16" t="inlineStr">
        <is>
          <t>Venture Capital-Backed</t>
        </is>
      </c>
      <c r="I507" s="17" t="inlineStr">
        <is>
          <t>Bam Ventures, Brilliant Ventures, Galvanize Ventures, Launchpad LA, Pritzker Group Venture Capital, Wavemaker Partners, Women's Venture Capital Fund</t>
        </is>
      </c>
      <c r="J507" s="18" t="inlineStr">
        <is>
          <t>www.vowtobechic.com</t>
        </is>
      </c>
      <c r="K507" s="19" t="inlineStr">
        <is>
          <t>hello@vowtobechic.com</t>
        </is>
      </c>
      <c r="L507" s="20" t="inlineStr">
        <is>
          <t>+1 (844) 932-7869</t>
        </is>
      </c>
      <c r="M507" s="21" t="inlineStr">
        <is>
          <t>Kelsey Doorey</t>
        </is>
      </c>
      <c r="N507" s="22" t="inlineStr">
        <is>
          <t>Chief Executive Officer, Board Member &amp; Co-Founder</t>
        </is>
      </c>
      <c r="O507" s="23" t="inlineStr">
        <is>
          <t>kelsey@vowtobechic.com</t>
        </is>
      </c>
      <c r="P507" s="24" t="inlineStr">
        <is>
          <t>+1 (844) 932-7869</t>
        </is>
      </c>
      <c r="Q507" s="25" t="n">
        <v>2013.0</v>
      </c>
      <c r="R507" s="113">
        <f>HYPERLINK("https://my.pitchbook.com?c=60946-93", "View company online")</f>
      </c>
    </row>
    <row r="508">
      <c r="A508" s="27" t="inlineStr">
        <is>
          <t>104777-38</t>
        </is>
      </c>
      <c r="B508" s="28" t="inlineStr">
        <is>
          <t>Votiro</t>
        </is>
      </c>
      <c r="C508" s="29" t="inlineStr">
        <is>
          <t>94086</t>
        </is>
      </c>
      <c r="D508" s="30" t="inlineStr">
        <is>
          <t>Provider of Advanced Content Disarm and Reconstruction technology. The company provides organizations with protection against undisclosed and zero-day exploits threats that are used in targeted cyber attacks.</t>
        </is>
      </c>
      <c r="E508" s="31" t="inlineStr">
        <is>
          <t>Network Management Software</t>
        </is>
      </c>
      <c r="F508" s="32" t="inlineStr">
        <is>
          <t>Sunnyvale, CA</t>
        </is>
      </c>
      <c r="G508" s="33" t="inlineStr">
        <is>
          <t>Privately Held (backing)</t>
        </is>
      </c>
      <c r="H508" s="34" t="inlineStr">
        <is>
          <t>Venture Capital-Backed</t>
        </is>
      </c>
      <c r="I508" s="35" t="inlineStr">
        <is>
          <t>Redfield Asset Management</t>
        </is>
      </c>
      <c r="J508" s="36" t="inlineStr">
        <is>
          <t>www.votiro.com</t>
        </is>
      </c>
      <c r="K508" s="37" t="inlineStr">
        <is>
          <t>info@votiro.com</t>
        </is>
      </c>
      <c r="L508" s="38" t="inlineStr">
        <is>
          <t>+1 (415) 231-3725</t>
        </is>
      </c>
      <c r="M508" s="39" t="inlineStr">
        <is>
          <t>Itay Glick</t>
        </is>
      </c>
      <c r="N508" s="40" t="inlineStr">
        <is>
          <t>Chief Executive Officer &amp; Co-Founder</t>
        </is>
      </c>
      <c r="O508" s="41" t="inlineStr">
        <is>
          <t>itay@votiro.com</t>
        </is>
      </c>
      <c r="P508" s="42" t="inlineStr">
        <is>
          <t>+972 (0)73 737 4102</t>
        </is>
      </c>
      <c r="Q508" s="43" t="n">
        <v>2010.0</v>
      </c>
      <c r="R508" s="114">
        <f>HYPERLINK("https://my.pitchbook.com?c=104777-38", "View company online")</f>
      </c>
    </row>
    <row r="509">
      <c r="A509" s="9" t="inlineStr">
        <is>
          <t>147188-26</t>
        </is>
      </c>
      <c r="B509" s="10" t="inlineStr">
        <is>
          <t>Vortex Biosciences</t>
        </is>
      </c>
      <c r="C509" s="11" t="inlineStr">
        <is>
          <t>94025</t>
        </is>
      </c>
      <c r="D509" s="12" t="inlineStr">
        <is>
          <t>Developer of a cancer diagnostic instrument designed to be the innovation leader in CTC capture technology delivering diagnostic tests that improve therapeutic decisions and save lives. The company's liquid biopsy automated instrument (VTX-1) and microfluidic cartridge for the isolation of circulating tumour cells from whole blood without the need for any pre-treatment, enables high purity and collection efficiency of intact circulating tumour cells in less than an hour.</t>
        </is>
      </c>
      <c r="E509" s="13" t="inlineStr">
        <is>
          <t>Diagnostic Equipment</t>
        </is>
      </c>
      <c r="F509" s="14" t="inlineStr">
        <is>
          <t>Menlo Park, CA</t>
        </is>
      </c>
      <c r="G509" s="15" t="inlineStr">
        <is>
          <t>Privately Held (backing)</t>
        </is>
      </c>
      <c r="H509" s="16" t="inlineStr">
        <is>
          <t>Venture Capital-Backed</t>
        </is>
      </c>
      <c r="I509" s="17" t="inlineStr">
        <is>
          <t>NetScientific</t>
        </is>
      </c>
      <c r="J509" s="18" t="inlineStr">
        <is>
          <t>vortexbiosciences.com</t>
        </is>
      </c>
      <c r="K509" s="19" t="inlineStr">
        <is>
          <t>info@vortexbiosciences.com</t>
        </is>
      </c>
      <c r="L509" s="20" t="inlineStr">
        <is>
          <t>+1 (650) 328-1644</t>
        </is>
      </c>
      <c r="M509" s="21" t="inlineStr">
        <is>
          <t>Gene Walther</t>
        </is>
      </c>
      <c r="N509" s="22" t="inlineStr">
        <is>
          <t>Chief Executive Officer &amp; Board Member</t>
        </is>
      </c>
      <c r="O509" s="23" t="inlineStr">
        <is>
          <t>gene.walther@vortexbiosciences.com</t>
        </is>
      </c>
      <c r="P509" s="24" t="inlineStr">
        <is>
          <t>+1 (650) 328-1644</t>
        </is>
      </c>
      <c r="Q509" s="25" t="n">
        <v>2012.0</v>
      </c>
      <c r="R509" s="113">
        <f>HYPERLINK("https://my.pitchbook.com?c=147188-26", "View company online")</f>
      </c>
    </row>
    <row r="510">
      <c r="A510" s="27" t="inlineStr">
        <is>
          <t>64005-76</t>
        </is>
      </c>
      <c r="B510" s="28" t="inlineStr">
        <is>
          <t>Vonjour</t>
        </is>
      </c>
      <c r="C510" s="29" t="inlineStr">
        <is>
          <t>90066</t>
        </is>
      </c>
      <c r="D510" s="30" t="inlineStr">
        <is>
          <t>Provider of customer communications platform. The company provides the communication platform which allow organization to connect with its customer with any flaw.</t>
        </is>
      </c>
      <c r="E510" s="31" t="inlineStr">
        <is>
          <t>Application Software</t>
        </is>
      </c>
      <c r="F510" s="32" t="inlineStr">
        <is>
          <t>Los Angeles, CA</t>
        </is>
      </c>
      <c r="G510" s="33" t="inlineStr">
        <is>
          <t>Privately Held (backing)</t>
        </is>
      </c>
      <c r="H510" s="34" t="inlineStr">
        <is>
          <t>Venture Capital-Backed</t>
        </is>
      </c>
      <c r="I510" s="35" t="inlineStr">
        <is>
          <t>500 Startups, Jérémie Berrebi, Kima Ventures</t>
        </is>
      </c>
      <c r="J510" s="36" t="inlineStr">
        <is>
          <t>www.vonjour.com</t>
        </is>
      </c>
      <c r="K510" s="37" t="inlineStr">
        <is>
          <t>info@vonjour.com</t>
        </is>
      </c>
      <c r="L510" s="38" t="inlineStr">
        <is>
          <t>+1 (855) 201-4982</t>
        </is>
      </c>
      <c r="M510" s="39" t="inlineStr">
        <is>
          <t>Dinesh Ravishanker</t>
        </is>
      </c>
      <c r="N510" s="40" t="inlineStr">
        <is>
          <t>Chief Executive Officer &amp; Co-Founder</t>
        </is>
      </c>
      <c r="O510" s="41" t="inlineStr">
        <is>
          <t>dinesh@vonjour.com</t>
        </is>
      </c>
      <c r="P510" s="42" t="inlineStr">
        <is>
          <t>+1 (855) 201-4982</t>
        </is>
      </c>
      <c r="Q510" s="43" t="n">
        <v>2013.0</v>
      </c>
      <c r="R510" s="114">
        <f>HYPERLINK("https://my.pitchbook.com?c=64005-76", "View company online")</f>
      </c>
    </row>
    <row r="511">
      <c r="A511" s="9" t="inlineStr">
        <is>
          <t>119154-97</t>
        </is>
      </c>
      <c r="B511" s="10" t="inlineStr">
        <is>
          <t>Von Gutenberg</t>
        </is>
      </c>
      <c r="C511" s="11" t="inlineStr">
        <is>
          <t/>
        </is>
      </c>
      <c r="D511" s="12" t="inlineStr">
        <is>
          <t>Developer of an online fashion portal designed to focus on fashion, latex and lifestyle. The company's fashion portal publishes a magazine and helps to promote fantasy art, erotic fiction, one-of-a-kind fashion design photography and event reporting, enabling fashion fans, designers, performers, celebrities, working models and newsmakers to interact across a global wide couture spectrum connected to many other net destinations.</t>
        </is>
      </c>
      <c r="E511" s="13" t="inlineStr">
        <is>
          <t>Information Services (B2C)</t>
        </is>
      </c>
      <c r="F511" s="14" t="inlineStr">
        <is>
          <t>San Francisco, CA</t>
        </is>
      </c>
      <c r="G511" s="15" t="inlineStr">
        <is>
          <t>Privately Held (backing)</t>
        </is>
      </c>
      <c r="H511" s="16" t="inlineStr">
        <is>
          <t>Venture Capital-Backed</t>
        </is>
      </c>
      <c r="I511" s="17" t="inlineStr">
        <is>
          <t>Rudyard Partners</t>
        </is>
      </c>
      <c r="J511" s="18" t="inlineStr">
        <is>
          <t>www.vongutenberg.com</t>
        </is>
      </c>
      <c r="K511" s="19" t="inlineStr">
        <is>
          <t>info@vongutenbergmedia.com</t>
        </is>
      </c>
      <c r="L511" s="20" t="inlineStr">
        <is>
          <t>+1 (858) 866-8837</t>
        </is>
      </c>
      <c r="M511" s="21" t="inlineStr">
        <is>
          <t>Erik Gutenberg</t>
        </is>
      </c>
      <c r="N511" s="22" t="inlineStr">
        <is>
          <t>Chief Executive Officer &amp; Publisher</t>
        </is>
      </c>
      <c r="O511" s="23" t="inlineStr">
        <is>
          <t>evg@vongutenberg.com</t>
        </is>
      </c>
      <c r="P511" s="24" t="inlineStr">
        <is>
          <t>+1 (858) 866-8837</t>
        </is>
      </c>
      <c r="Q511" s="25" t="n">
        <v>2009.0</v>
      </c>
      <c r="R511" s="113">
        <f>HYPERLINK("https://my.pitchbook.com?c=119154-97", "View company online")</f>
      </c>
    </row>
    <row r="512">
      <c r="A512" s="27" t="inlineStr">
        <is>
          <t>52785-46</t>
        </is>
      </c>
      <c r="B512" s="28" t="inlineStr">
        <is>
          <t>VoltDB</t>
        </is>
      </c>
      <c r="C512" s="29" t="inlineStr">
        <is>
          <t>01730</t>
        </is>
      </c>
      <c r="D512" s="30" t="inlineStr">
        <is>
          <t>Provider of in-memory operational database designed to ingest data, analyze data and act on data in milliseconds with real-time experience. The company's in-memory operational database interact on unlimited streams of inbound data, make per-event data-driven decisions on live data, perform real-time analytics on fast-moving data and export data to longer-term analytics stores as fast as it arrives, enabling businesses ability to process data, make real-time decisions and deliver more personalized interactions that create superior business value.</t>
        </is>
      </c>
      <c r="E512" s="31" t="inlineStr">
        <is>
          <t>Database Software</t>
        </is>
      </c>
      <c r="F512" s="32" t="inlineStr">
        <is>
          <t>Bedford, MA</t>
        </is>
      </c>
      <c r="G512" s="33" t="inlineStr">
        <is>
          <t>Privately Held (backing)</t>
        </is>
      </c>
      <c r="H512" s="34" t="inlineStr">
        <is>
          <t>Venture Capital-Backed</t>
        </is>
      </c>
      <c r="I512" s="35" t="inlineStr">
        <is>
          <t>Andrew Palmer, Kepha Partners, Koa Labs, Sigma Partners, Sigma Prime Ventures</t>
        </is>
      </c>
      <c r="J512" s="36" t="inlineStr">
        <is>
          <t>www.voltdb.com</t>
        </is>
      </c>
      <c r="K512" s="37" t="inlineStr">
        <is>
          <t>info@voltdb.com</t>
        </is>
      </c>
      <c r="L512" s="38" t="inlineStr">
        <is>
          <t>+1 (978) 528-4660</t>
        </is>
      </c>
      <c r="M512" s="39" t="inlineStr">
        <is>
          <t>Scott Powers</t>
        </is>
      </c>
      <c r="N512" s="40" t="inlineStr">
        <is>
          <t>Chief Financial Officer</t>
        </is>
      </c>
      <c r="O512" s="41" t="inlineStr">
        <is>
          <t>spowers@voltdb.com</t>
        </is>
      </c>
      <c r="P512" s="42" t="inlineStr">
        <is>
          <t>+1 (978) 528-4660</t>
        </is>
      </c>
      <c r="Q512" s="43" t="n">
        <v>2009.0</v>
      </c>
      <c r="R512" s="114">
        <f>HYPERLINK("https://my.pitchbook.com?c=52785-46", "View company online")</f>
      </c>
    </row>
    <row r="513">
      <c r="A513" s="9" t="inlineStr">
        <is>
          <t>56860-48</t>
        </is>
      </c>
      <c r="B513" s="10" t="inlineStr">
        <is>
          <t>Voltaiq</t>
        </is>
      </c>
      <c r="C513" s="11" t="inlineStr">
        <is>
          <t>11201</t>
        </is>
      </c>
      <c r="D513" s="12" t="inlineStr">
        <is>
          <t>Developer of web-based data visualization and analytics tools for scientists and engineers. The company develops key predictive insights into battery performance for companies developing and operating batteries and battery-powered products. Its SaaS informatics platform tracks device behavior throughout the product lifecycle and provides interactive access to all battery data.</t>
        </is>
      </c>
      <c r="E513" s="13" t="inlineStr">
        <is>
          <t>Other Software</t>
        </is>
      </c>
      <c r="F513" s="14" t="inlineStr">
        <is>
          <t>New York, NY</t>
        </is>
      </c>
      <c r="G513" s="15" t="inlineStr">
        <is>
          <t>Privately Held (backing)</t>
        </is>
      </c>
      <c r="H513" s="16" t="inlineStr">
        <is>
          <t>Venture Capital-Backed</t>
        </is>
      </c>
      <c r="I513" s="17" t="inlineStr">
        <is>
          <t>Bee Partners, National Science Foundation, NYU Polytech Incubator, NYU Tandon Incubators, Powerhouse (Accelerator), U.S. Department of Energy, Urban Future Lab, Zipdragon Ventures</t>
        </is>
      </c>
      <c r="J513" s="18" t="inlineStr">
        <is>
          <t>www.voltaiq.com</t>
        </is>
      </c>
      <c r="K513" s="19" t="inlineStr">
        <is>
          <t>info@voltaiq.io</t>
        </is>
      </c>
      <c r="L513" s="20" t="inlineStr">
        <is>
          <t>+1 (646) 586-3062</t>
        </is>
      </c>
      <c r="M513" s="21" t="inlineStr">
        <is>
          <t>Tal Sholklapper</t>
        </is>
      </c>
      <c r="N513" s="22" t="inlineStr">
        <is>
          <t>Co-Founder, Chief Executive Officer &amp; President</t>
        </is>
      </c>
      <c r="O513" s="23" t="inlineStr">
        <is>
          <t>tal@voltaiq.io</t>
        </is>
      </c>
      <c r="P513" s="24" t="inlineStr">
        <is>
          <t>+1 (646) 586-3062</t>
        </is>
      </c>
      <c r="Q513" s="25" t="n">
        <v>2012.0</v>
      </c>
      <c r="R513" s="113">
        <f>HYPERLINK("https://my.pitchbook.com?c=56860-48", "View company online")</f>
      </c>
    </row>
    <row r="514">
      <c r="A514" s="27" t="inlineStr">
        <is>
          <t>56417-32</t>
        </is>
      </c>
      <c r="B514" s="28" t="inlineStr">
        <is>
          <t>Volta (San Francisco)</t>
        </is>
      </c>
      <c r="C514" s="29" t="inlineStr">
        <is>
          <t>94107</t>
        </is>
      </c>
      <c r="D514" s="30" t="inlineStr">
        <is>
          <t>Provider of public, free-to-use electric vehicle charging networks. The company offers turnkey electric vehicle, including planning, installation, networking, service and revenue management. It also leverage sponsorships with advertisers that provide free charging to electric vehicle drivers at popular destinations, in exchange for high-profile, high-visibility targeted advertising.</t>
        </is>
      </c>
      <c r="E514" s="31" t="inlineStr">
        <is>
          <t>Energy Infrastructure</t>
        </is>
      </c>
      <c r="F514" s="32" t="inlineStr">
        <is>
          <t>San Francisco, CA</t>
        </is>
      </c>
      <c r="G514" s="33" t="inlineStr">
        <is>
          <t>Privately Held (backing)</t>
        </is>
      </c>
      <c r="H514" s="34" t="inlineStr">
        <is>
          <t>Venture Capital-Backed</t>
        </is>
      </c>
      <c r="I514" s="35" t="inlineStr">
        <is>
          <t>500 Startups, Andy Warner, AutoTech Ventures, Barney Schauble, Blue Startups, Bob Rintel, EPIC Ventures, George Kellerman, Hawaii Angels, Peter Secor, Riverwood Capital, Rob Robinson, Simon Yoo, Three Bridges Ventures, Ulupono Initiative, Yun-Fang Juan</t>
        </is>
      </c>
      <c r="J514" s="36" t="inlineStr">
        <is>
          <t>www.voltacharging.com</t>
        </is>
      </c>
      <c r="K514" s="37" t="inlineStr">
        <is>
          <t/>
        </is>
      </c>
      <c r="L514" s="38" t="inlineStr">
        <is>
          <t>+1 (917) 838-3590</t>
        </is>
      </c>
      <c r="M514" s="39" t="inlineStr">
        <is>
          <t>Christopher Wendel</t>
        </is>
      </c>
      <c r="N514" s="40" t="inlineStr">
        <is>
          <t>President &amp; Board Member</t>
        </is>
      </c>
      <c r="O514" s="41" t="inlineStr">
        <is>
          <t>christopher@voltacharging.com</t>
        </is>
      </c>
      <c r="P514" s="42" t="inlineStr">
        <is>
          <t>+1 (917) 838-3590</t>
        </is>
      </c>
      <c r="Q514" s="43" t="n">
        <v>2010.0</v>
      </c>
      <c r="R514" s="114">
        <f>HYPERLINK("https://my.pitchbook.com?c=56417-32", "View company online")</f>
      </c>
    </row>
    <row r="515">
      <c r="A515" s="9" t="inlineStr">
        <is>
          <t>59016-61</t>
        </is>
      </c>
      <c r="B515" s="10" t="inlineStr">
        <is>
          <t>VoloAgri Group</t>
        </is>
      </c>
      <c r="C515" s="11" t="inlineStr">
        <is>
          <t>93401</t>
        </is>
      </c>
      <c r="D515" s="12" t="inlineStr">
        <is>
          <t>Operator of a global agricultural-technology company. The company invests in the global vegetable seed industry by providing hybrid breeding technologies to improve agricultural results and to foster sustainable agricultural practices.</t>
        </is>
      </c>
      <c r="E515" s="13" t="inlineStr">
        <is>
          <t>Horticulture</t>
        </is>
      </c>
      <c r="F515" s="14" t="inlineStr">
        <is>
          <t>San Luis Obispo, CA</t>
        </is>
      </c>
      <c r="G515" s="15" t="inlineStr">
        <is>
          <t>Privately Held (backing)</t>
        </is>
      </c>
      <c r="H515" s="16" t="inlineStr">
        <is>
          <t>Venture Capital-Backed</t>
        </is>
      </c>
      <c r="I515" s="17" t="inlineStr">
        <is>
          <t>Avrio Capital, CLSA Capital Partners, Kleiner Perkins Caufield &amp; Byers, Temasek Holdings, WP Global Partners</t>
        </is>
      </c>
      <c r="J515" s="18" t="inlineStr">
        <is>
          <t>www.voloagri.com</t>
        </is>
      </c>
      <c r="K515" s="19" t="inlineStr">
        <is>
          <t>info@voloagri.com</t>
        </is>
      </c>
      <c r="L515" s="20" t="inlineStr">
        <is>
          <t>+1 (805) 547-9391</t>
        </is>
      </c>
      <c r="M515" s="21" t="inlineStr">
        <is>
          <t>Anthony Padgett</t>
        </is>
      </c>
      <c r="N515" s="22" t="inlineStr">
        <is>
          <t>Founder, Chief Executive Officer &amp; Board Member</t>
        </is>
      </c>
      <c r="O515" s="23" t="inlineStr">
        <is>
          <t>anthony@voloagri.com</t>
        </is>
      </c>
      <c r="P515" s="24" t="inlineStr">
        <is>
          <t>+1 (805) 547-9391</t>
        </is>
      </c>
      <c r="Q515" s="25" t="n">
        <v>2012.0</v>
      </c>
      <c r="R515" s="113">
        <f>HYPERLINK("https://my.pitchbook.com?c=59016-61", "View company online")</f>
      </c>
    </row>
    <row r="516">
      <c r="A516" s="27" t="inlineStr">
        <is>
          <t>153811-54</t>
        </is>
      </c>
      <c r="B516" s="28" t="inlineStr">
        <is>
          <t>Volley Labs</t>
        </is>
      </c>
      <c r="C516" s="29" t="inlineStr">
        <is>
          <t>94107</t>
        </is>
      </c>
      <c r="D516" s="30" t="inlineStr">
        <is>
          <t>Developer of an adaptive learning platform designed to computationally understand and teach the world's academic knowledge within a decade. The company's adaptive learning platform is a peer-to-peer learning platform that transforms material like textbooks and assignments into personalized learning experiences, enabling students to make visual projects on varied subjects.</t>
        </is>
      </c>
      <c r="E516" s="31" t="inlineStr">
        <is>
          <t>Educational Software</t>
        </is>
      </c>
      <c r="F516" s="32" t="inlineStr">
        <is>
          <t>San Francisco, CA</t>
        </is>
      </c>
      <c r="G516" s="33" t="inlineStr">
        <is>
          <t>Privately Held (backing)</t>
        </is>
      </c>
      <c r="H516" s="34" t="inlineStr">
        <is>
          <t>Venture Capital-Backed</t>
        </is>
      </c>
      <c r="I516" s="35" t="inlineStr">
        <is>
          <t>Fresco Capital, Reach Capital, Tal Education Group, Zuckerberg Education Ventures</t>
        </is>
      </c>
      <c r="J516" s="36" t="inlineStr">
        <is>
          <t>www.volley.com</t>
        </is>
      </c>
      <c r="K516" s="37" t="inlineStr">
        <is>
          <t/>
        </is>
      </c>
      <c r="L516" s="38" t="inlineStr">
        <is>
          <t>+1 (415) 528-0231</t>
        </is>
      </c>
      <c r="M516" s="39" t="inlineStr">
        <is>
          <t>Zaidur Rahman</t>
        </is>
      </c>
      <c r="N516" s="40" t="inlineStr">
        <is>
          <t>Co-Founder, Board Member &amp; Chief Executive Officer</t>
        </is>
      </c>
      <c r="O516" s="41" t="inlineStr">
        <is>
          <t>zaid@joinvolley.com</t>
        </is>
      </c>
      <c r="P516" s="42" t="inlineStr">
        <is>
          <t>+1 (415) 528-0231</t>
        </is>
      </c>
      <c r="Q516" s="43" t="n">
        <v>2014.0</v>
      </c>
      <c r="R516" s="114">
        <f>HYPERLINK("https://my.pitchbook.com?c=153811-54", "View company online")</f>
      </c>
    </row>
    <row r="517">
      <c r="A517" s="9" t="inlineStr">
        <is>
          <t>52891-57</t>
        </is>
      </c>
      <c r="B517" s="10" t="inlineStr">
        <is>
          <t>Vokle</t>
        </is>
      </c>
      <c r="C517" s="11" t="inlineStr">
        <is>
          <t>90403</t>
        </is>
      </c>
      <c r="D517" s="12" t="inlineStr">
        <is>
          <t>Operator of live video broadcasting platform for hosting interactive events. The company offers a video broadcasting platform for hosting live events, live audience interaction as well as tools for event producers and customization and branding services.</t>
        </is>
      </c>
      <c r="E517" s="13" t="inlineStr">
        <is>
          <t>Social/Platform Software</t>
        </is>
      </c>
      <c r="F517" s="14" t="inlineStr">
        <is>
          <t>Santa Monica, CA</t>
        </is>
      </c>
      <c r="G517" s="15" t="inlineStr">
        <is>
          <t>Privately Held (backing)</t>
        </is>
      </c>
      <c r="H517" s="16" t="inlineStr">
        <is>
          <t>Venture Capital-Backed</t>
        </is>
      </c>
      <c r="I517" s="17" t="inlineStr">
        <is>
          <t>Amir Banifatemi, Individual Investor, Jim Brandt, K5 Ventures, Sacramento Angels, Sierra Angels, Tech Coast Angels</t>
        </is>
      </c>
      <c r="J517" s="18" t="inlineStr">
        <is>
          <t>www.vokle.com</t>
        </is>
      </c>
      <c r="K517" s="19" t="inlineStr">
        <is>
          <t>contact@vokle.com</t>
        </is>
      </c>
      <c r="L517" s="20" t="inlineStr">
        <is>
          <t>+1 (818) 723-2083</t>
        </is>
      </c>
      <c r="M517" s="21" t="inlineStr">
        <is>
          <t>Edward Dekeratry</t>
        </is>
      </c>
      <c r="N517" s="22" t="inlineStr">
        <is>
          <t>Co-Founder &amp; Executive, Business Development</t>
        </is>
      </c>
      <c r="O517" s="23" t="inlineStr">
        <is>
          <t>edward@vokle.com</t>
        </is>
      </c>
      <c r="P517" s="24" t="inlineStr">
        <is>
          <t>+1 (818) 723-2083</t>
        </is>
      </c>
      <c r="Q517" s="25" t="n">
        <v>2008.0</v>
      </c>
      <c r="R517" s="113">
        <f>HYPERLINK("https://my.pitchbook.com?c=52891-57", "View company online")</f>
      </c>
    </row>
    <row r="518">
      <c r="A518" s="27" t="inlineStr">
        <is>
          <t>56294-11</t>
        </is>
      </c>
      <c r="B518" s="28" t="inlineStr">
        <is>
          <t>VOIQ</t>
        </is>
      </c>
      <c r="C518" s="29" t="inlineStr">
        <is>
          <t>94105</t>
        </is>
      </c>
      <c r="D518" s="30" t="inlineStr">
        <is>
          <t>Provider of fund raising services. The company develops an online platform that helps companies to launch fund procurement campaigns.</t>
        </is>
      </c>
      <c r="E518" s="31" t="inlineStr">
        <is>
          <t>Specialized Finance</t>
        </is>
      </c>
      <c r="F518" s="32" t="inlineStr">
        <is>
          <t>San Francisco, CA</t>
        </is>
      </c>
      <c r="G518" s="33" t="inlineStr">
        <is>
          <t>Privately Held (backing)</t>
        </is>
      </c>
      <c r="H518" s="34" t="inlineStr">
        <is>
          <t>Venture Capital-Backed</t>
        </is>
      </c>
      <c r="I518" s="35" t="inlineStr">
        <is>
          <t>Daniel Undurraga, Entrepreneurs Roundtable Accelerator, Erik Stettler, Fatih Ozluturk, FundersClub, HOF Capital (New York), Jeffery Epstein, Jonathan Axelrod, Momentum, Murat Aktihanoglu, Paul Holliman, Richmond View Ventures, Ryan Bloomer, Saad AlSogair, Socialatom Ventures, Todd Parker, Will Bunker, Y Combinator</t>
        </is>
      </c>
      <c r="J518" s="36" t="inlineStr">
        <is>
          <t>www.voiq.com</t>
        </is>
      </c>
      <c r="K518" s="37" t="inlineStr">
        <is>
          <t>info@voiq.com</t>
        </is>
      </c>
      <c r="L518" s="38" t="inlineStr">
        <is>
          <t>+1 (914) 325-3307</t>
        </is>
      </c>
      <c r="M518" s="39" t="inlineStr">
        <is>
          <t>Ricardo Garcia-Amaya</t>
        </is>
      </c>
      <c r="N518" s="40" t="inlineStr">
        <is>
          <t>Chief Executive Officer &amp; Co-Founder</t>
        </is>
      </c>
      <c r="O518" s="41" t="inlineStr">
        <is>
          <t>ricardo@angelpolitics.com</t>
        </is>
      </c>
      <c r="P518" s="42" t="inlineStr">
        <is>
          <t>+1 (914) 325-3307</t>
        </is>
      </c>
      <c r="Q518" s="43" t="n">
        <v>2011.0</v>
      </c>
      <c r="R518" s="114">
        <f>HYPERLINK("https://my.pitchbook.com?c=56294-11", "View company online")</f>
      </c>
    </row>
    <row r="519">
      <c r="A519" s="9" t="inlineStr">
        <is>
          <t>84726-73</t>
        </is>
      </c>
      <c r="B519" s="10" t="inlineStr">
        <is>
          <t>VoiceVault</t>
        </is>
      </c>
      <c r="C519" s="11" t="inlineStr">
        <is>
          <t>90245</t>
        </is>
      </c>
      <c r="D519" s="12" t="inlineStr">
        <is>
          <t>Provider of biometric security and voice recognition media services. The company offers a software for biometric identity verification over the phone, Web or via smartphone applications.</t>
        </is>
      </c>
      <c r="E519" s="13" t="inlineStr">
        <is>
          <t>Application Software</t>
        </is>
      </c>
      <c r="F519" s="14" t="inlineStr">
        <is>
          <t>El Segundo, CA</t>
        </is>
      </c>
      <c r="G519" s="15" t="inlineStr">
        <is>
          <t>Privately Held (backing)</t>
        </is>
      </c>
      <c r="H519" s="16" t="inlineStr">
        <is>
          <t>Venture Capital-Backed</t>
        </is>
      </c>
      <c r="I519" s="17" t="inlineStr">
        <is>
          <t>Eden Ventures, Elbus Group, The Chiimu Partnership</t>
        </is>
      </c>
      <c r="J519" s="18" t="inlineStr">
        <is>
          <t>www.voicevault.com</t>
        </is>
      </c>
      <c r="K519" s="19" t="inlineStr">
        <is>
          <t>info@voicevault.com</t>
        </is>
      </c>
      <c r="L519" s="20" t="inlineStr">
        <is>
          <t>+1 (310) 426-2792</t>
        </is>
      </c>
      <c r="M519" s="21" t="inlineStr">
        <is>
          <t>Kevin Lomax</t>
        </is>
      </c>
      <c r="N519" s="22" t="inlineStr">
        <is>
          <t>Chairman and Chief Executive Officer</t>
        </is>
      </c>
      <c r="O519" s="23" t="inlineStr">
        <is>
          <t>kevin.lomax@voicevault.com</t>
        </is>
      </c>
      <c r="P519" s="24" t="inlineStr">
        <is>
          <t>+1 (781) 685-4924</t>
        </is>
      </c>
      <c r="Q519" s="25" t="n">
        <v>2005.0</v>
      </c>
      <c r="R519" s="113">
        <f>HYPERLINK("https://my.pitchbook.com?c=84726-73", "View company online")</f>
      </c>
    </row>
    <row r="520">
      <c r="A520" s="27" t="inlineStr">
        <is>
          <t>169207-75</t>
        </is>
      </c>
      <c r="B520" s="28" t="inlineStr">
        <is>
          <t>VoiceOps</t>
        </is>
      </c>
      <c r="C520" s="29" t="inlineStr">
        <is>
          <t>94107</t>
        </is>
      </c>
      <c r="D520" s="30" t="inlineStr">
        <is>
          <t>Developer of a voice analysis platform designed to help companies to interact with their customers. The company's voice analysis platform uses artificial intelligence tools that analyzes every conversation and sales data to provide businesses with recommendations on sales strategy to improve their success rate, enabling team leads to automatically identify winning behaviors and implement that best practices in entire team.</t>
        </is>
      </c>
      <c r="E520" s="31" t="inlineStr">
        <is>
          <t>Automation/Workflow Software</t>
        </is>
      </c>
      <c r="F520" s="32" t="inlineStr">
        <is>
          <t>San Francisco, CA</t>
        </is>
      </c>
      <c r="G520" s="33" t="inlineStr">
        <is>
          <t>Privately Held (backing)</t>
        </is>
      </c>
      <c r="H520" s="34" t="inlineStr">
        <is>
          <t>Venture Capital-Backed</t>
        </is>
      </c>
      <c r="I520" s="35" t="inlineStr">
        <is>
          <t>Accel, Founders Fund, Lowercase Capital, Precursor Ventures, The Salesforce Incubator, Y Combinator</t>
        </is>
      </c>
      <c r="J520" s="36" t="inlineStr">
        <is>
          <t>www.voiceops.com</t>
        </is>
      </c>
      <c r="K520" s="37" t="inlineStr">
        <is>
          <t>contact@cloverintelligence.com</t>
        </is>
      </c>
      <c r="L520" s="38" t="inlineStr">
        <is>
          <t>+1 (415) 895-2568</t>
        </is>
      </c>
      <c r="M520" s="39" t="inlineStr">
        <is>
          <t>Daria Evdokimova</t>
        </is>
      </c>
      <c r="N520" s="40" t="inlineStr">
        <is>
          <t>Co-Founder, Chief Executive Officer &amp; Board Member</t>
        </is>
      </c>
      <c r="O520" s="41" t="inlineStr">
        <is>
          <t>daria@voiceops.com</t>
        </is>
      </c>
      <c r="P520" s="42" t="inlineStr">
        <is>
          <t>+1 (415) 895-2568</t>
        </is>
      </c>
      <c r="Q520" s="43" t="n">
        <v>2016.0</v>
      </c>
      <c r="R520" s="114">
        <f>HYPERLINK("https://my.pitchbook.com?c=169207-75", "View company online")</f>
      </c>
    </row>
    <row r="521">
      <c r="A521" s="9" t="inlineStr">
        <is>
          <t>54446-14</t>
        </is>
      </c>
      <c r="B521" s="10" t="inlineStr">
        <is>
          <t>VoiceBase</t>
        </is>
      </c>
      <c r="C521" s="11" t="inlineStr">
        <is>
          <t>94948</t>
        </is>
      </c>
      <c r="D521" s="12" t="inlineStr">
        <is>
          <t>Provider of an online service to store, search and share voice communications. The company offers mobile applications that enables users to record and upload spoken content, and share them online.</t>
        </is>
      </c>
      <c r="E521" s="13" t="inlineStr">
        <is>
          <t>Communication Software</t>
        </is>
      </c>
      <c r="F521" s="14" t="inlineStr">
        <is>
          <t>Novato, CA</t>
        </is>
      </c>
      <c r="G521" s="15" t="inlineStr">
        <is>
          <t>Privately Held (backing)</t>
        </is>
      </c>
      <c r="H521" s="16" t="inlineStr">
        <is>
          <t>Venture Capital-Backed</t>
        </is>
      </c>
      <c r="I521" s="17" t="inlineStr">
        <is>
          <t>Band of Angels, The Woodside Financial Group</t>
        </is>
      </c>
      <c r="J521" s="18" t="inlineStr">
        <is>
          <t>www.voicebase.com</t>
        </is>
      </c>
      <c r="K521" s="19" t="inlineStr">
        <is>
          <t/>
        </is>
      </c>
      <c r="L521" s="20" t="inlineStr">
        <is>
          <t>+1 (650) 897-5170</t>
        </is>
      </c>
      <c r="M521" s="21" t="inlineStr">
        <is>
          <t>Walter Bachtiger</t>
        </is>
      </c>
      <c r="N521" s="22" t="inlineStr">
        <is>
          <t>Chief Executive Officer &amp; Co-Founder</t>
        </is>
      </c>
      <c r="O521" s="23" t="inlineStr">
        <is>
          <t>walter@voicebase.com</t>
        </is>
      </c>
      <c r="P521" s="24" t="inlineStr">
        <is>
          <t>+1 (650) 897-5170</t>
        </is>
      </c>
      <c r="Q521" s="25" t="n">
        <v>2010.0</v>
      </c>
      <c r="R521" s="113">
        <f>HYPERLINK("https://my.pitchbook.com?c=54446-14", "View company online")</f>
      </c>
    </row>
    <row r="522">
      <c r="A522" s="27" t="inlineStr">
        <is>
          <t>125998-21</t>
        </is>
      </c>
      <c r="B522" s="28" t="inlineStr">
        <is>
          <t>Vocate</t>
        </is>
      </c>
      <c r="C522" s="29" t="inlineStr">
        <is>
          <t>94107</t>
        </is>
      </c>
      <c r="D522" s="30" t="inlineStr">
        <is>
          <t>Provider of online student career services intended to find them internship or entry-level job. The company creates a tech-powered marketplace for student jobs and internships that curates strong matches, removing process headaches and inefficiencies on both sides enabling them to find their passions and pursue them meaningfully.</t>
        </is>
      </c>
      <c r="E522" s="31" t="inlineStr">
        <is>
          <t>Application Software</t>
        </is>
      </c>
      <c r="F522" s="32" t="inlineStr">
        <is>
          <t>San Francisco, CA</t>
        </is>
      </c>
      <c r="G522" s="33" t="inlineStr">
        <is>
          <t>Privately Held (backing)</t>
        </is>
      </c>
      <c r="H522" s="34" t="inlineStr">
        <is>
          <t>Venture Capital-Backed</t>
        </is>
      </c>
      <c r="I522" s="35" t="inlineStr">
        <is>
          <t>Fern Mandelbaum, FreshTracks Capital, Learn Capital, New Ground Ventures, Otter Rock Capital, StartX</t>
        </is>
      </c>
      <c r="J522" s="36" t="inlineStr">
        <is>
          <t>www.vocate.me</t>
        </is>
      </c>
      <c r="K522" s="37" t="inlineStr">
        <is>
          <t/>
        </is>
      </c>
      <c r="L522" s="38" t="inlineStr">
        <is>
          <t>+1 (480) 205-7162</t>
        </is>
      </c>
      <c r="M522" s="39" t="inlineStr">
        <is>
          <t>Nicholas Tonelli</t>
        </is>
      </c>
      <c r="N522" s="40" t="inlineStr">
        <is>
          <t>Co-Founder, Chief Executive Officer &amp; Board Member</t>
        </is>
      </c>
      <c r="O522" s="41" t="inlineStr">
        <is>
          <t>alex.tonelli@vocate.me</t>
        </is>
      </c>
      <c r="P522" s="42" t="inlineStr">
        <is>
          <t>+1 (480) 205-7162</t>
        </is>
      </c>
      <c r="Q522" s="43" t="n">
        <v>2015.0</v>
      </c>
      <c r="R522" s="114">
        <f>HYPERLINK("https://my.pitchbook.com?c=125998-21", "View company online")</f>
      </c>
    </row>
    <row r="523">
      <c r="A523" s="9" t="inlineStr">
        <is>
          <t>176929-57</t>
        </is>
      </c>
      <c r="B523" s="10" t="inlineStr">
        <is>
          <t>Vocal Point</t>
        </is>
      </c>
      <c r="C523" s="85">
        <f>HYPERLINK("https://my.pitchbook.com?rrp=176929-57&amp;type=c", "This Company's information is not available to download. Need this Company? Request availability")</f>
      </c>
      <c r="D523" s="12" t="inlineStr">
        <is>
          <t/>
        </is>
      </c>
      <c r="E523" s="13" t="inlineStr">
        <is>
          <t/>
        </is>
      </c>
      <c r="F523" s="14" t="inlineStr">
        <is>
          <t/>
        </is>
      </c>
      <c r="G523" s="15" t="inlineStr">
        <is>
          <t/>
        </is>
      </c>
      <c r="H523" s="16" t="inlineStr">
        <is>
          <t/>
        </is>
      </c>
      <c r="I523" s="17" t="inlineStr">
        <is>
          <t/>
        </is>
      </c>
      <c r="J523" s="18" t="inlineStr">
        <is>
          <t/>
        </is>
      </c>
      <c r="K523" s="19" t="inlineStr">
        <is>
          <t/>
        </is>
      </c>
      <c r="L523" s="20" t="inlineStr">
        <is>
          <t/>
        </is>
      </c>
      <c r="M523" s="21" t="inlineStr">
        <is>
          <t/>
        </is>
      </c>
      <c r="N523" s="22" t="inlineStr">
        <is>
          <t/>
        </is>
      </c>
      <c r="O523" s="23" t="inlineStr">
        <is>
          <t/>
        </is>
      </c>
      <c r="P523" s="24" t="inlineStr">
        <is>
          <t/>
        </is>
      </c>
      <c r="Q523" s="25" t="inlineStr">
        <is>
          <t/>
        </is>
      </c>
      <c r="R523" s="26" t="inlineStr">
        <is>
          <t/>
        </is>
      </c>
    </row>
    <row r="524">
      <c r="A524" s="27" t="inlineStr">
        <is>
          <t>51248-80</t>
        </is>
      </c>
      <c r="B524" s="28" t="inlineStr">
        <is>
          <t>Vobile</t>
        </is>
      </c>
      <c r="C524" s="29" t="inlineStr">
        <is>
          <t>95054</t>
        </is>
      </c>
      <c r="D524" s="30" t="inlineStr">
        <is>
          <t>Provider of content identification and management products and services for stakeholders in the digital content value chain. The company offers video tracker, a SaaS application for content owners, which tracks and protects content online along with wide-ranging applications, including media rights management, targeted advertising, business intelligence, metadata services, asset management and video search and categorization.</t>
        </is>
      </c>
      <c r="E524" s="31" t="inlineStr">
        <is>
          <t>Vertical Market Software</t>
        </is>
      </c>
      <c r="F524" s="32" t="inlineStr">
        <is>
          <t>Santa Clara, CA</t>
        </is>
      </c>
      <c r="G524" s="33" t="inlineStr">
        <is>
          <t>Privately Held (backing)</t>
        </is>
      </c>
      <c r="H524" s="34" t="inlineStr">
        <is>
          <t>Venture Capital-Backed</t>
        </is>
      </c>
      <c r="I524" s="35" t="inlineStr">
        <is>
          <t>Altman Trust Green Realty Associates, AT&amp;T Ventures, Brian Mulligan, EDB Investments, Gideon Yu, IPV Capital, Ivy Capital, J. David Wargo, Jarl Mohn, Nicholas Moore, Steamboat Ventures, Vernon Altman</t>
        </is>
      </c>
      <c r="J524" s="36" t="inlineStr">
        <is>
          <t>www.vobileinc.com</t>
        </is>
      </c>
      <c r="K524" s="37" t="inlineStr">
        <is>
          <t>info@vobileinc.com</t>
        </is>
      </c>
      <c r="L524" s="38" t="inlineStr">
        <is>
          <t>+1 (408) 217-5000</t>
        </is>
      </c>
      <c r="M524" s="39" t="inlineStr">
        <is>
          <t>Jack Yu</t>
        </is>
      </c>
      <c r="N524" s="40" t="inlineStr">
        <is>
          <t>Interim Chief Financial Officer</t>
        </is>
      </c>
      <c r="O524" s="41" t="inlineStr">
        <is>
          <t>jack.yu@lark.com</t>
        </is>
      </c>
      <c r="P524" s="42" t="inlineStr">
        <is>
          <t>+1 (408) 915-5275</t>
        </is>
      </c>
      <c r="Q524" s="43" t="n">
        <v>2005.0</v>
      </c>
      <c r="R524" s="114">
        <f>HYPERLINK("https://my.pitchbook.com?c=51248-80", "View company online")</f>
      </c>
    </row>
    <row r="525">
      <c r="A525" s="9" t="inlineStr">
        <is>
          <t>99573-85</t>
        </is>
      </c>
      <c r="B525" s="10" t="inlineStr">
        <is>
          <t>VNTANA</t>
        </is>
      </c>
      <c r="C525" s="11" t="inlineStr">
        <is>
          <t>91406</t>
        </is>
      </c>
      <c r="D525" s="12" t="inlineStr">
        <is>
          <t>Developer of scalable and interactive hologram systems designed to share social augmented reality experience without wearables. The company's scalable and interactive hologram systems with interactive technology, captures real-time holographic video with interactive gesture control that can be immediately shared on all major social media platforms, enabling customers to be in multiple places at the same time.</t>
        </is>
      </c>
      <c r="E525" s="13" t="inlineStr">
        <is>
          <t>Electronic Components</t>
        </is>
      </c>
      <c r="F525" s="14" t="inlineStr">
        <is>
          <t>Van Nuys, CA</t>
        </is>
      </c>
      <c r="G525" s="15" t="inlineStr">
        <is>
          <t>Privately Held (backing)</t>
        </is>
      </c>
      <c r="H525" s="16" t="inlineStr">
        <is>
          <t>Venture Capital-Backed</t>
        </is>
      </c>
      <c r="I525" s="17" t="inlineStr">
        <is>
          <t>Corigin Ventures, Stadia Ventures, Stage Venture Partners, TYLT Ventures, Vectr Ventures</t>
        </is>
      </c>
      <c r="J525" s="18" t="inlineStr">
        <is>
          <t>www.vntana.com</t>
        </is>
      </c>
      <c r="K525" s="19" t="inlineStr">
        <is>
          <t>info@vntana.com</t>
        </is>
      </c>
      <c r="L525" s="20" t="inlineStr">
        <is>
          <t>+1 (323) 892-2255</t>
        </is>
      </c>
      <c r="M525" s="21" t="inlineStr">
        <is>
          <t>Ashley Crowder</t>
        </is>
      </c>
      <c r="N525" s="22" t="inlineStr">
        <is>
          <t>Chief Executive Officer &amp; Co-Founder</t>
        </is>
      </c>
      <c r="O525" s="23" t="inlineStr">
        <is>
          <t>ashley.crowder@vntana.com</t>
        </is>
      </c>
      <c r="P525" s="24" t="inlineStr">
        <is>
          <t>+1 (323) 892-2255</t>
        </is>
      </c>
      <c r="Q525" s="25" t="n">
        <v>2012.0</v>
      </c>
      <c r="R525" s="113">
        <f>HYPERLINK("https://my.pitchbook.com?c=99573-85", "View company online")</f>
      </c>
    </row>
    <row r="526">
      <c r="A526" s="27" t="inlineStr">
        <is>
          <t>163170-01</t>
        </is>
      </c>
      <c r="B526" s="28" t="inlineStr">
        <is>
          <t>Vmocion</t>
        </is>
      </c>
      <c r="C526" s="29" t="inlineStr">
        <is>
          <t/>
        </is>
      </c>
      <c r="D526" s="30" t="inlineStr">
        <is>
          <t>Developer of virtual-reality-based entertainment technology. The company is engaged in development of a galvanic vestibular stimulation technology that can be used to add sensation of motion into virtual reality entertainment categories.</t>
        </is>
      </c>
      <c r="E526" s="31" t="inlineStr">
        <is>
          <t>Electronics (B2C)</t>
        </is>
      </c>
      <c r="F526" s="32" t="inlineStr">
        <is>
          <t>Los Angeles, CA</t>
        </is>
      </c>
      <c r="G526" s="33" t="inlineStr">
        <is>
          <t>Privately Held (backing)</t>
        </is>
      </c>
      <c r="H526" s="34" t="inlineStr">
        <is>
          <t>Venture Capital-Backed</t>
        </is>
      </c>
      <c r="I526" s="35" t="inlineStr">
        <is>
          <t>Mayo Clinic Ventures</t>
        </is>
      </c>
      <c r="J526" s="36" t="inlineStr">
        <is>
          <t>www.vmocion.com</t>
        </is>
      </c>
      <c r="K526" s="37" t="inlineStr">
        <is>
          <t>info@vmocion.com</t>
        </is>
      </c>
      <c r="L526" s="38" t="inlineStr">
        <is>
          <t/>
        </is>
      </c>
      <c r="M526" s="39" t="inlineStr">
        <is>
          <t>Bradley Hillstrom</t>
        </is>
      </c>
      <c r="N526" s="40" t="inlineStr">
        <is>
          <t>Chief Executive Officer &amp; Co-Founder</t>
        </is>
      </c>
      <c r="O526" s="41" t="inlineStr">
        <is>
          <t>bhillstrom@vmocion.com</t>
        </is>
      </c>
      <c r="P526" s="42" t="inlineStr">
        <is>
          <t/>
        </is>
      </c>
      <c r="Q526" s="43" t="n">
        <v>2016.0</v>
      </c>
      <c r="R526" s="114">
        <f>HYPERLINK("https://my.pitchbook.com?c=163170-01", "View company online")</f>
      </c>
    </row>
    <row r="527">
      <c r="A527" s="9" t="inlineStr">
        <is>
          <t>103615-30</t>
        </is>
      </c>
      <c r="B527" s="10" t="inlineStr">
        <is>
          <t>vMobo</t>
        </is>
      </c>
      <c r="C527" s="11" t="inlineStr">
        <is>
          <t>94539</t>
        </is>
      </c>
      <c r="D527" s="12" t="inlineStr">
        <is>
          <t>Provider of an omni-channel marketplace for luxury brands. The company offers a cloud network for multi-brand rewards and privilege programs in order to assist retailers in customer acquisition, retention and engagement.</t>
        </is>
      </c>
      <c r="E527" s="13" t="inlineStr">
        <is>
          <t>Media and Information Services (B2B)</t>
        </is>
      </c>
      <c r="F527" s="14" t="inlineStr">
        <is>
          <t>Fremont, CA</t>
        </is>
      </c>
      <c r="G527" s="15" t="inlineStr">
        <is>
          <t>Privately Held (backing)</t>
        </is>
      </c>
      <c r="H527" s="16" t="inlineStr">
        <is>
          <t>Venture Capital-Backed</t>
        </is>
      </c>
      <c r="I527" s="17" t="inlineStr">
        <is>
          <t>Hunch Ventures</t>
        </is>
      </c>
      <c r="J527" s="18" t="inlineStr">
        <is>
          <t>www.vmobo.com</t>
        </is>
      </c>
      <c r="K527" s="19" t="inlineStr">
        <is>
          <t/>
        </is>
      </c>
      <c r="L527" s="20" t="inlineStr">
        <is>
          <t>+1 (408) 461-8662</t>
        </is>
      </c>
      <c r="M527" s="21" t="inlineStr">
        <is>
          <t>Vinu Sundaresan</t>
        </is>
      </c>
      <c r="N527" s="22" t="inlineStr">
        <is>
          <t>Co-Founder, Chief Executive Officer and Board Member</t>
        </is>
      </c>
      <c r="O527" s="23" t="inlineStr">
        <is>
          <t>vinu@vmobo.com</t>
        </is>
      </c>
      <c r="P527" s="24" t="inlineStr">
        <is>
          <t>+1 (408) 461-8662</t>
        </is>
      </c>
      <c r="Q527" s="25" t="n">
        <v>2008.0</v>
      </c>
      <c r="R527" s="113">
        <f>HYPERLINK("https://my.pitchbook.com?c=103615-30", "View company online")</f>
      </c>
    </row>
    <row r="528">
      <c r="A528" s="27" t="inlineStr">
        <is>
          <t>56464-21</t>
        </is>
      </c>
      <c r="B528" s="28" t="inlineStr">
        <is>
          <t>VM Discovery</t>
        </is>
      </c>
      <c r="C528" s="29" t="inlineStr">
        <is>
          <t>94538</t>
        </is>
      </c>
      <c r="D528" s="30" t="inlineStr">
        <is>
          <t>Developer of drug design and optimization technology. The company offers drug design and optimization services for clients to identify multi-property optimized drug candidates.</t>
        </is>
      </c>
      <c r="E528" s="31" t="inlineStr">
        <is>
          <t>Drug Discovery</t>
        </is>
      </c>
      <c r="F528" s="32" t="inlineStr">
        <is>
          <t>Fremont, CA</t>
        </is>
      </c>
      <c r="G528" s="33" t="inlineStr">
        <is>
          <t>Privately Held (backing)</t>
        </is>
      </c>
      <c r="H528" s="34" t="inlineStr">
        <is>
          <t>Venture Capital-Backed</t>
        </is>
      </c>
      <c r="I528" s="35" t="inlineStr">
        <is>
          <t>Amkey Ventures, Individual Investor, ONSET Ventures</t>
        </is>
      </c>
      <c r="J528" s="36" t="inlineStr">
        <is>
          <t>vmdiscovery.com</t>
        </is>
      </c>
      <c r="K528" s="37" t="inlineStr">
        <is>
          <t>info@vmdiscovery.com</t>
        </is>
      </c>
      <c r="L528" s="38" t="inlineStr">
        <is>
          <t>+1 (510) 818-1018</t>
        </is>
      </c>
      <c r="M528" s="39" t="inlineStr">
        <is>
          <t>Jay Wu</t>
        </is>
      </c>
      <c r="N528" s="40" t="inlineStr">
        <is>
          <t>President &amp; Chief Executive Officer</t>
        </is>
      </c>
      <c r="O528" s="41" t="inlineStr">
        <is>
          <t>jay@vmdiscovery.com</t>
        </is>
      </c>
      <c r="P528" s="42" t="inlineStr">
        <is>
          <t>+1 (510) 818-1018</t>
        </is>
      </c>
      <c r="Q528" s="43" t="n">
        <v>2001.0</v>
      </c>
      <c r="R528" s="114">
        <f>HYPERLINK("https://my.pitchbook.com?c=56464-21", "View company online")</f>
      </c>
    </row>
    <row r="529">
      <c r="A529" s="9" t="inlineStr">
        <is>
          <t>100237-15</t>
        </is>
      </c>
      <c r="B529" s="10" t="inlineStr">
        <is>
          <t>Vlocity</t>
        </is>
      </c>
      <c r="C529" s="11" t="inlineStr">
        <is>
          <t>94105</t>
        </is>
      </c>
      <c r="D529" s="12" t="inlineStr">
        <is>
          <t>Developer of cloud based software to deliver industry-specific customer experiences. The company provides cloud applications that allow companies to deliver unified, industry-specific customer experiences in customer-centric industries, including communications and media, health insurance and the public sector.</t>
        </is>
      </c>
      <c r="E529" s="13" t="inlineStr">
        <is>
          <t>Business/Productivity Software</t>
        </is>
      </c>
      <c r="F529" s="14" t="inlineStr">
        <is>
          <t>San Francisco, CA</t>
        </is>
      </c>
      <c r="G529" s="15" t="inlineStr">
        <is>
          <t>Privately Held (backing)</t>
        </is>
      </c>
      <c r="H529" s="16" t="inlineStr">
        <is>
          <t>Venture Capital-Backed</t>
        </is>
      </c>
      <c r="I529" s="17" t="inlineStr">
        <is>
          <t>Accenture, Kennet Partners, New York Life Enterprises, Salesforce Ventures, Sutter Hill Ventures, TDF Ventures, Wildcat Venture Partners</t>
        </is>
      </c>
      <c r="J529" s="18" t="inlineStr">
        <is>
          <t>www.vlocity.com</t>
        </is>
      </c>
      <c r="K529" s="19" t="inlineStr">
        <is>
          <t>info@vlocity.com</t>
        </is>
      </c>
      <c r="L529" s="20" t="inlineStr">
        <is>
          <t>+1 (844) 856-2489</t>
        </is>
      </c>
      <c r="M529" s="21" t="inlineStr">
        <is>
          <t>David Schmaier</t>
        </is>
      </c>
      <c r="N529" s="22" t="inlineStr">
        <is>
          <t>Co-Founder, Chief Executive Officer &amp; Board Member</t>
        </is>
      </c>
      <c r="O529" s="23" t="inlineStr">
        <is>
          <t>dschmaier@vlocity.com</t>
        </is>
      </c>
      <c r="P529" s="24" t="inlineStr">
        <is>
          <t>+1 (844) 856-2489</t>
        </is>
      </c>
      <c r="Q529" s="25" t="n">
        <v>2014.0</v>
      </c>
      <c r="R529" s="113">
        <f>HYPERLINK("https://my.pitchbook.com?c=100237-15", "View company online")</f>
      </c>
    </row>
    <row r="530">
      <c r="A530" s="27" t="inlineStr">
        <is>
          <t>55332-64</t>
        </is>
      </c>
      <c r="B530" s="28" t="inlineStr">
        <is>
          <t>V-Key</t>
        </is>
      </c>
      <c r="C530" s="29" t="inlineStr">
        <is>
          <t>94065</t>
        </is>
      </c>
      <c r="D530" s="30" t="inlineStr">
        <is>
          <t>Provider of mobile application security services. The company provides mobile application threat research, protection and intelligence services through multi-layered security mechanisms.</t>
        </is>
      </c>
      <c r="E530" s="31" t="inlineStr">
        <is>
          <t>Other Software</t>
        </is>
      </c>
      <c r="F530" s="32" t="inlineStr">
        <is>
          <t>Redwood City, CA</t>
        </is>
      </c>
      <c r="G530" s="33" t="inlineStr">
        <is>
          <t>Privately Held (backing)</t>
        </is>
      </c>
      <c r="H530" s="34" t="inlineStr">
        <is>
          <t>Venture Capital-Backed</t>
        </is>
      </c>
      <c r="I530" s="35" t="inlineStr">
        <is>
          <t>Ant Financial, IPV Capital</t>
        </is>
      </c>
      <c r="J530" s="36" t="inlineStr">
        <is>
          <t>www.v-key.com</t>
        </is>
      </c>
      <c r="K530" s="37" t="inlineStr">
        <is>
          <t>info@v-key.com</t>
        </is>
      </c>
      <c r="L530" s="38" t="inlineStr">
        <is>
          <t>+1 (650) 632-4470</t>
        </is>
      </c>
      <c r="M530" s="39" t="inlineStr">
        <is>
          <t>Benjamin Mah</t>
        </is>
      </c>
      <c r="N530" s="40" t="inlineStr">
        <is>
          <t>Chief Executive Officer &amp; Co-Founder</t>
        </is>
      </c>
      <c r="O530" s="41" t="inlineStr">
        <is>
          <t>benjamin.mah@v-key.com</t>
        </is>
      </c>
      <c r="P530" s="42" t="inlineStr">
        <is>
          <t>+1 (650) 632-4470</t>
        </is>
      </c>
      <c r="Q530" s="43" t="n">
        <v>2011.0</v>
      </c>
      <c r="R530" s="114">
        <f>HYPERLINK("https://my.pitchbook.com?c=55332-64", "View company online")</f>
      </c>
    </row>
    <row r="531">
      <c r="A531" s="9" t="inlineStr">
        <is>
          <t>55375-12</t>
        </is>
      </c>
      <c r="B531" s="10" t="inlineStr">
        <is>
          <t>Vizury Interactive Solutions</t>
        </is>
      </c>
      <c r="C531" s="11" t="inlineStr">
        <is>
          <t>560029</t>
        </is>
      </c>
      <c r="D531" s="12" t="inlineStr">
        <is>
          <t>Provider of a multi channel marketing platform. The company provides enterprises a fully-managed account management service which helps brands acquire new customers and re-engage with existing customers through personalized marketing driven by data analytics.</t>
        </is>
      </c>
      <c r="E531" s="13" t="inlineStr">
        <is>
          <t>Business/Productivity Software</t>
        </is>
      </c>
      <c r="F531" s="14" t="inlineStr">
        <is>
          <t>Bangalore, India</t>
        </is>
      </c>
      <c r="G531" s="15" t="inlineStr">
        <is>
          <t>Privately Held (backing)</t>
        </is>
      </c>
      <c r="H531" s="16" t="inlineStr">
        <is>
          <t>Venture Capital-Backed</t>
        </is>
      </c>
      <c r="I531" s="17" t="inlineStr">
        <is>
          <t>Ascent Capital, Individual Investor, Intel Capital, Inventus Capital Partners, Nokia Growth Partners, Ojas Venture Partners</t>
        </is>
      </c>
      <c r="J531" s="18" t="inlineStr">
        <is>
          <t>www1.vizury.com</t>
        </is>
      </c>
      <c r="K531" s="19" t="inlineStr">
        <is>
          <t/>
        </is>
      </c>
      <c r="L531" s="20" t="inlineStr">
        <is>
          <t>+91 (0)91 7412 9765</t>
        </is>
      </c>
      <c r="M531" s="21" t="inlineStr">
        <is>
          <t>Rinku Ghosh</t>
        </is>
      </c>
      <c r="N531" s="22" t="inlineStr">
        <is>
          <t>Vice President, Finance and Legal</t>
        </is>
      </c>
      <c r="O531" s="23" t="inlineStr">
        <is>
          <t>rinku.ghosh@vizury.com</t>
        </is>
      </c>
      <c r="P531" s="24" t="inlineStr">
        <is>
          <t>+91 (0)91 7412 9765</t>
        </is>
      </c>
      <c r="Q531" s="25" t="n">
        <v>2008.0</v>
      </c>
      <c r="R531" s="113">
        <f>HYPERLINK("https://my.pitchbook.com?c=55375-12", "View company online")</f>
      </c>
    </row>
    <row r="532">
      <c r="A532" s="27" t="inlineStr">
        <is>
          <t>51361-93</t>
        </is>
      </c>
      <c r="B532" s="28" t="inlineStr">
        <is>
          <t>Vizio (VZIO)</t>
        </is>
      </c>
      <c r="C532" s="29" t="inlineStr">
        <is>
          <t>92618</t>
        </is>
      </c>
      <c r="D532" s="30" t="inlineStr">
        <is>
          <t>Manufacturer of high definition televisions, computers, home audio systems and accessories. The company's television set uses multi-screen technology to offer flat panel display, high definition and liquid crystal display.</t>
        </is>
      </c>
      <c r="E532" s="31" t="inlineStr">
        <is>
          <t>Electronics (B2C)</t>
        </is>
      </c>
      <c r="F532" s="32" t="inlineStr">
        <is>
          <t>Irvine, CA</t>
        </is>
      </c>
      <c r="G532" s="33" t="inlineStr">
        <is>
          <t>Privately Held (backing)</t>
        </is>
      </c>
      <c r="H532" s="34" t="inlineStr">
        <is>
          <t>Venture Capital-Backed</t>
        </is>
      </c>
      <c r="I532" s="35" t="inlineStr">
        <is>
          <t>Amtran Technology, Avalon Capital Group, Q-Run Holdings, V-TW Holding, WI Harper Group</t>
        </is>
      </c>
      <c r="J532" s="36" t="inlineStr">
        <is>
          <t>www.vizio.com</t>
        </is>
      </c>
      <c r="K532" s="37" t="inlineStr">
        <is>
          <t/>
        </is>
      </c>
      <c r="L532" s="38" t="inlineStr">
        <is>
          <t>+1 (949) 428-2525</t>
        </is>
      </c>
      <c r="M532" s="39" t="inlineStr">
        <is>
          <t>Kurtis Binder</t>
        </is>
      </c>
      <c r="N532" s="40" t="inlineStr">
        <is>
          <t>Chief Financial Officer</t>
        </is>
      </c>
      <c r="O532" s="41" t="inlineStr">
        <is>
          <t>kurtis@vizio.com</t>
        </is>
      </c>
      <c r="P532" s="42" t="inlineStr">
        <is>
          <t>+1 (949) 428-2525</t>
        </is>
      </c>
      <c r="Q532" s="43" t="n">
        <v>2002.0</v>
      </c>
      <c r="R532" s="114">
        <f>HYPERLINK("https://my.pitchbook.com?c=51361-93", "View company online")</f>
      </c>
    </row>
    <row r="533">
      <c r="A533" s="9" t="inlineStr">
        <is>
          <t>128807-20</t>
        </is>
      </c>
      <c r="B533" s="10" t="inlineStr">
        <is>
          <t>VizExplorer</t>
        </is>
      </c>
      <c r="C533" s="11" t="inlineStr">
        <is>
          <t>92127</t>
        </is>
      </c>
      <c r="D533" s="12" t="inlineStr">
        <is>
          <t>Developer of operational intelligence software for gaming sector. The company develops software that provide data integration, data analytics, data visualization, business intelligence and enables enterprises to address smart space and profit optimization, marketing campaign management, customer relationship management, customer development, dispatch and service management for casino, sports and entertainment and manufacturing industries.</t>
        </is>
      </c>
      <c r="E533" s="13" t="inlineStr">
        <is>
          <t>Database Software</t>
        </is>
      </c>
      <c r="F533" s="14" t="inlineStr">
        <is>
          <t>San Diego, CA</t>
        </is>
      </c>
      <c r="G533" s="15" t="inlineStr">
        <is>
          <t>Privately Held (backing)</t>
        </is>
      </c>
      <c r="H533" s="16" t="inlineStr">
        <is>
          <t>Venture Capital-Backed</t>
        </is>
      </c>
      <c r="I533" s="17" t="inlineStr">
        <is>
          <t>Stanley Ventures</t>
        </is>
      </c>
      <c r="J533" s="18" t="inlineStr">
        <is>
          <t>www.vizexplorer.com</t>
        </is>
      </c>
      <c r="K533" s="19" t="inlineStr">
        <is>
          <t>info@vizexplorer.com</t>
        </is>
      </c>
      <c r="L533" s="20" t="inlineStr">
        <is>
          <t>+1 (858) 592-2472</t>
        </is>
      </c>
      <c r="M533" s="21" t="inlineStr">
        <is>
          <t>Ian Bonner</t>
        </is>
      </c>
      <c r="N533" s="22" t="inlineStr">
        <is>
          <t>Chief Executive Officer</t>
        </is>
      </c>
      <c r="O533" s="23" t="inlineStr">
        <is>
          <t>ian.bonner@vizexplorer.com</t>
        </is>
      </c>
      <c r="P533" s="24" t="inlineStr">
        <is>
          <t>+1 (858) 592-2472</t>
        </is>
      </c>
      <c r="Q533" s="25" t="n">
        <v>2008.0</v>
      </c>
      <c r="R533" s="113">
        <f>HYPERLINK("https://my.pitchbook.com?c=128807-20", "View company online")</f>
      </c>
    </row>
    <row r="534">
      <c r="A534" s="27" t="inlineStr">
        <is>
          <t>66006-37</t>
        </is>
      </c>
      <c r="B534" s="28" t="inlineStr">
        <is>
          <t>Vizera</t>
        </is>
      </c>
      <c r="C534" s="29" t="inlineStr">
        <is>
          <t>94105</t>
        </is>
      </c>
      <c r="D534" s="30" t="inlineStr">
        <is>
          <t>Provider of a smart projection device designed to show fabric projections on physical objects. The company's smart projection device detects pre-scanned objects within the scene and performs accurate projections on those that enable furniture retailers to display hundreds of items at a single space, without wasting any extra physical storefront space.</t>
        </is>
      </c>
      <c r="E534" s="31" t="inlineStr">
        <is>
          <t>Computers, Parts and Peripherals</t>
        </is>
      </c>
      <c r="F534" s="32" t="inlineStr">
        <is>
          <t>San Francisco, CA</t>
        </is>
      </c>
      <c r="G534" s="33" t="inlineStr">
        <is>
          <t>Privately Held (backing)</t>
        </is>
      </c>
      <c r="H534" s="34" t="inlineStr">
        <is>
          <t>Venture Capital-Backed</t>
        </is>
      </c>
      <c r="I534" s="35" t="inlineStr">
        <is>
          <t>String Ventures, Voylet Capital, Y Combinator</t>
        </is>
      </c>
      <c r="J534" s="36" t="inlineStr">
        <is>
          <t>www.vizeralabs.com</t>
        </is>
      </c>
      <c r="K534" s="37" t="inlineStr">
        <is>
          <t>info@vizeralabs.com</t>
        </is>
      </c>
      <c r="L534" s="38" t="inlineStr">
        <is>
          <t/>
        </is>
      </c>
      <c r="M534" s="39" t="inlineStr">
        <is>
          <t>Ali Cevik</t>
        </is>
      </c>
      <c r="N534" s="40" t="inlineStr">
        <is>
          <t>Co-Founder</t>
        </is>
      </c>
      <c r="O534" s="41" t="inlineStr">
        <is>
          <t>ali.cevik@vizeralabs.com</t>
        </is>
      </c>
      <c r="P534" s="42" t="inlineStr">
        <is>
          <t/>
        </is>
      </c>
      <c r="Q534" s="43" t="n">
        <v>2011.0</v>
      </c>
      <c r="R534" s="114">
        <f>HYPERLINK("https://my.pitchbook.com?c=66006-37", "View company online")</f>
      </c>
    </row>
    <row r="535">
      <c r="A535" s="9" t="inlineStr">
        <is>
          <t>167868-19</t>
        </is>
      </c>
      <c r="B535" s="10" t="inlineStr">
        <is>
          <t>Vize Software</t>
        </is>
      </c>
      <c r="C535" s="11" t="inlineStr">
        <is>
          <t>54000</t>
        </is>
      </c>
      <c r="D535" s="12" t="inlineStr">
        <is>
          <t>Developer of a software designed to create interactive data visualizations. The company's software provides the smoothest user experience and disrupts the status quo of traditional spreadsheets and statistical packages and also offers visual tool that helps to get with business intelligence, enabling its users to perform advanced data tasks without coding.</t>
        </is>
      </c>
      <c r="E535" s="13" t="inlineStr">
        <is>
          <t>Business/Productivity Software</t>
        </is>
      </c>
      <c r="F535" s="14" t="inlineStr">
        <is>
          <t>Nancy, France</t>
        </is>
      </c>
      <c r="G535" s="15" t="inlineStr">
        <is>
          <t>Privately Held (backing)</t>
        </is>
      </c>
      <c r="H535" s="16" t="inlineStr">
        <is>
          <t>Venture Capital-Backed</t>
        </is>
      </c>
      <c r="I535" s="17" t="inlineStr">
        <is>
          <t>Hewlett Packard Enterprise, ILP Sadepar Gestion, IMT Starter, MassChallenge, Y Combinator</t>
        </is>
      </c>
      <c r="J535" s="18" t="inlineStr">
        <is>
          <t>www.vize.io</t>
        </is>
      </c>
      <c r="K535" s="19" t="inlineStr">
        <is>
          <t>contact@vize.io</t>
        </is>
      </c>
      <c r="L535" s="20" t="inlineStr">
        <is>
          <t>+33 (0)9 82 35 83 30</t>
        </is>
      </c>
      <c r="M535" s="21" t="inlineStr">
        <is>
          <t>Khalil Ben Aissa</t>
        </is>
      </c>
      <c r="N535" s="22" t="inlineStr">
        <is>
          <t>Co-Founder &amp; Chief Technology Officer</t>
        </is>
      </c>
      <c r="O535" s="23" t="inlineStr">
        <is>
          <t>k.benaissa@vize.io</t>
        </is>
      </c>
      <c r="P535" s="24" t="inlineStr">
        <is>
          <t>+33 (0)9 82 35 83 30</t>
        </is>
      </c>
      <c r="Q535" s="25" t="n">
        <v>2014.0</v>
      </c>
      <c r="R535" s="113">
        <f>HYPERLINK("https://my.pitchbook.com?c=167868-19", "View company online")</f>
      </c>
    </row>
    <row r="536">
      <c r="A536" s="27" t="inlineStr">
        <is>
          <t>163373-77</t>
        </is>
      </c>
      <c r="B536" s="28" t="inlineStr">
        <is>
          <t>Viz</t>
        </is>
      </c>
      <c r="C536" s="29" t="inlineStr">
        <is>
          <t/>
        </is>
      </c>
      <c r="D536" s="30" t="inlineStr">
        <is>
          <t>Operator of an artificial intelligence medical imaging company designed to optimize emergency treatment. The company's artificial intelligence medical imaging services is use by emergency room doctors and medical specialist that can reduce the time, help the doctors to take right decision on right time, enabling health care providers to treat patients fast.</t>
        </is>
      </c>
      <c r="E536" s="31" t="inlineStr">
        <is>
          <t>Diagnostic Equipment</t>
        </is>
      </c>
      <c r="F536" s="32" t="inlineStr">
        <is>
          <t>San Francisco, CA</t>
        </is>
      </c>
      <c r="G536" s="33" t="inlineStr">
        <is>
          <t>Privately Held (backing)</t>
        </is>
      </c>
      <c r="H536" s="34" t="inlineStr">
        <is>
          <t>Venture Capital-Backed</t>
        </is>
      </c>
      <c r="I536" s="35" t="inlineStr">
        <is>
          <t>AME Cloud Ventures, Danhua Capital, Innovation Endeavors, Kevin Ding, Pear Ventures, Susa Ventures</t>
        </is>
      </c>
      <c r="J536" s="36" t="inlineStr">
        <is>
          <t>www.viz.ai</t>
        </is>
      </c>
      <c r="K536" s="37" t="inlineStr">
        <is>
          <t>hello@viz.ai</t>
        </is>
      </c>
      <c r="L536" s="38" t="inlineStr">
        <is>
          <t/>
        </is>
      </c>
      <c r="M536" s="39" t="inlineStr">
        <is>
          <t>Manoj Ramachandran</t>
        </is>
      </c>
      <c r="N536" s="40" t="inlineStr">
        <is>
          <t>Co-Founder and Clinical Partnership</t>
        </is>
      </c>
      <c r="O536" s="41" t="inlineStr">
        <is>
          <t>manoj@viz.ai</t>
        </is>
      </c>
      <c r="P536" s="42" t="inlineStr">
        <is>
          <t/>
        </is>
      </c>
      <c r="Q536" s="43" t="n">
        <v>2016.0</v>
      </c>
      <c r="R536" s="114">
        <f>HYPERLINK("https://my.pitchbook.com?c=163373-77", "View company online")</f>
      </c>
    </row>
    <row r="537">
      <c r="A537" s="9" t="inlineStr">
        <is>
          <t>56429-29</t>
        </is>
      </c>
      <c r="B537" s="10" t="inlineStr">
        <is>
          <t>VivoPools</t>
        </is>
      </c>
      <c r="C537" s="11" t="inlineStr">
        <is>
          <t>91016</t>
        </is>
      </c>
      <c r="D537" s="12" t="inlineStr">
        <is>
          <t>Provider of swimming pool management services across the United States. The company offers water management services to hotels, resorts, multi-family apartment owners, health clubs, municipalities and water parks.</t>
        </is>
      </c>
      <c r="E537" s="13" t="inlineStr">
        <is>
          <t>Other Commercial Services</t>
        </is>
      </c>
      <c r="F537" s="14" t="inlineStr">
        <is>
          <t>Monrovia, CA</t>
        </is>
      </c>
      <c r="G537" s="15" t="inlineStr">
        <is>
          <t>Privately Held (backing)</t>
        </is>
      </c>
      <c r="H537" s="16" t="inlineStr">
        <is>
          <t>Venture Capital-Backed</t>
        </is>
      </c>
      <c r="I537" s="17" t="inlineStr">
        <is>
          <t>Juvo Capital</t>
        </is>
      </c>
      <c r="J537" s="18" t="inlineStr">
        <is>
          <t>www.vivopools.com</t>
        </is>
      </c>
      <c r="K537" s="19" t="inlineStr">
        <is>
          <t/>
        </is>
      </c>
      <c r="L537" s="20" t="inlineStr">
        <is>
          <t>+1 (888) 702-8486</t>
        </is>
      </c>
      <c r="M537" s="21" t="inlineStr">
        <is>
          <t>Willan Johnson</t>
        </is>
      </c>
      <c r="N537" s="22" t="inlineStr">
        <is>
          <t>Chief Executive Officer &amp; Owner</t>
        </is>
      </c>
      <c r="O537" s="23" t="inlineStr">
        <is>
          <t>wjohnson@vivopools.com</t>
        </is>
      </c>
      <c r="P537" s="24" t="inlineStr">
        <is>
          <t>+1 (888) 702-8486</t>
        </is>
      </c>
      <c r="Q537" s="25" t="n">
        <v>2009.0</v>
      </c>
      <c r="R537" s="113">
        <f>HYPERLINK("https://my.pitchbook.com?c=56429-29", "View company online")</f>
      </c>
    </row>
    <row r="538">
      <c r="A538" s="27" t="inlineStr">
        <is>
          <t>55220-68</t>
        </is>
      </c>
      <c r="B538" s="28" t="inlineStr">
        <is>
          <t>Vivocha</t>
        </is>
      </c>
      <c r="C538" s="29" t="inlineStr">
        <is>
          <t>94105</t>
        </is>
      </c>
      <c r="D538" s="30" t="inlineStr">
        <is>
          <t>Provider of a cloud-based online customer interaction platform designed to help brands sell more. The company's customer interaction platform offers multi-channel communication, enabling business to seamlessly communicate with prospects and customers right on the website, using any combination of VoIP, video, chat, CallBacks, and collaboration tools like assisted browsing and form and document sharing.</t>
        </is>
      </c>
      <c r="E538" s="31" t="inlineStr">
        <is>
          <t>Communication Software</t>
        </is>
      </c>
      <c r="F538" s="32" t="inlineStr">
        <is>
          <t>San Francisco, CA</t>
        </is>
      </c>
      <c r="G538" s="33" t="inlineStr">
        <is>
          <t>Privately Held (backing)</t>
        </is>
      </c>
      <c r="H538" s="34" t="inlineStr">
        <is>
          <t>Venture Capital-Backed</t>
        </is>
      </c>
      <c r="I538" s="35" t="inlineStr">
        <is>
          <t>IBM SmartCamp, Mind the Bridge Foundation, Polihub, Principia SGR, Silicon Stroll Bootcamp, Vertis SGR</t>
        </is>
      </c>
      <c r="J538" s="36" t="inlineStr">
        <is>
          <t>www.vivocha.com</t>
        </is>
      </c>
      <c r="K538" s="37" t="inlineStr">
        <is>
          <t>info@vivocha.com</t>
        </is>
      </c>
      <c r="L538" s="38" t="inlineStr">
        <is>
          <t>+1 (888) 853-0070</t>
        </is>
      </c>
      <c r="M538" s="39" t="inlineStr">
        <is>
          <t>Gianluca Ferranti</t>
        </is>
      </c>
      <c r="N538" s="40" t="inlineStr">
        <is>
          <t>Co-Founder, Chief Executive Officer &amp; Board Member</t>
        </is>
      </c>
      <c r="O538" s="41" t="inlineStr">
        <is>
          <t>gferranti@vivocha.com</t>
        </is>
      </c>
      <c r="P538" s="42" t="inlineStr">
        <is>
          <t>+1 (888) 853-0070</t>
        </is>
      </c>
      <c r="Q538" s="43" t="n">
        <v>2012.0</v>
      </c>
      <c r="R538" s="114">
        <f>HYPERLINK("https://my.pitchbook.com?c=55220-68", "View company online")</f>
      </c>
    </row>
    <row r="539">
      <c r="A539" s="9" t="inlineStr">
        <is>
          <t>55765-81</t>
        </is>
      </c>
      <c r="B539" s="10" t="inlineStr">
        <is>
          <t>Vivino</t>
        </is>
      </c>
      <c r="C539" s="11" t="inlineStr">
        <is>
          <t>2300</t>
        </is>
      </c>
      <c r="D539" s="12" t="inlineStr">
        <is>
          <t>Developer of mobile application for wine labels via image recognition. The company's platform lets users scan the label on a bottle of wine using their smartphones and access user-generated ratings and reviews of it.</t>
        </is>
      </c>
      <c r="E539" s="13" t="inlineStr">
        <is>
          <t>Social/Platform Software</t>
        </is>
      </c>
      <c r="F539" s="14" t="inlineStr">
        <is>
          <t>Copenhagen, Denmark</t>
        </is>
      </c>
      <c r="G539" s="15" t="inlineStr">
        <is>
          <t>Privately Held (backing)</t>
        </is>
      </c>
      <c r="H539" s="16" t="inlineStr">
        <is>
          <t>Venture Capital-Backed</t>
        </is>
      </c>
      <c r="I539" s="17" t="inlineStr">
        <is>
          <t>Armada Investment, Balderton Capital, Christian Wylonis, Creandum, Gustaf Alstromer, Henrik Rosendahl, James Wise, Janus Friis, Jesper Buch, Johan Brenner, Melo7 Tech Partners, Pre-Seed Innovation, Roberto Bonanzinga, SCP Neptune International, SEED Capital Denmark, Vækstfonden</t>
        </is>
      </c>
      <c r="J539" s="18" t="inlineStr">
        <is>
          <t>www.vivino.com</t>
        </is>
      </c>
      <c r="K539" s="19" t="inlineStr">
        <is>
          <t>infocph@vivino.com</t>
        </is>
      </c>
      <c r="L539" s="20" t="inlineStr">
        <is>
          <t/>
        </is>
      </c>
      <c r="M539" s="21" t="inlineStr">
        <is>
          <t>Heini Zachariassen</t>
        </is>
      </c>
      <c r="N539" s="22" t="inlineStr">
        <is>
          <t>Chief Executive Officer &amp; Co-Founder</t>
        </is>
      </c>
      <c r="O539" s="23" t="inlineStr">
        <is>
          <t>heini@vivino.com</t>
        </is>
      </c>
      <c r="P539" s="24" t="inlineStr">
        <is>
          <t/>
        </is>
      </c>
      <c r="Q539" s="25" t="n">
        <v>2010.0</v>
      </c>
      <c r="R539" s="113">
        <f>HYPERLINK("https://my.pitchbook.com?c=55765-81", "View company online")</f>
      </c>
    </row>
    <row r="540">
      <c r="A540" s="27" t="inlineStr">
        <is>
          <t>170198-02</t>
        </is>
      </c>
      <c r="B540" s="28" t="inlineStr">
        <is>
          <t>Vividion Therapeutics</t>
        </is>
      </c>
      <c r="C540" s="29" t="inlineStr">
        <is>
          <t/>
        </is>
      </c>
      <c r="D540" s="30" t="inlineStr">
        <is>
          <t>Developer of novel drug discovery platform created to provide transformative treatments to patients with serious illnesses. The company's novel drug discovery platform that applies chemical proteomics to expand the druggable proteome and address difficult targets to bring new, transformative treatments to patients with serious illnesses, enabling customers to eliminates artifacts and create proteome-wide drug interaction maps for simultaneous target engagement and global selectivity profiling.</t>
        </is>
      </c>
      <c r="E540" s="31" t="inlineStr">
        <is>
          <t>Biotechnology</t>
        </is>
      </c>
      <c r="F540" s="32" t="inlineStr">
        <is>
          <t>San Diego, CA</t>
        </is>
      </c>
      <c r="G540" s="33" t="inlineStr">
        <is>
          <t>Privately Held (backing)</t>
        </is>
      </c>
      <c r="H540" s="34" t="inlineStr">
        <is>
          <t>Venture Capital-Backed</t>
        </is>
      </c>
      <c r="I540" s="35" t="inlineStr">
        <is>
          <t>ARCH Venture Partners, Cardinal Partners, Versant Ventures</t>
        </is>
      </c>
      <c r="J540" s="36" t="inlineStr">
        <is>
          <t>www.vividion.com</t>
        </is>
      </c>
      <c r="K540" s="37" t="inlineStr">
        <is>
          <t>information@vividion.com</t>
        </is>
      </c>
      <c r="L540" s="38" t="inlineStr">
        <is>
          <t/>
        </is>
      </c>
      <c r="M540" s="39" t="inlineStr">
        <is>
          <t>Stan Blackburn</t>
        </is>
      </c>
      <c r="N540" s="40" t="inlineStr">
        <is>
          <t>Chief Financial Officer</t>
        </is>
      </c>
      <c r="O540" s="41" t="inlineStr">
        <is>
          <t>stan@vividion.com</t>
        </is>
      </c>
      <c r="P540" s="42" t="inlineStr">
        <is>
          <t>+1 (609) 924-6452</t>
        </is>
      </c>
      <c r="Q540" s="43" t="n">
        <v>2014.0</v>
      </c>
      <c r="R540" s="114">
        <f>HYPERLINK("https://my.pitchbook.com?c=170198-02", "View company online")</f>
      </c>
    </row>
    <row r="541">
      <c r="A541" s="9" t="inlineStr">
        <is>
          <t>124683-67</t>
        </is>
      </c>
      <c r="B541" s="10" t="inlineStr">
        <is>
          <t>Vivid Vision</t>
        </is>
      </c>
      <c r="C541" s="11" t="inlineStr">
        <is>
          <t>94110</t>
        </is>
      </c>
      <c r="D541" s="12" t="inlineStr">
        <is>
          <t>Provider of a virtual reality system designed to facilitate in the field of vision disorders such as lazy eye and crossed eyes. The company's virtual reality system to treat disorders like amblyopia, strabismus, and covergence enabling users to play a set of games specifically designed to help combat their disorders.</t>
        </is>
      </c>
      <c r="E541" s="13" t="inlineStr">
        <is>
          <t>Therapeutic Devices</t>
        </is>
      </c>
      <c r="F541" s="14" t="inlineStr">
        <is>
          <t>San Francisco, CA</t>
        </is>
      </c>
      <c r="G541" s="15" t="inlineStr">
        <is>
          <t>Privately Held (backing)</t>
        </is>
      </c>
      <c r="H541" s="16" t="inlineStr">
        <is>
          <t>Venture Capital-Backed</t>
        </is>
      </c>
      <c r="I541" s="17" t="inlineStr">
        <is>
          <t>Anorak Ventures, ChinaRock Capital Management, IncWell, LEAP.Axlr8r, Liquid 2 Ventures, SoftTech VC, SOSV, The Venture Reality Fund</t>
        </is>
      </c>
      <c r="J541" s="18" t="inlineStr">
        <is>
          <t>www.seevividly.com</t>
        </is>
      </c>
      <c r="K541" s="19" t="inlineStr">
        <is>
          <t>contact@seevividly.com</t>
        </is>
      </c>
      <c r="L541" s="20" t="inlineStr">
        <is>
          <t/>
        </is>
      </c>
      <c r="M541" s="21" t="inlineStr">
        <is>
          <t>James Blaha</t>
        </is>
      </c>
      <c r="N541" s="22" t="inlineStr">
        <is>
          <t>Co-Founder, Chief Executive Officer &amp; Board Member</t>
        </is>
      </c>
      <c r="O541" s="23" t="inlineStr">
        <is>
          <t>james@seevividly.com</t>
        </is>
      </c>
      <c r="P541" s="24" t="inlineStr">
        <is>
          <t/>
        </is>
      </c>
      <c r="Q541" s="25" t="n">
        <v>2013.0</v>
      </c>
      <c r="R541" s="113">
        <f>HYPERLINK("https://my.pitchbook.com?c=124683-67", "View company online")</f>
      </c>
    </row>
    <row r="542">
      <c r="A542" s="27" t="inlineStr">
        <is>
          <t>107318-89</t>
        </is>
      </c>
      <c r="B542" s="28" t="inlineStr">
        <is>
          <t>Vivace Therapeutics</t>
        </is>
      </c>
      <c r="C542" s="29" t="inlineStr">
        <is>
          <t>94403</t>
        </is>
      </c>
      <c r="D542" s="30" t="inlineStr">
        <is>
          <t>Provider of a novel targeted cancer therapy. The company is engaged in targeting novel pathway for the treatment of cancer.</t>
        </is>
      </c>
      <c r="E542" s="31" t="inlineStr">
        <is>
          <t>Biotechnology</t>
        </is>
      </c>
      <c r="F542" s="32" t="inlineStr">
        <is>
          <t>San Mateo, CA</t>
        </is>
      </c>
      <c r="G542" s="33" t="inlineStr">
        <is>
          <t>Privately Held (backing)</t>
        </is>
      </c>
      <c r="H542" s="34" t="inlineStr">
        <is>
          <t>Venture Capital-Backed</t>
        </is>
      </c>
      <c r="I542" s="35" t="inlineStr">
        <is>
          <t>Canaan Partners, WuXi Healthcare Investment Consulting (Shanghai)</t>
        </is>
      </c>
      <c r="J542" s="36" t="inlineStr">
        <is>
          <t>www.vivacetherapeutics.com</t>
        </is>
      </c>
      <c r="K542" s="37" t="inlineStr">
        <is>
          <t/>
        </is>
      </c>
      <c r="L542" s="38" t="inlineStr">
        <is>
          <t>+1 (858) 344-7499</t>
        </is>
      </c>
      <c r="M542" s="39" t="inlineStr">
        <is>
          <t>Shuang Qiao</t>
        </is>
      </c>
      <c r="N542" s="40" t="inlineStr">
        <is>
          <t>President, Chief Executive Officer and Director</t>
        </is>
      </c>
      <c r="O542" s="41" t="inlineStr">
        <is>
          <t>sofie.q@vivacetherapeutics.com</t>
        </is>
      </c>
      <c r="P542" s="42" t="inlineStr">
        <is>
          <t>+86 (0)21 5046 2227</t>
        </is>
      </c>
      <c r="Q542" s="43" t="n">
        <v>2014.0</v>
      </c>
      <c r="R542" s="114">
        <f>HYPERLINK("https://my.pitchbook.com?c=107318-89", "View company online")</f>
      </c>
    </row>
    <row r="543">
      <c r="A543" s="9" t="inlineStr">
        <is>
          <t>99396-19</t>
        </is>
      </c>
      <c r="B543" s="10" t="inlineStr">
        <is>
          <t>Vium</t>
        </is>
      </c>
      <c r="C543" s="11" t="inlineStr">
        <is>
          <t>94402</t>
        </is>
      </c>
      <c r="D543" s="12" t="inlineStr">
        <is>
          <t>Provider of a living informatics platform for pre-clinical drug research. The company offers technologies for biomedical investigators that helps in accelerating the pre-clinical drug discovery and development pipeline.</t>
        </is>
      </c>
      <c r="E543" s="13" t="inlineStr">
        <is>
          <t>Other Healthcare Technology Systems</t>
        </is>
      </c>
      <c r="F543" s="14" t="inlineStr">
        <is>
          <t>San Mateo, CA</t>
        </is>
      </c>
      <c r="G543" s="15" t="inlineStr">
        <is>
          <t>Privately Held (backing)</t>
        </is>
      </c>
      <c r="H543" s="16" t="inlineStr">
        <is>
          <t>Venture Capital-Backed</t>
        </is>
      </c>
      <c r="I543" s="17" t="inlineStr">
        <is>
          <t>AME Cloud Ventures, Brad Murphy, Christine McCaull, Data Collective, Dolby Family Ventures, Founders Fund, Jim Greer, Lux Capital, Michael Weiksner, Rostrum Capital</t>
        </is>
      </c>
      <c r="J543" s="18" t="inlineStr">
        <is>
          <t>www.vium.com</t>
        </is>
      </c>
      <c r="K543" s="19" t="inlineStr">
        <is>
          <t>info@vium.com</t>
        </is>
      </c>
      <c r="L543" s="20" t="inlineStr">
        <is>
          <t>+1 (650) 797-2001</t>
        </is>
      </c>
      <c r="M543" s="21" t="inlineStr">
        <is>
          <t>Timothy Robertson</t>
        </is>
      </c>
      <c r="N543" s="22" t="inlineStr">
        <is>
          <t>Chief Executive Officer, Co-Founder and Chairman</t>
        </is>
      </c>
      <c r="O543" s="23" t="inlineStr">
        <is>
          <t>timothy@vium.com</t>
        </is>
      </c>
      <c r="P543" s="24" t="inlineStr">
        <is>
          <t>+1 (650) 797-2001</t>
        </is>
      </c>
      <c r="Q543" s="25" t="n">
        <v>2013.0</v>
      </c>
      <c r="R543" s="113">
        <f>HYPERLINK("https://my.pitchbook.com?c=99396-19", "View company online")</f>
      </c>
    </row>
    <row r="544">
      <c r="A544" s="27" t="inlineStr">
        <is>
          <t>168352-84</t>
        </is>
      </c>
      <c r="B544" s="28" t="inlineStr">
        <is>
          <t>Vitruvian Networks</t>
        </is>
      </c>
      <c r="C544" s="29" t="inlineStr">
        <is>
          <t>94025</t>
        </is>
      </c>
      <c r="D544" s="30" t="inlineStr">
        <is>
          <t>Developer of software for scaling and digital services for cell and gene therapies. The company focuses on enabling life changing autologous therapies, supporting standards, and developing infrastructure that will expand patient access through expedited discovery, delivery and regulation in the field. It is a platform for bringing the Internet of Things to cancer research.</t>
        </is>
      </c>
      <c r="E544" s="31" t="inlineStr">
        <is>
          <t>Other Healthcare Technology Systems</t>
        </is>
      </c>
      <c r="F544" s="32" t="inlineStr">
        <is>
          <t>Menlo Park, CA</t>
        </is>
      </c>
      <c r="G544" s="33" t="inlineStr">
        <is>
          <t>Privately Held (backing)</t>
        </is>
      </c>
      <c r="H544" s="34" t="inlineStr">
        <is>
          <t>Venture Capital-Backed</t>
        </is>
      </c>
      <c r="I544" s="35" t="inlineStr">
        <is>
          <t>Draper Fisher Jurvetson, GE Ventures, Mayo Clinic Ventures</t>
        </is>
      </c>
      <c r="J544" s="36" t="inlineStr">
        <is>
          <t>www.vineti.com</t>
        </is>
      </c>
      <c r="K544" s="37" t="inlineStr">
        <is>
          <t/>
        </is>
      </c>
      <c r="L544" s="38" t="inlineStr">
        <is>
          <t/>
        </is>
      </c>
      <c r="M544" s="39" t="inlineStr">
        <is>
          <t>Amy DuRoss</t>
        </is>
      </c>
      <c r="N544" s="40" t="inlineStr">
        <is>
          <t>Co-Founder</t>
        </is>
      </c>
      <c r="O544" s="41" t="inlineStr">
        <is>
          <t/>
        </is>
      </c>
      <c r="P544" s="42" t="inlineStr">
        <is>
          <t>+1 (650) 233-3900</t>
        </is>
      </c>
      <c r="Q544" s="43" t="n">
        <v>2015.0</v>
      </c>
      <c r="R544" s="114">
        <f>HYPERLINK("https://my.pitchbook.com?c=168352-84", "View company online")</f>
      </c>
    </row>
    <row r="545">
      <c r="A545" s="9" t="inlineStr">
        <is>
          <t>179322-22</t>
        </is>
      </c>
      <c r="B545" s="10" t="inlineStr">
        <is>
          <t>VitroLabs</t>
        </is>
      </c>
      <c r="C545" s="11" t="inlineStr">
        <is>
          <t>94104-5401</t>
        </is>
      </c>
      <c r="D545" s="12" t="inlineStr">
        <is>
          <t>Developer of an advanced 3D skin model. The company's 3D skin model uses cutting edge tissue engineering to create luxury quality lab-grown leather, enabling customers to use it to manufacture fashion and interior products.</t>
        </is>
      </c>
      <c r="E545" s="13" t="inlineStr">
        <is>
          <t>Biotechnology</t>
        </is>
      </c>
      <c r="F545" s="14" t="inlineStr">
        <is>
          <t>San Francisco, CA</t>
        </is>
      </c>
      <c r="G545" s="15" t="inlineStr">
        <is>
          <t>Privately Held (backing)</t>
        </is>
      </c>
      <c r="H545" s="16" t="inlineStr">
        <is>
          <t>Venture Capital-Backed</t>
        </is>
      </c>
      <c r="I545" s="17" t="inlineStr">
        <is>
          <t>Baleine &amp; Bjorn Capital, California Life Sciences Association, Stray Dog Capital</t>
        </is>
      </c>
      <c r="J545" s="18" t="inlineStr">
        <is>
          <t>www.vitrolabsinc.com</t>
        </is>
      </c>
      <c r="K545" s="19" t="inlineStr">
        <is>
          <t>info@vitrolabsinc.com</t>
        </is>
      </c>
      <c r="L545" s="20" t="inlineStr">
        <is>
          <t/>
        </is>
      </c>
      <c r="M545" s="21" t="inlineStr">
        <is>
          <t>Ingvar Helgason</t>
        </is>
      </c>
      <c r="N545" s="22" t="inlineStr">
        <is>
          <t>Founder &amp; Chief Executive Officer</t>
        </is>
      </c>
      <c r="O545" s="23" t="inlineStr">
        <is>
          <t>ingvar.helgason@vitrolabsinc.com</t>
        </is>
      </c>
      <c r="P545" s="24" t="inlineStr">
        <is>
          <t/>
        </is>
      </c>
      <c r="Q545" s="25" t="n">
        <v>2016.0</v>
      </c>
      <c r="R545" s="113">
        <f>HYPERLINK("https://my.pitchbook.com?c=179322-22", "View company online")</f>
      </c>
    </row>
    <row r="546">
      <c r="A546" s="27" t="inlineStr">
        <is>
          <t>55415-08</t>
        </is>
      </c>
      <c r="B546" s="28" t="inlineStr">
        <is>
          <t>Vitriflex</t>
        </is>
      </c>
      <c r="C546" s="29" t="inlineStr">
        <is>
          <t>95131</t>
        </is>
      </c>
      <c r="D546" s="30" t="inlineStr">
        <is>
          <t>Manufacturer of flexible barrier films technology. The company develops films for electronic applications including solar panels and flexible electronics.</t>
        </is>
      </c>
      <c r="E546" s="31" t="inlineStr">
        <is>
          <t>Other Commercial Products</t>
        </is>
      </c>
      <c r="F546" s="32" t="inlineStr">
        <is>
          <t>San Jose, CA</t>
        </is>
      </c>
      <c r="G546" s="33" t="inlineStr">
        <is>
          <t>Privately Held (backing)</t>
        </is>
      </c>
      <c r="H546" s="34" t="inlineStr">
        <is>
          <t>Venture Capital-Backed</t>
        </is>
      </c>
      <c r="I546" s="35" t="inlineStr">
        <is>
          <t>Draper Nexus, Henkel, Henkel Ventures, SABIC Ventures</t>
        </is>
      </c>
      <c r="J546" s="36" t="inlineStr">
        <is>
          <t>www.vitriflex.com</t>
        </is>
      </c>
      <c r="K546" s="37" t="inlineStr">
        <is>
          <t>info@vitriflex.com</t>
        </is>
      </c>
      <c r="L546" s="38" t="inlineStr">
        <is>
          <t>+1 (408) 468-6700</t>
        </is>
      </c>
      <c r="M546" s="39" t="inlineStr">
        <is>
          <t>David Parker</t>
        </is>
      </c>
      <c r="N546" s="40" t="inlineStr">
        <is>
          <t>Co-Founder, Board Member, President &amp; Chief Executive Officer</t>
        </is>
      </c>
      <c r="O546" s="41" t="inlineStr">
        <is>
          <t>dparker@vitriflex.com</t>
        </is>
      </c>
      <c r="P546" s="42" t="inlineStr">
        <is>
          <t>+1 (408) 348-6556</t>
        </is>
      </c>
      <c r="Q546" s="43" t="n">
        <v>2010.0</v>
      </c>
      <c r="R546" s="114">
        <f>HYPERLINK("https://my.pitchbook.com?c=55415-08", "View company online")</f>
      </c>
    </row>
    <row r="547">
      <c r="A547" s="9" t="inlineStr">
        <is>
          <t>150277-69</t>
        </is>
      </c>
      <c r="B547" s="10" t="inlineStr">
        <is>
          <t>Vitesse Biologics</t>
        </is>
      </c>
      <c r="C547" s="11" t="inlineStr">
        <is>
          <t>94080</t>
        </is>
      </c>
      <c r="D547" s="12" t="inlineStr">
        <is>
          <t>Developer of antibody and therapeutics. The company develops protein-based therapeutics and antibody in the fields of immunology, hematology and oncology.</t>
        </is>
      </c>
      <c r="E547" s="13" t="inlineStr">
        <is>
          <t>Drug Discovery</t>
        </is>
      </c>
      <c r="F547" s="14" t="inlineStr">
        <is>
          <t>South San Francisco, CA</t>
        </is>
      </c>
      <c r="G547" s="15" t="inlineStr">
        <is>
          <t>Privately Held (backing)</t>
        </is>
      </c>
      <c r="H547" s="16" t="inlineStr">
        <is>
          <t>Venture Capital-Backed</t>
        </is>
      </c>
      <c r="I547" s="17" t="inlineStr">
        <is>
          <t>Mayo Clinic Ventures, Shire, Velocity Pharmaceutical Development</t>
        </is>
      </c>
      <c r="J547" s="18" t="inlineStr">
        <is>
          <t>www.vitessebiologics.com</t>
        </is>
      </c>
      <c r="K547" s="19" t="inlineStr">
        <is>
          <t>info@vitessepharma.com</t>
        </is>
      </c>
      <c r="L547" s="20" t="inlineStr">
        <is>
          <t>+1 (650) 273-5748</t>
        </is>
      </c>
      <c r="M547" s="21" t="inlineStr">
        <is>
          <t/>
        </is>
      </c>
      <c r="N547" s="22" t="inlineStr">
        <is>
          <t/>
        </is>
      </c>
      <c r="O547" s="23" t="inlineStr">
        <is>
          <t/>
        </is>
      </c>
      <c r="P547" s="24" t="inlineStr">
        <is>
          <t/>
        </is>
      </c>
      <c r="Q547" s="25" t="n">
        <v>2015.0</v>
      </c>
      <c r="R547" s="113">
        <f>HYPERLINK("https://my.pitchbook.com?c=150277-69", "View company online")</f>
      </c>
    </row>
    <row r="548">
      <c r="A548" s="27" t="inlineStr">
        <is>
          <t>161999-74</t>
        </is>
      </c>
      <c r="B548" s="28" t="inlineStr">
        <is>
          <t>Vitameter</t>
        </is>
      </c>
      <c r="C548" s="29" t="inlineStr">
        <is>
          <t>N2G 1J4</t>
        </is>
      </c>
      <c r="D548" s="30" t="inlineStr">
        <is>
          <t>Provider of a handheld device to measure vitamin levels of the individuals. The company allows users to track vitamin levels and other biomarkers from home and provides them the information needed to manage their diet and supplements.</t>
        </is>
      </c>
      <c r="E548" s="31" t="inlineStr">
        <is>
          <t>Monitoring Equipment</t>
        </is>
      </c>
      <c r="F548" s="32" t="inlineStr">
        <is>
          <t>Kitchener, Canada</t>
        </is>
      </c>
      <c r="G548" s="33" t="inlineStr">
        <is>
          <t>Privately Held (backing)</t>
        </is>
      </c>
      <c r="H548" s="34" t="inlineStr">
        <is>
          <t>Venture Capital-Backed</t>
        </is>
      </c>
      <c r="I548" s="35" t="inlineStr">
        <is>
          <t>Bolt Innovation Group, Grants4Apps, Plug and Play Tech Center</t>
        </is>
      </c>
      <c r="J548" s="36" t="inlineStr">
        <is>
          <t>www.vitameter.org</t>
        </is>
      </c>
      <c r="K548" s="37" t="inlineStr">
        <is>
          <t>info@vitameter.org</t>
        </is>
      </c>
      <c r="L548" s="38" t="inlineStr">
        <is>
          <t/>
        </is>
      </c>
      <c r="M548" s="39" t="inlineStr">
        <is>
          <t>James MacLean</t>
        </is>
      </c>
      <c r="N548" s="40" t="inlineStr">
        <is>
          <t>Co-Founder</t>
        </is>
      </c>
      <c r="O548" s="41" t="inlineStr">
        <is>
          <t>james@vitameter.com</t>
        </is>
      </c>
      <c r="P548" s="42" t="inlineStr">
        <is>
          <t/>
        </is>
      </c>
      <c r="Q548" s="43" t="n">
        <v>2015.0</v>
      </c>
      <c r="R548" s="114">
        <f>HYPERLINK("https://my.pitchbook.com?c=161999-74", "View company online")</f>
      </c>
    </row>
    <row r="549">
      <c r="A549" s="9" t="inlineStr">
        <is>
          <t>55240-57</t>
        </is>
      </c>
      <c r="B549" s="10" t="inlineStr">
        <is>
          <t>Vitalect</t>
        </is>
      </c>
      <c r="C549" s="11" t="inlineStr">
        <is>
          <t>94041</t>
        </is>
      </c>
      <c r="D549" s="12" t="inlineStr">
        <is>
          <t>Provider of an e-learning software. The company provides an online training and learning platform to create and manage online content.</t>
        </is>
      </c>
      <c r="E549" s="13" t="inlineStr">
        <is>
          <t>Educational Software</t>
        </is>
      </c>
      <c r="F549" s="14" t="inlineStr">
        <is>
          <t>Mountain View, CA</t>
        </is>
      </c>
      <c r="G549" s="15" t="inlineStr">
        <is>
          <t>Privately Held (backing)</t>
        </is>
      </c>
      <c r="H549" s="16" t="inlineStr">
        <is>
          <t>Venture Capital-Backed</t>
        </is>
      </c>
      <c r="I549" s="17" t="inlineStr">
        <is>
          <t>SBV Venture Partners</t>
        </is>
      </c>
      <c r="J549" s="18" t="inlineStr">
        <is>
          <t>www.vitalect.com</t>
        </is>
      </c>
      <c r="K549" s="19" t="inlineStr">
        <is>
          <t>contact@vitalect.com</t>
        </is>
      </c>
      <c r="L549" s="20" t="inlineStr">
        <is>
          <t>+1 (650) 265-7542</t>
        </is>
      </c>
      <c r="M549" s="21" t="inlineStr">
        <is>
          <t>Pran Kurup</t>
        </is>
      </c>
      <c r="N549" s="22" t="inlineStr">
        <is>
          <t>Chief Executive Officer, President &amp; Founder</t>
        </is>
      </c>
      <c r="O549" s="23" t="inlineStr">
        <is>
          <t>pkurup@vitalect.com</t>
        </is>
      </c>
      <c r="P549" s="24" t="inlineStr">
        <is>
          <t>+1 (650) 265-7542</t>
        </is>
      </c>
      <c r="Q549" s="25" t="n">
        <v>1997.0</v>
      </c>
      <c r="R549" s="113">
        <f>HYPERLINK("https://my.pitchbook.com?c=55240-57", "View company online")</f>
      </c>
    </row>
    <row r="550">
      <c r="A550" s="27" t="inlineStr">
        <is>
          <t>102884-50</t>
        </is>
      </c>
      <c r="B550" s="28" t="inlineStr">
        <is>
          <t>VitalConnect</t>
        </is>
      </c>
      <c r="C550" s="29" t="inlineStr">
        <is>
          <t>95110</t>
        </is>
      </c>
      <c r="D550" s="30" t="inlineStr">
        <is>
          <t>Developer of wearable biosensor systems designed to continuously monitor and record eight patient vital signs. The company's VitalPatch wearable biosensor is a wireless, adhesive patch that continuously monitors and records eight patient vital signs through a platform to integrate the VitalPatch biosensor with mobile and cloud-based software and analytics, enabling healthcare providers and patients to respond immediately to urgent situations, sometimes days in advance and access to unprecedented insight into a patient's health, aiding in critical decisions.</t>
        </is>
      </c>
      <c r="E550" s="31" t="inlineStr">
        <is>
          <t>Monitoring Equipment</t>
        </is>
      </c>
      <c r="F550" s="32" t="inlineStr">
        <is>
          <t>San Jose, CA</t>
        </is>
      </c>
      <c r="G550" s="33" t="inlineStr">
        <is>
          <t>Privately Held (backing)</t>
        </is>
      </c>
      <c r="H550" s="34" t="inlineStr">
        <is>
          <t>Venture Capital-Backed</t>
        </is>
      </c>
      <c r="I550" s="35" t="inlineStr">
        <is>
          <t>Baxter Ventures, Michael Kantor, MVM Life Science Partners</t>
        </is>
      </c>
      <c r="J550" s="36" t="inlineStr">
        <is>
          <t>www.vitalconnect.com</t>
        </is>
      </c>
      <c r="K550" s="37" t="inlineStr">
        <is>
          <t>info@vitalconnect.com</t>
        </is>
      </c>
      <c r="L550" s="38" t="inlineStr">
        <is>
          <t>+1 (408) 963-4600</t>
        </is>
      </c>
      <c r="M550" s="39" t="inlineStr">
        <is>
          <t>Martyn Webster</t>
        </is>
      </c>
      <c r="N550" s="40" t="inlineStr">
        <is>
          <t>Chief Financial Officer</t>
        </is>
      </c>
      <c r="O550" s="41" t="inlineStr">
        <is>
          <t>mwebster@vitalconnect.com</t>
        </is>
      </c>
      <c r="P550" s="42" t="inlineStr">
        <is>
          <t>+1 (408) 963-4600</t>
        </is>
      </c>
      <c r="Q550" s="43" t="n">
        <v>2011.0</v>
      </c>
      <c r="R550" s="114">
        <f>HYPERLINK("https://my.pitchbook.com?c=102884-50", "View company online")</f>
      </c>
    </row>
    <row r="551">
      <c r="A551" s="9" t="inlineStr">
        <is>
          <t>119019-97</t>
        </is>
      </c>
      <c r="B551" s="10" t="inlineStr">
        <is>
          <t>Vital Labs</t>
        </is>
      </c>
      <c r="C551" s="11" t="inlineStr">
        <is>
          <t>94010</t>
        </is>
      </c>
      <c r="D551" s="12" t="inlineStr">
        <is>
          <t>Developer of a healthcare technology platform. The company develops a healthcare analytics and delivery platform for improving human health, productivity and creativity.</t>
        </is>
      </c>
      <c r="E551" s="13" t="inlineStr">
        <is>
          <t>Social/Platform Software</t>
        </is>
      </c>
      <c r="F551" s="14" t="inlineStr">
        <is>
          <t>Burlingame, CA</t>
        </is>
      </c>
      <c r="G551" s="15" t="inlineStr">
        <is>
          <t>Privately Held (backing)</t>
        </is>
      </c>
      <c r="H551" s="16" t="inlineStr">
        <is>
          <t>Venture Capital-Backed</t>
        </is>
      </c>
      <c r="I551" s="17" t="inlineStr">
        <is>
          <t>KCK Global, Lifeforce Ventures, True Ventures, Western Technology Investment</t>
        </is>
      </c>
      <c r="J551" s="18" t="inlineStr">
        <is>
          <t>www.vitallabs.co</t>
        </is>
      </c>
      <c r="K551" s="19" t="inlineStr">
        <is>
          <t>hello@vitallabs.co</t>
        </is>
      </c>
      <c r="L551" s="20" t="inlineStr">
        <is>
          <t/>
        </is>
      </c>
      <c r="M551" s="21" t="inlineStr">
        <is>
          <t>Ian Eslick</t>
        </is>
      </c>
      <c r="N551" s="22" t="inlineStr">
        <is>
          <t>Co-Chief Executive Officer, Board Member and Co-Founder</t>
        </is>
      </c>
      <c r="O551" s="23" t="inlineStr">
        <is>
          <t>ian@vitallabs.co</t>
        </is>
      </c>
      <c r="P551" s="24" t="inlineStr">
        <is>
          <t/>
        </is>
      </c>
      <c r="Q551" s="25" t="n">
        <v>2013.0</v>
      </c>
      <c r="R551" s="113">
        <f>HYPERLINK("https://my.pitchbook.com?c=119019-97", "View company online")</f>
      </c>
    </row>
    <row r="552">
      <c r="A552" s="27" t="inlineStr">
        <is>
          <t>57085-66</t>
        </is>
      </c>
      <c r="B552" s="28" t="inlineStr">
        <is>
          <t>Visure</t>
        </is>
      </c>
      <c r="C552" s="29" t="inlineStr">
        <is>
          <t>94111</t>
        </is>
      </c>
      <c r="D552" s="30" t="inlineStr">
        <is>
          <t>Provider of tools designed to manage requirements management life-cycle. The company's tool supports manual and automatic input of requirements and services enabling its clients to manage changes in different phases of life-cycle and trace of all the artifacts.</t>
        </is>
      </c>
      <c r="E552" s="31" t="inlineStr">
        <is>
          <t>Business/Productivity Software</t>
        </is>
      </c>
      <c r="F552" s="32" t="inlineStr">
        <is>
          <t>San Francisco, CA</t>
        </is>
      </c>
      <c r="G552" s="33" t="inlineStr">
        <is>
          <t>Privately Held (backing)</t>
        </is>
      </c>
      <c r="H552" s="34" t="inlineStr">
        <is>
          <t>Venture Capital-Backed</t>
        </is>
      </c>
      <c r="I552" s="35" t="inlineStr">
        <is>
          <t>Adara Ventures, Bullnet Gestión</t>
        </is>
      </c>
      <c r="J552" s="36" t="inlineStr">
        <is>
          <t>www.visuresolutions.com</t>
        </is>
      </c>
      <c r="K552" s="37" t="inlineStr">
        <is>
          <t>info@visuresolutions.com</t>
        </is>
      </c>
      <c r="L552" s="38" t="inlineStr">
        <is>
          <t>+1 (415) 745-3304</t>
        </is>
      </c>
      <c r="M552" s="39" t="inlineStr">
        <is>
          <t>Joe Cisneros</t>
        </is>
      </c>
      <c r="N552" s="40" t="inlineStr">
        <is>
          <t>Chief Executive Officer</t>
        </is>
      </c>
      <c r="O552" s="41" t="inlineStr">
        <is>
          <t>jcisneros@visuresolutions.com</t>
        </is>
      </c>
      <c r="P552" s="42" t="inlineStr">
        <is>
          <t>+34 91 806 1713</t>
        </is>
      </c>
      <c r="Q552" s="43" t="n">
        <v>2007.0</v>
      </c>
      <c r="R552" s="114">
        <f>HYPERLINK("https://my.pitchbook.com?c=57085-66", "View company online")</f>
      </c>
    </row>
    <row r="553">
      <c r="A553" s="9" t="inlineStr">
        <is>
          <t>65304-28</t>
        </is>
      </c>
      <c r="B553" s="10" t="inlineStr">
        <is>
          <t>VisualThreat</t>
        </is>
      </c>
      <c r="C553" s="11" t="inlineStr">
        <is>
          <t>95054</t>
        </is>
      </c>
      <c r="D553" s="12" t="inlineStr">
        <is>
          <t>Provider of mobile security services. The company develops a mobile application software that provides risk reputation and auto security services which helps to discover mobile threats in a visual way and minimize penetration from cyber attacks.</t>
        </is>
      </c>
      <c r="E553" s="13" t="inlineStr">
        <is>
          <t>Application Software</t>
        </is>
      </c>
      <c r="F553" s="14" t="inlineStr">
        <is>
          <t>Santa Clara, CA</t>
        </is>
      </c>
      <c r="G553" s="15" t="inlineStr">
        <is>
          <t>Privately Held (backing)</t>
        </is>
      </c>
      <c r="H553" s="16" t="inlineStr">
        <is>
          <t>Venture Capital-Backed</t>
        </is>
      </c>
      <c r="I553" s="17" t="inlineStr">
        <is>
          <t>InnoSpring (Shanghai) Company, Tsingyuan Ventures, Westlake Ventures</t>
        </is>
      </c>
      <c r="J553" s="18" t="inlineStr">
        <is>
          <t>www.visualthreat.com</t>
        </is>
      </c>
      <c r="K553" s="19" t="inlineStr">
        <is>
          <t>info@visualthreat.com</t>
        </is>
      </c>
      <c r="L553" s="20" t="inlineStr">
        <is>
          <t/>
        </is>
      </c>
      <c r="M553" s="21" t="inlineStr">
        <is>
          <t>Wei Yan</t>
        </is>
      </c>
      <c r="N553" s="22" t="inlineStr">
        <is>
          <t>Founder &amp; Chief Executive Officer</t>
        </is>
      </c>
      <c r="O553" s="23" t="inlineStr">
        <is>
          <t>wei.yan@visualthreat.com</t>
        </is>
      </c>
      <c r="P553" s="24" t="inlineStr">
        <is>
          <t/>
        </is>
      </c>
      <c r="Q553" s="25" t="n">
        <v>2013.0</v>
      </c>
      <c r="R553" s="113">
        <f>HYPERLINK("https://my.pitchbook.com?c=65304-28", "View company online")</f>
      </c>
    </row>
    <row r="554">
      <c r="A554" s="27" t="inlineStr">
        <is>
          <t>56922-67</t>
        </is>
      </c>
      <c r="B554" s="28" t="inlineStr">
        <is>
          <t>VisualOn</t>
        </is>
      </c>
      <c r="C554" s="29" t="inlineStr">
        <is>
          <t>95131</t>
        </is>
      </c>
      <c r="D554" s="30" t="inlineStr">
        <is>
          <t>Operator of a multimedia software company providing content delivery services. The company focuses on delivering multimedia playback experiences across a range of connected devices in a scalable manner.</t>
        </is>
      </c>
      <c r="E554" s="31" t="inlineStr">
        <is>
          <t>Multimedia and Design Software</t>
        </is>
      </c>
      <c r="F554" s="32" t="inlineStr">
        <is>
          <t>San Jose, CA</t>
        </is>
      </c>
      <c r="G554" s="33" t="inlineStr">
        <is>
          <t>Privately Held (backing)</t>
        </is>
      </c>
      <c r="H554" s="34" t="inlineStr">
        <is>
          <t>Venture Capital-Backed</t>
        </is>
      </c>
      <c r="I554" s="35" t="inlineStr">
        <is>
          <t>AsiaTech Management, EXA Ventures, Innobridge Capital Management, Medio Systems</t>
        </is>
      </c>
      <c r="J554" s="36" t="inlineStr">
        <is>
          <t>www.visualon.com</t>
        </is>
      </c>
      <c r="K554" s="37" t="inlineStr">
        <is>
          <t>info@visualon.com</t>
        </is>
      </c>
      <c r="L554" s="38" t="inlineStr">
        <is>
          <t>+1 (408) 645-6618</t>
        </is>
      </c>
      <c r="M554" s="39" t="inlineStr">
        <is>
          <t>Andy Lin</t>
        </is>
      </c>
      <c r="N554" s="40" t="inlineStr">
        <is>
          <t>Chief Executive Officer, Board Member &amp; President</t>
        </is>
      </c>
      <c r="O554" s="41" t="inlineStr">
        <is>
          <t>andylin@visualon.com</t>
        </is>
      </c>
      <c r="P554" s="42" t="inlineStr">
        <is>
          <t>+1 (408) 645-6618</t>
        </is>
      </c>
      <c r="Q554" s="43" t="n">
        <v>2003.0</v>
      </c>
      <c r="R554" s="114">
        <f>HYPERLINK("https://my.pitchbook.com?c=56922-67", "View company online")</f>
      </c>
    </row>
    <row r="555">
      <c r="A555" s="9" t="inlineStr">
        <is>
          <t>56279-98</t>
        </is>
      </c>
      <c r="B555" s="10" t="inlineStr">
        <is>
          <t>Visualnet</t>
        </is>
      </c>
      <c r="C555" s="11" t="inlineStr">
        <is>
          <t>90210</t>
        </is>
      </c>
      <c r="D555" s="12" t="inlineStr">
        <is>
          <t>Provider of an online directory for the international film and broadcast production community. The company offers an online bidding tool for production services which is designed to streamline the production process.</t>
        </is>
      </c>
      <c r="E555" s="13" t="inlineStr">
        <is>
          <t>Media and Information Services (B2B)</t>
        </is>
      </c>
      <c r="F555" s="14" t="inlineStr">
        <is>
          <t>Beverly Hills, CA</t>
        </is>
      </c>
      <c r="G555" s="15" t="inlineStr">
        <is>
          <t>Privately Held (backing)</t>
        </is>
      </c>
      <c r="H555" s="16" t="inlineStr">
        <is>
          <t>Venture Capital-Backed</t>
        </is>
      </c>
      <c r="I555" s="17" t="inlineStr">
        <is>
          <t>ESADE BAN, Kibo Ventures Partners, Wayra</t>
        </is>
      </c>
      <c r="J555" s="18" t="inlineStr">
        <is>
          <t>www.visualnet.com</t>
        </is>
      </c>
      <c r="K555" s="19" t="inlineStr">
        <is>
          <t>vnla@visualnet.com</t>
        </is>
      </c>
      <c r="L555" s="20" t="inlineStr">
        <is>
          <t/>
        </is>
      </c>
      <c r="M555" s="21" t="inlineStr">
        <is>
          <t>George Argente</t>
        </is>
      </c>
      <c r="N555" s="22" t="inlineStr">
        <is>
          <t>Chief Financial Officer</t>
        </is>
      </c>
      <c r="O555" s="23" t="inlineStr">
        <is>
          <t>jordi@ludei.com</t>
        </is>
      </c>
      <c r="P555" s="24" t="inlineStr">
        <is>
          <t/>
        </is>
      </c>
      <c r="Q555" s="25" t="n">
        <v>1997.0</v>
      </c>
      <c r="R555" s="113">
        <f>HYPERLINK("https://my.pitchbook.com?c=56279-98", "View company online")</f>
      </c>
    </row>
    <row r="556">
      <c r="A556" s="27" t="inlineStr">
        <is>
          <t>168529-42</t>
        </is>
      </c>
      <c r="B556" s="28" t="inlineStr">
        <is>
          <t>Visual Labs</t>
        </is>
      </c>
      <c r="C556" s="29" t="inlineStr">
        <is>
          <t>94025</t>
        </is>
      </c>
      <c r="D556" s="30" t="inlineStr">
        <is>
          <t>Developer of body camera software designed to turn smartphones into body cameras for use by public and private safety clients (e.g. police and private security forces) as well as commercial businesses. The company's software allows smartphones to be used as body cameras, and includes features such as real-time situational awareness via live stream video transmission, and real-time positional awareness via GPS. The software also enables distant command centers to remotely initiate live video streams to establish communication with an officer who otherwise cannot be reached.</t>
        </is>
      </c>
      <c r="E556" s="31" t="inlineStr">
        <is>
          <t>Security Services (B2B)</t>
        </is>
      </c>
      <c r="F556" s="32" t="inlineStr">
        <is>
          <t>Menlo Park, CA</t>
        </is>
      </c>
      <c r="G556" s="33" t="inlineStr">
        <is>
          <t>Privately Held (backing)</t>
        </is>
      </c>
      <c r="H556" s="34" t="inlineStr">
        <is>
          <t>Venture Capital-Backed</t>
        </is>
      </c>
      <c r="I556" s="35" t="inlineStr">
        <is>
          <t>Lightspeed Venture Partners</t>
        </is>
      </c>
      <c r="J556" s="36" t="inlineStr">
        <is>
          <t>www.visuallabsinc.com</t>
        </is>
      </c>
      <c r="K556" s="37" t="inlineStr">
        <is>
          <t>team@visuallabsinc.com</t>
        </is>
      </c>
      <c r="L556" s="38" t="inlineStr">
        <is>
          <t>+1 (818) 919-9804</t>
        </is>
      </c>
      <c r="M556" s="39" t="inlineStr">
        <is>
          <t>Alex Popof</t>
        </is>
      </c>
      <c r="N556" s="40" t="inlineStr">
        <is>
          <t>Founder &amp; Chief Executive Officer</t>
        </is>
      </c>
      <c r="O556" s="41" t="inlineStr">
        <is>
          <t/>
        </is>
      </c>
      <c r="P556" s="42" t="inlineStr">
        <is>
          <t>+1 (818) 919-9804</t>
        </is>
      </c>
      <c r="Q556" s="43" t="n">
        <v>2014.0</v>
      </c>
      <c r="R556" s="114">
        <f>HYPERLINK("https://my.pitchbook.com?c=168529-42", "View company online")</f>
      </c>
    </row>
    <row r="557">
      <c r="A557" s="9" t="inlineStr">
        <is>
          <t>50889-25</t>
        </is>
      </c>
      <c r="B557" s="10" t="inlineStr">
        <is>
          <t>Visual IQ</t>
        </is>
      </c>
      <c r="C557" s="11" t="inlineStr">
        <is>
          <t>02494</t>
        </is>
      </c>
      <c r="D557" s="12" t="inlineStr">
        <is>
          <t>Provider of a for marketing and investment decision. The company offers software products which specializes in serving media agencies and forward-thinking marketers. It also provides both executive-level and practitioner-level recommendations to improve your marketing performance.</t>
        </is>
      </c>
      <c r="E557" s="13" t="inlineStr">
        <is>
          <t>Vertical Market Software</t>
        </is>
      </c>
      <c r="F557" s="14" t="inlineStr">
        <is>
          <t>Needham, MA</t>
        </is>
      </c>
      <c r="G557" s="15" t="inlineStr">
        <is>
          <t>Privately Held (backing)</t>
        </is>
      </c>
      <c r="H557" s="16" t="inlineStr">
        <is>
          <t>Venture Capital-Backed</t>
        </is>
      </c>
      <c r="I557" s="17" t="inlineStr">
        <is>
          <t>Fog City Capital, Volition Capital</t>
        </is>
      </c>
      <c r="J557" s="18" t="inlineStr">
        <is>
          <t>www.visualiq.com</t>
        </is>
      </c>
      <c r="K557" s="19" t="inlineStr">
        <is>
          <t>corp@visualiq.com</t>
        </is>
      </c>
      <c r="L557" s="20" t="inlineStr">
        <is>
          <t>+1 (781) 657-9035</t>
        </is>
      </c>
      <c r="M557" s="21" t="inlineStr">
        <is>
          <t>Manu Mathew</t>
        </is>
      </c>
      <c r="N557" s="22" t="inlineStr">
        <is>
          <t>Co-Founder &amp; Chief Executive Officer</t>
        </is>
      </c>
      <c r="O557" s="23" t="inlineStr">
        <is>
          <t>manu.mathew@visualiq.com</t>
        </is>
      </c>
      <c r="P557" s="24" t="inlineStr">
        <is>
          <t>+1 (781) 657-9035</t>
        </is>
      </c>
      <c r="Q557" s="25" t="n">
        <v>2006.0</v>
      </c>
      <c r="R557" s="113">
        <f>HYPERLINK("https://my.pitchbook.com?c=50889-25", "View company online")</f>
      </c>
    </row>
    <row r="558">
      <c r="A558" s="27" t="inlineStr">
        <is>
          <t>148677-67</t>
        </is>
      </c>
      <c r="B558" s="28" t="inlineStr">
        <is>
          <t>Visiting Nurse Association of the Inland Counties</t>
        </is>
      </c>
      <c r="C558" s="29" t="inlineStr">
        <is>
          <t>92507</t>
        </is>
      </c>
      <c r="D558" s="30" t="inlineStr">
        <is>
          <t>Provider of home health services intended to offer in-home nursing and medical services. The company's home health services include skilled nursing, physical and occupational therapy, medical social services, education, grief and bereavement services, providing education, grief and bereavement services for all ages and charitable support.</t>
        </is>
      </c>
      <c r="E558" s="31" t="inlineStr">
        <is>
          <t>Other Healthcare Services</t>
        </is>
      </c>
      <c r="F558" s="32" t="inlineStr">
        <is>
          <t>Riverside, CA</t>
        </is>
      </c>
      <c r="G558" s="33" t="inlineStr">
        <is>
          <t>Privately Held (backing)</t>
        </is>
      </c>
      <c r="H558" s="34" t="inlineStr">
        <is>
          <t>Venture Capital-Backed</t>
        </is>
      </c>
      <c r="I558" s="35" t="inlineStr">
        <is>
          <t/>
        </is>
      </c>
      <c r="J558" s="36" t="inlineStr">
        <is>
          <t>vnacalifornia.org</t>
        </is>
      </c>
      <c r="K558" s="37" t="inlineStr">
        <is>
          <t/>
        </is>
      </c>
      <c r="L558" s="38" t="inlineStr">
        <is>
          <t>+1 (951) 413-1200</t>
        </is>
      </c>
      <c r="M558" s="39" t="inlineStr">
        <is>
          <t>Gerrard Gier</t>
        </is>
      </c>
      <c r="N558" s="40" t="inlineStr">
        <is>
          <t>Chief Information Officer &amp; Chief Information Security Officer</t>
        </is>
      </c>
      <c r="O558" s="41" t="inlineStr">
        <is>
          <t>gerrard.gier@vnacalifornia.org</t>
        </is>
      </c>
      <c r="P558" s="42" t="inlineStr">
        <is>
          <t>+1 (951) 413-1200</t>
        </is>
      </c>
      <c r="Q558" s="43" t="n">
        <v>1931.0</v>
      </c>
      <c r="R558" s="114">
        <f>HYPERLINK("https://my.pitchbook.com?c=148677-67", "View company online")</f>
      </c>
    </row>
    <row r="559">
      <c r="A559" s="9" t="inlineStr">
        <is>
          <t>65094-22</t>
        </is>
      </c>
      <c r="B559" s="10" t="inlineStr">
        <is>
          <t>VisiQuate</t>
        </is>
      </c>
      <c r="C559" s="11" t="inlineStr">
        <is>
          <t>95403</t>
        </is>
      </c>
      <c r="D559" s="12" t="inlineStr">
        <is>
          <t>Provider of workforce performance analytics software designed to offer better financial, operational and clinical outcomes. The company's workforce performance analytics software tracks time and attendance, quality of work and productivity of employees enabling managers to evaluate the total performance of each employee and set different criteria for each team member.</t>
        </is>
      </c>
      <c r="E559" s="13" t="inlineStr">
        <is>
          <t>Business/Productivity Software</t>
        </is>
      </c>
      <c r="F559" s="14" t="inlineStr">
        <is>
          <t>Santa Rosa, CA</t>
        </is>
      </c>
      <c r="G559" s="15" t="inlineStr">
        <is>
          <t>Privately Held (backing)</t>
        </is>
      </c>
      <c r="H559" s="16" t="inlineStr">
        <is>
          <t>Venture Capital-Backed</t>
        </is>
      </c>
      <c r="I559" s="17" t="inlineStr">
        <is>
          <t>First Analysis Group</t>
        </is>
      </c>
      <c r="J559" s="18" t="inlineStr">
        <is>
          <t>www.visiquate.com</t>
        </is>
      </c>
      <c r="K559" s="19" t="inlineStr">
        <is>
          <t>info@visiquate.com</t>
        </is>
      </c>
      <c r="L559" s="20" t="inlineStr">
        <is>
          <t>+1 (707) 546-4377</t>
        </is>
      </c>
      <c r="M559" s="21" t="inlineStr">
        <is>
          <t>Brian Robertson</t>
        </is>
      </c>
      <c r="N559" s="22" t="inlineStr">
        <is>
          <t>Chief Executive Officer &amp; Co-Founder</t>
        </is>
      </c>
      <c r="O559" s="23" t="inlineStr">
        <is>
          <t>brian.robertson@visiquate.com</t>
        </is>
      </c>
      <c r="P559" s="24" t="inlineStr">
        <is>
          <t>+1 (707) 546-4377</t>
        </is>
      </c>
      <c r="Q559" s="25" t="n">
        <v>2009.0</v>
      </c>
      <c r="R559" s="113">
        <f>HYPERLINK("https://my.pitchbook.com?c=65094-22", "View company online")</f>
      </c>
    </row>
    <row r="560">
      <c r="A560" s="27" t="inlineStr">
        <is>
          <t>55609-30</t>
        </is>
      </c>
      <c r="B560" s="28" t="inlineStr">
        <is>
          <t>Visionscape</t>
        </is>
      </c>
      <c r="C560" s="29" t="inlineStr">
        <is>
          <t>153-769</t>
        </is>
      </c>
      <c r="D560" s="30" t="inlineStr">
        <is>
          <t>Operator of a hardware project management company. The company provides product development service and marketing service for hardware start-ups.</t>
        </is>
      </c>
      <c r="E560" s="31" t="inlineStr">
        <is>
          <t>Other Commercial Services</t>
        </is>
      </c>
      <c r="F560" s="32" t="inlineStr">
        <is>
          <t>Seoul, South Korea</t>
        </is>
      </c>
      <c r="G560" s="33" t="inlineStr">
        <is>
          <t>Privately Held (backing)</t>
        </is>
      </c>
      <c r="H560" s="34" t="inlineStr">
        <is>
          <t>Venture Capital-Backed</t>
        </is>
      </c>
      <c r="I560" s="35" t="inlineStr">
        <is>
          <t>BlueRun Ventures</t>
        </is>
      </c>
      <c r="J560" s="36" t="inlineStr">
        <is>
          <t>www.vsscp.com</t>
        </is>
      </c>
      <c r="K560" s="37" t="inlineStr">
        <is>
          <t>contact@vsscp.com</t>
        </is>
      </c>
      <c r="L560" s="38" t="inlineStr">
        <is>
          <t>+82 (0)2 856 8150</t>
        </is>
      </c>
      <c r="M560" s="39" t="inlineStr">
        <is>
          <t>Tae-Won Kim</t>
        </is>
      </c>
      <c r="N560" s="40" t="inlineStr">
        <is>
          <t>Co-Chief Executive Officer</t>
        </is>
      </c>
      <c r="O560" s="41" t="inlineStr">
        <is>
          <t/>
        </is>
      </c>
      <c r="P560" s="42" t="inlineStr">
        <is>
          <t>+82 (0)2 856 8150</t>
        </is>
      </c>
      <c r="Q560" s="43" t="n">
        <v>2006.0</v>
      </c>
      <c r="R560" s="114">
        <f>HYPERLINK("https://my.pitchbook.com?c=55609-30", "View company online")</f>
      </c>
    </row>
    <row r="561">
      <c r="A561" s="9" t="inlineStr">
        <is>
          <t>51465-97</t>
        </is>
      </c>
      <c r="B561" s="10" t="inlineStr">
        <is>
          <t>VisionCare</t>
        </is>
      </c>
      <c r="C561" s="11" t="inlineStr">
        <is>
          <t>95070</t>
        </is>
      </c>
      <c r="D561" s="12" t="inlineStr">
        <is>
          <t>Developer of visual prosthetic ophthalmic devices designed to improve sight and everyday life for people with severe vision disorders. The company's visual prosthetic ophthalmic devices are implantable miniature telescope that improves the vision with bilateral moderate to severe central vision loss due to age-related macular degeneration and other macular disorders, enabling patients to have enhanced eyesight.</t>
        </is>
      </c>
      <c r="E561" s="13" t="inlineStr">
        <is>
          <t>Surgical Devices</t>
        </is>
      </c>
      <c r="F561" s="14" t="inlineStr">
        <is>
          <t>Saratoga, CA</t>
        </is>
      </c>
      <c r="G561" s="15" t="inlineStr">
        <is>
          <t>Privately Held (backing)</t>
        </is>
      </c>
      <c r="H561" s="16" t="inlineStr">
        <is>
          <t>Venture Capital-Backed</t>
        </is>
      </c>
      <c r="I561" s="17" t="inlineStr">
        <is>
          <t>Agate Medical Investments, Altos Health Management, Ampal, Boston Scientific, BSI, Giza Venture Capital, Infinity Group, ONSET Ventures, Ping An Innovation Capital Investment, Pitango Venture Capital, Saints Capital, Three Arch Partners</t>
        </is>
      </c>
      <c r="J561" s="18" t="inlineStr">
        <is>
          <t>www.visioncareinc.net</t>
        </is>
      </c>
      <c r="K561" s="19" t="inlineStr">
        <is>
          <t/>
        </is>
      </c>
      <c r="L561" s="20" t="inlineStr">
        <is>
          <t>+1 (408) 872-9393</t>
        </is>
      </c>
      <c r="M561" s="21" t="inlineStr">
        <is>
          <t>Doron Raz</t>
        </is>
      </c>
      <c r="N561" s="22" t="inlineStr">
        <is>
          <t>Vice President, Finance &amp; Administration</t>
        </is>
      </c>
      <c r="O561" s="23" t="inlineStr">
        <is>
          <t>doron@visioncareinc.net</t>
        </is>
      </c>
      <c r="P561" s="24" t="inlineStr">
        <is>
          <t>+1 (408) 872-9393</t>
        </is>
      </c>
      <c r="Q561" s="25" t="n">
        <v>1997.0</v>
      </c>
      <c r="R561" s="113">
        <f>HYPERLINK("https://my.pitchbook.com?c=51465-97", "View company online")</f>
      </c>
    </row>
    <row r="562">
      <c r="A562" s="27" t="inlineStr">
        <is>
          <t>52723-27</t>
        </is>
      </c>
      <c r="B562" s="28" t="inlineStr">
        <is>
          <t>Visier</t>
        </is>
      </c>
      <c r="C562" s="29" t="inlineStr">
        <is>
          <t>V5Z 0C4</t>
        </is>
      </c>
      <c r="D562" s="30" t="inlineStr">
        <is>
          <t>Developer of a people strategy platform designed to transform business analytics. The company's people strategy platform lets leaders to get access to meaningful answers to business questions in real time, from the cloud, with no dependency on technical resources, enabling businesses to shape business strategy and take better action.</t>
        </is>
      </c>
      <c r="E562" s="31" t="inlineStr">
        <is>
          <t>Media and Information Services (B2B)</t>
        </is>
      </c>
      <c r="F562" s="32" t="inlineStr">
        <is>
          <t>Vancouver, Canada</t>
        </is>
      </c>
      <c r="G562" s="33" t="inlineStr">
        <is>
          <t>Privately Held (backing)</t>
        </is>
      </c>
      <c r="H562" s="34" t="inlineStr">
        <is>
          <t>Venture Capital-Backed</t>
        </is>
      </c>
      <c r="I562" s="35" t="inlineStr">
        <is>
          <t>Adams Street Partners, Foundation Capital, Individual Investor, Sorenson Capital, Summit Partners</t>
        </is>
      </c>
      <c r="J562" s="36" t="inlineStr">
        <is>
          <t>www.visier.com</t>
        </is>
      </c>
      <c r="K562" s="37" t="inlineStr">
        <is>
          <t>info@visier.com</t>
        </is>
      </c>
      <c r="L562" s="38" t="inlineStr">
        <is>
          <t>+1 (778) 331-6950</t>
        </is>
      </c>
      <c r="M562" s="39" t="inlineStr">
        <is>
          <t>John Schwarz</t>
        </is>
      </c>
      <c r="N562" s="40" t="inlineStr">
        <is>
          <t>Co-Founder, Board Member &amp; Chief Executive Officer</t>
        </is>
      </c>
      <c r="O562" s="41" t="inlineStr">
        <is>
          <t>john.schwarz@visier.com</t>
        </is>
      </c>
      <c r="P562" s="42" t="inlineStr">
        <is>
          <t>+1 (778) 331-6950</t>
        </is>
      </c>
      <c r="Q562" s="43" t="n">
        <v>2010.0</v>
      </c>
      <c r="R562" s="114">
        <f>HYPERLINK("https://my.pitchbook.com?c=52723-27", "View company online")</f>
      </c>
    </row>
    <row r="563">
      <c r="A563" s="9" t="inlineStr">
        <is>
          <t>61544-44</t>
        </is>
      </c>
      <c r="B563" s="10" t="inlineStr">
        <is>
          <t>ViSenze</t>
        </is>
      </c>
      <c r="C563" s="11" t="inlineStr">
        <is>
          <t>139950</t>
        </is>
      </c>
      <c r="D563" s="12" t="inlineStr">
        <is>
          <t>Developer of AI-based visual technology for e-commerce and other digital businesses. The company provides visual search and image recognition solutions for businesses in e-commerce, retail and content publishing.</t>
        </is>
      </c>
      <c r="E563" s="13" t="inlineStr">
        <is>
          <t>Application Software</t>
        </is>
      </c>
      <c r="F563" s="14" t="inlineStr">
        <is>
          <t>Singapore, Singapore</t>
        </is>
      </c>
      <c r="G563" s="15" t="inlineStr">
        <is>
          <t>Privately Held (backing)</t>
        </is>
      </c>
      <c r="H563" s="16" t="inlineStr">
        <is>
          <t>Venture Capital-Backed</t>
        </is>
      </c>
      <c r="I563" s="17" t="inlineStr">
        <is>
          <t>Enspire Capital, FengHe Fund Management, Phillip Private Equity, Raffles Venture Partners, Rakuten Ventures, Singapore Press Holdings, UOB Venture Management, Walden International, WI Harper Group</t>
        </is>
      </c>
      <c r="J563" s="18" t="inlineStr">
        <is>
          <t>www.visenze.com</t>
        </is>
      </c>
      <c r="K563" s="19" t="inlineStr">
        <is>
          <t>enquiry@visenze.com</t>
        </is>
      </c>
      <c r="L563" s="20" t="inlineStr">
        <is>
          <t/>
        </is>
      </c>
      <c r="M563" s="21" t="inlineStr">
        <is>
          <t>Oliver Tan</t>
        </is>
      </c>
      <c r="N563" s="22" t="inlineStr">
        <is>
          <t>Co-Founder &amp; Chief Executive Officer</t>
        </is>
      </c>
      <c r="O563" s="23" t="inlineStr">
        <is>
          <t>tan@visenze.com</t>
        </is>
      </c>
      <c r="P563" s="24" t="inlineStr">
        <is>
          <t/>
        </is>
      </c>
      <c r="Q563" s="25" t="n">
        <v>2012.0</v>
      </c>
      <c r="R563" s="113">
        <f>HYPERLINK("https://my.pitchbook.com?c=61544-44", "View company online")</f>
      </c>
    </row>
    <row r="564">
      <c r="A564" s="27" t="inlineStr">
        <is>
          <t>163530-73</t>
        </is>
      </c>
      <c r="B564" s="28" t="inlineStr">
        <is>
          <t>Visby</t>
        </is>
      </c>
      <c r="C564" s="29" t="inlineStr">
        <is>
          <t/>
        </is>
      </c>
      <c r="D564" s="30" t="inlineStr">
        <is>
          <t>Developer of a light-field technology for virtual reality content. The company is focused on developing holographic light field technology codecs, as well as capture technology for virtual and augmented reality.</t>
        </is>
      </c>
      <c r="E564" s="31" t="inlineStr">
        <is>
          <t>Other IT Services</t>
        </is>
      </c>
      <c r="F564" s="32" t="inlineStr">
        <is>
          <t>San Francisco, CA</t>
        </is>
      </c>
      <c r="G564" s="33" t="inlineStr">
        <is>
          <t>Privately Held (backing)</t>
        </is>
      </c>
      <c r="H564" s="34" t="inlineStr">
        <is>
          <t>Venture Capital-Backed</t>
        </is>
      </c>
      <c r="I564" s="35" t="inlineStr">
        <is>
          <t>7percent Ventures, Anorak Ventures, Pathbreaker Ventures, Virtual Reality Investments</t>
        </is>
      </c>
      <c r="J564" s="36" t="inlineStr">
        <is>
          <t>www.visby.io</t>
        </is>
      </c>
      <c r="K564" s="37" t="inlineStr">
        <is>
          <t>visby@visby.io</t>
        </is>
      </c>
      <c r="L564" s="38" t="inlineStr">
        <is>
          <t/>
        </is>
      </c>
      <c r="M564" s="39" t="inlineStr">
        <is>
          <t>Ryan Damm</t>
        </is>
      </c>
      <c r="N564" s="40" t="inlineStr">
        <is>
          <t>Co-Founder &amp; Chief Executive Officer</t>
        </is>
      </c>
      <c r="O564" s="41" t="inlineStr">
        <is>
          <t>ryan@visby.io</t>
        </is>
      </c>
      <c r="P564" s="42" t="inlineStr">
        <is>
          <t/>
        </is>
      </c>
      <c r="Q564" s="43" t="n">
        <v>2015.0</v>
      </c>
      <c r="R564" s="114">
        <f>HYPERLINK("https://my.pitchbook.com?c=163530-73", "View company online")</f>
      </c>
    </row>
    <row r="565">
      <c r="A565" s="9" t="inlineStr">
        <is>
          <t>157907-89</t>
        </is>
      </c>
      <c r="B565" s="10" t="inlineStr">
        <is>
          <t>Visbit</t>
        </is>
      </c>
      <c r="C565" s="11" t="inlineStr">
        <is>
          <t>94085</t>
        </is>
      </c>
      <c r="D565" s="12" t="inlineStr">
        <is>
          <t>Developer of a virtual reality and 360-degree video streaming platform. The company provides a virtual reality (VR) and 360-degree video streaming platform which enables 360-degree video and VR content creators and publishers to deliver Ultra High Definition (UHD) quality streaming and viewing experiences to consumers across multiple VR platforms.</t>
        </is>
      </c>
      <c r="E565" s="13" t="inlineStr">
        <is>
          <t>Multimedia and Design Software</t>
        </is>
      </c>
      <c r="F565" s="14" t="inlineStr">
        <is>
          <t>Sunnyvale, CA</t>
        </is>
      </c>
      <c r="G565" s="15" t="inlineStr">
        <is>
          <t>Privately Held (backing)</t>
        </is>
      </c>
      <c r="H565" s="16" t="inlineStr">
        <is>
          <t>Venture Capital-Backed</t>
        </is>
      </c>
      <c r="I565" s="17" t="inlineStr">
        <is>
          <t>Amino Capital, COLOPL, Eversunny, Presence Capital, Sparkland Capital, ZhenFund</t>
        </is>
      </c>
      <c r="J565" s="18" t="inlineStr">
        <is>
          <t>www.visbit.co</t>
        </is>
      </c>
      <c r="K565" s="19" t="inlineStr">
        <is>
          <t>info@visbit.co</t>
        </is>
      </c>
      <c r="L565" s="20" t="inlineStr">
        <is>
          <t>+1 (408) 708-2588</t>
        </is>
      </c>
      <c r="M565" s="21" t="inlineStr">
        <is>
          <t>Elaine Lu</t>
        </is>
      </c>
      <c r="N565" s="22" t="inlineStr">
        <is>
          <t>Co-Founder &amp; Chief Operating Officer</t>
        </is>
      </c>
      <c r="O565" s="23" t="inlineStr">
        <is>
          <t>elaine@visbit.co</t>
        </is>
      </c>
      <c r="P565" s="24" t="inlineStr">
        <is>
          <t>+1 (408) 708-2588</t>
        </is>
      </c>
      <c r="Q565" s="25" t="n">
        <v>2015.0</v>
      </c>
      <c r="R565" s="113">
        <f>HYPERLINK("https://my.pitchbook.com?c=157907-89", "View company online")</f>
      </c>
    </row>
    <row r="566">
      <c r="A566" s="27" t="inlineStr">
        <is>
          <t>103575-43</t>
        </is>
      </c>
      <c r="B566" s="28" t="inlineStr">
        <is>
          <t>Visage Software</t>
        </is>
      </c>
      <c r="C566" s="29" t="inlineStr">
        <is>
          <t>92663</t>
        </is>
      </c>
      <c r="D566" s="30" t="inlineStr">
        <is>
          <t>Developer of a content creation platform for marketing. The company provides a content creation platform that allows marketers to create branded visual content optimized for the distribution of channels that are most important to their business.</t>
        </is>
      </c>
      <c r="E566" s="31" t="inlineStr">
        <is>
          <t>Automation/Workflow Software</t>
        </is>
      </c>
      <c r="F566" s="32" t="inlineStr">
        <is>
          <t>Newport Beach, CA</t>
        </is>
      </c>
      <c r="G566" s="33" t="inlineStr">
        <is>
          <t>Privately Held (backing)</t>
        </is>
      </c>
      <c r="H566" s="34" t="inlineStr">
        <is>
          <t>Venture Capital-Backed</t>
        </is>
      </c>
      <c r="I566" s="35" t="inlineStr">
        <is>
          <t>Amir Banifatemi, Dan Martell, K5 Ventures, Kima Ventures, Robin Pimentel, Venture51</t>
        </is>
      </c>
      <c r="J566" s="36" t="inlineStr">
        <is>
          <t>www.visage.co</t>
        </is>
      </c>
      <c r="K566" s="37" t="inlineStr">
        <is>
          <t>info@visage.co</t>
        </is>
      </c>
      <c r="L566" s="38" t="inlineStr">
        <is>
          <t>+1 (949) 614-0759</t>
        </is>
      </c>
      <c r="M566" s="39" t="inlineStr">
        <is>
          <t>Jason Lankow</t>
        </is>
      </c>
      <c r="N566" s="40" t="inlineStr">
        <is>
          <t>Chief Executive Officer &amp; Co-Founder</t>
        </is>
      </c>
      <c r="O566" s="41" t="inlineStr">
        <is>
          <t>jason@visage.com</t>
        </is>
      </c>
      <c r="P566" s="42" t="inlineStr">
        <is>
          <t>+1 (949) 614-0759</t>
        </is>
      </c>
      <c r="Q566" s="43" t="n">
        <v>2013.0</v>
      </c>
      <c r="R566" s="114">
        <f>HYPERLINK("https://my.pitchbook.com?c=103575-43", "View company online")</f>
      </c>
    </row>
    <row r="567">
      <c r="A567" s="9" t="inlineStr">
        <is>
          <t>50996-26</t>
        </is>
      </c>
      <c r="B567" s="10" t="inlineStr">
        <is>
          <t>Visage Mobile</t>
        </is>
      </c>
      <c r="C567" s="11" t="inlineStr">
        <is>
          <t>94939</t>
        </is>
      </c>
      <c r="D567" s="12" t="inlineStr">
        <is>
          <t>Provider of mobility management software for enterprises. The company offers MobilityCentral, a software-as-a-service, which facilitates companies to manage their mobile devices, as well as provides visibility into and control over smart phones, cell phones and other workforce mobility software.</t>
        </is>
      </c>
      <c r="E567" s="13" t="inlineStr">
        <is>
          <t>Application Software</t>
        </is>
      </c>
      <c r="F567" s="14" t="inlineStr">
        <is>
          <t>Larkspur, CA</t>
        </is>
      </c>
      <c r="G567" s="15" t="inlineStr">
        <is>
          <t>Privately Held (backing)</t>
        </is>
      </c>
      <c r="H567" s="16" t="inlineStr">
        <is>
          <t>Venture Capital-Backed</t>
        </is>
      </c>
      <c r="I567" s="17" t="inlineStr">
        <is>
          <t>Advanced Technology Ventures, ATA Ventures, Concur Perfect Trip Fund, El Dorado Ventures, Emergence Capital Partners, Mobius Venture Capital, Motorola Solutions Venture Capital, Nomura International Private Equity Group, Palisades Growth Capital, Patni Telecom Solutions, Qualcomm Ventures, Selby Ventures, Shelby Ventures, St. Paul Venture Capital, SV Angel, The Walt Disney Company, UMC Capital, Vesbridge Partners, Worldview Technology Partners, Zebra Ventures</t>
        </is>
      </c>
      <c r="J567" s="18" t="inlineStr">
        <is>
          <t>www.visagemobile.com</t>
        </is>
      </c>
      <c r="K567" s="19" t="inlineStr">
        <is>
          <t>marketing@visagemobile.com</t>
        </is>
      </c>
      <c r="L567" s="20" t="inlineStr">
        <is>
          <t>+1 (415) 200-2888</t>
        </is>
      </c>
      <c r="M567" s="21" t="inlineStr">
        <is>
          <t>Bzur Haun</t>
        </is>
      </c>
      <c r="N567" s="22" t="inlineStr">
        <is>
          <t>Chief Executive Officer &amp; Board Member</t>
        </is>
      </c>
      <c r="O567" s="23" t="inlineStr">
        <is>
          <t>bhaun@visagemobile.com</t>
        </is>
      </c>
      <c r="P567" s="24" t="inlineStr">
        <is>
          <t>+1 (415) 200-2888</t>
        </is>
      </c>
      <c r="Q567" s="25" t="n">
        <v>2001.0</v>
      </c>
      <c r="R567" s="113">
        <f>HYPERLINK("https://my.pitchbook.com?c=50996-26", "View company online")</f>
      </c>
    </row>
    <row r="568">
      <c r="A568" s="27" t="inlineStr">
        <is>
          <t>170398-36</t>
        </is>
      </c>
      <c r="B568" s="28" t="inlineStr">
        <is>
          <t>Visabot</t>
        </is>
      </c>
      <c r="C568" s="29" t="inlineStr">
        <is>
          <t/>
        </is>
      </c>
      <c r="D568" s="30" t="inlineStr">
        <is>
          <t>Developer of an immigration robot designed for streamlining U.S. visa. The company's immigration robot powered by artificial intelligence techniques is designed to provide visa streamlining, immigration streamlining and visa extension services enabling applicants to get visa on a quicker duration.</t>
        </is>
      </c>
      <c r="E568" s="31" t="inlineStr">
        <is>
          <t>Other Commercial Products</t>
        </is>
      </c>
      <c r="F568" s="32" t="inlineStr">
        <is>
          <t>Palo Alto, CA</t>
        </is>
      </c>
      <c r="G568" s="33" t="inlineStr">
        <is>
          <t>Privately Held (backing)</t>
        </is>
      </c>
      <c r="H568" s="34" t="inlineStr">
        <is>
          <t>Venture Capital-Backed</t>
        </is>
      </c>
      <c r="I568" s="35" t="inlineStr">
        <is>
          <t>500 Startups, Boost VC, Founder Institute</t>
        </is>
      </c>
      <c r="J568" s="36" t="inlineStr">
        <is>
          <t>www.visabot.co</t>
        </is>
      </c>
      <c r="K568" s="37" t="inlineStr">
        <is>
          <t>zinoviev@visabot.co</t>
        </is>
      </c>
      <c r="L568" s="38" t="inlineStr">
        <is>
          <t/>
        </is>
      </c>
      <c r="M568" s="39" t="inlineStr">
        <is>
          <t>Artem Goldman</t>
        </is>
      </c>
      <c r="N568" s="40" t="inlineStr">
        <is>
          <t>Co-Founder &amp; Chief Executive Officer</t>
        </is>
      </c>
      <c r="O568" s="41" t="inlineStr">
        <is>
          <t>goldman@visabot.co</t>
        </is>
      </c>
      <c r="P568" s="42" t="inlineStr">
        <is>
          <t>+7 (8)916 638 7507</t>
        </is>
      </c>
      <c r="Q568" s="43" t="n">
        <v>2016.0</v>
      </c>
      <c r="R568" s="114">
        <f>HYPERLINK("https://my.pitchbook.com?c=170398-36", "View company online")</f>
      </c>
    </row>
    <row r="569">
      <c r="A569" s="9" t="inlineStr">
        <is>
          <t>40421-80</t>
        </is>
      </c>
      <c r="B569" s="10" t="inlineStr">
        <is>
          <t>Virtuos</t>
        </is>
      </c>
      <c r="C569" s="11" t="inlineStr">
        <is>
          <t>200052</t>
        </is>
      </c>
      <c r="D569" s="12" t="inlineStr">
        <is>
          <t>Developer of entertainment software products for the game and movie industries. The company provides various software development services including 3D art, development and quality analysis for offshore clients.</t>
        </is>
      </c>
      <c r="E569" s="13" t="inlineStr">
        <is>
          <t>Entertainment Software</t>
        </is>
      </c>
      <c r="F569" s="14" t="inlineStr">
        <is>
          <t>Shanghai, China</t>
        </is>
      </c>
      <c r="G569" s="15" t="inlineStr">
        <is>
          <t>Privately Held (backing)</t>
        </is>
      </c>
      <c r="H569" s="16" t="inlineStr">
        <is>
          <t>Venture Capital-Backed</t>
        </is>
      </c>
      <c r="I569" s="17" t="inlineStr">
        <is>
          <t>Legend Capital, Xuhui Venture Capital</t>
        </is>
      </c>
      <c r="J569" s="18" t="inlineStr">
        <is>
          <t>www.virtuosgames.com</t>
        </is>
      </c>
      <c r="K569" s="19" t="inlineStr">
        <is>
          <t>info@virtuosgames.com</t>
        </is>
      </c>
      <c r="L569" s="20" t="inlineStr">
        <is>
          <t>+86 (0)21 5258 3300</t>
        </is>
      </c>
      <c r="M569" s="21" t="inlineStr">
        <is>
          <t>Gilles Langourieux</t>
        </is>
      </c>
      <c r="N569" s="22" t="inlineStr">
        <is>
          <t>Chief Executive Officer &amp; Co-Founder</t>
        </is>
      </c>
      <c r="O569" s="23" t="inlineStr">
        <is>
          <t>gilles@virtuosgames.com</t>
        </is>
      </c>
      <c r="P569" s="24" t="inlineStr">
        <is>
          <t>+86 (0)21 5258 3300</t>
        </is>
      </c>
      <c r="Q569" s="25" t="n">
        <v>2004.0</v>
      </c>
      <c r="R569" s="113">
        <f>HYPERLINK("https://my.pitchbook.com?c=40421-80", "View company online")</f>
      </c>
    </row>
    <row r="570">
      <c r="A570" s="27" t="inlineStr">
        <is>
          <t>53920-18</t>
        </is>
      </c>
      <c r="B570" s="28" t="inlineStr">
        <is>
          <t>Virtualmin</t>
        </is>
      </c>
      <c r="C570" s="29" t="inlineStr">
        <is>
          <t>94041</t>
        </is>
      </c>
      <c r="D570" s="30" t="inlineStr">
        <is>
          <t>Provider of web hosting services. The company offers virtual host administration products to create and manage multiple domains. It also offers web-based system administration tool and an online platform for the development of cloud computing services.</t>
        </is>
      </c>
      <c r="E570" s="31" t="inlineStr">
        <is>
          <t>Other Software</t>
        </is>
      </c>
      <c r="F570" s="32" t="inlineStr">
        <is>
          <t>Mountain View, CA</t>
        </is>
      </c>
      <c r="G570" s="33" t="inlineStr">
        <is>
          <t>Privately Held (backing)</t>
        </is>
      </c>
      <c r="H570" s="34" t="inlineStr">
        <is>
          <t>Venture Capital-Backed</t>
        </is>
      </c>
      <c r="I570" s="35" t="inlineStr">
        <is>
          <t>Y Combinator</t>
        </is>
      </c>
      <c r="J570" s="36" t="inlineStr">
        <is>
          <t>www.virtualmin.com</t>
        </is>
      </c>
      <c r="K570" s="37" t="inlineStr">
        <is>
          <t/>
        </is>
      </c>
      <c r="L570" s="38" t="inlineStr">
        <is>
          <t/>
        </is>
      </c>
      <c r="M570" s="39" t="inlineStr">
        <is>
          <t>Jamie Cameron</t>
        </is>
      </c>
      <c r="N570" s="40" t="inlineStr">
        <is>
          <t>Co-Founder</t>
        </is>
      </c>
      <c r="O570" s="41" t="inlineStr">
        <is>
          <t>jamie@virtualmin.com</t>
        </is>
      </c>
      <c r="P570" s="42" t="inlineStr">
        <is>
          <t/>
        </is>
      </c>
      <c r="Q570" s="43" t="n">
        <v>2005.0</v>
      </c>
      <c r="R570" s="114">
        <f>HYPERLINK("https://my.pitchbook.com?c=53920-18", "View company online")</f>
      </c>
    </row>
    <row r="571">
      <c r="A571" s="9" t="inlineStr">
        <is>
          <t>61444-72</t>
        </is>
      </c>
      <c r="B571" s="10" t="inlineStr">
        <is>
          <t>VirtualMetrix</t>
        </is>
      </c>
      <c r="C571" s="11" t="inlineStr">
        <is>
          <t>92067</t>
        </is>
      </c>
      <c r="D571" s="12" t="inlineStr">
        <is>
          <t>Developer of performance management software for microprocessor based devices. The company focuses on software for microprocessors running real-time applications or sharing one or more processors.</t>
        </is>
      </c>
      <c r="E571" s="13" t="inlineStr">
        <is>
          <t>Application Software</t>
        </is>
      </c>
      <c r="F571" s="14" t="inlineStr">
        <is>
          <t>Rancho Santa Fe, CA</t>
        </is>
      </c>
      <c r="G571" s="15" t="inlineStr">
        <is>
          <t>Privately Held (backing)</t>
        </is>
      </c>
      <c r="H571" s="16" t="inlineStr">
        <is>
          <t>Venture Capital-Backed</t>
        </is>
      </c>
      <c r="I571" s="17" t="inlineStr">
        <is>
          <t>Qualcomm Ventures, Tech Coast Angels</t>
        </is>
      </c>
      <c r="J571" s="18" t="inlineStr">
        <is>
          <t>www.virtualmetrix.com</t>
        </is>
      </c>
      <c r="K571" s="19" t="inlineStr">
        <is>
          <t>info@virtualmetrix.com</t>
        </is>
      </c>
      <c r="L571" s="20" t="inlineStr">
        <is>
          <t>+1 (858) 395-5793</t>
        </is>
      </c>
      <c r="M571" s="21" t="inlineStr">
        <is>
          <t>Val Popescu</t>
        </is>
      </c>
      <c r="N571" s="22" t="inlineStr">
        <is>
          <t>Chief Executive Officer, President &amp; Board Member</t>
        </is>
      </c>
      <c r="O571" s="23" t="inlineStr">
        <is>
          <t>val.popescu@virtualmetrix.com</t>
        </is>
      </c>
      <c r="P571" s="24" t="inlineStr">
        <is>
          <t>+1 (858) 395-5793</t>
        </is>
      </c>
      <c r="Q571" s="25" t="n">
        <v>2005.0</v>
      </c>
      <c r="R571" s="113">
        <f>HYPERLINK("https://my.pitchbook.com?c=61444-72", "View company online")</f>
      </c>
    </row>
    <row r="572">
      <c r="A572" s="27" t="inlineStr">
        <is>
          <t>170123-68</t>
        </is>
      </c>
      <c r="B572" s="28" t="inlineStr">
        <is>
          <t>Virtualitics</t>
        </is>
      </c>
      <c r="C572" s="29" t="inlineStr">
        <is>
          <t>91106</t>
        </is>
      </c>
      <c r="D572" s="30" t="inlineStr">
        <is>
          <t>Provider of a platform to merge artificial intelligence, big data, virtual and augmented reality. The company provides complex data analysis services by merging artificial intelligence, Big Data and virtual/augmented reality to gain insights from big and complex data sets.</t>
        </is>
      </c>
      <c r="E572" s="31" t="inlineStr">
        <is>
          <t>Other IT Services</t>
        </is>
      </c>
      <c r="F572" s="32" t="inlineStr">
        <is>
          <t>Pasadena, CA</t>
        </is>
      </c>
      <c r="G572" s="33" t="inlineStr">
        <is>
          <t>Privately Held (backing)</t>
        </is>
      </c>
      <c r="H572" s="34" t="inlineStr">
        <is>
          <t>Venture Capital-Backed</t>
        </is>
      </c>
      <c r="I572" s="35" t="inlineStr">
        <is>
          <t>The Venture Reality Fund</t>
        </is>
      </c>
      <c r="J572" s="36" t="inlineStr">
        <is>
          <t>www.virtualitics.com</t>
        </is>
      </c>
      <c r="K572" s="37" t="inlineStr">
        <is>
          <t>info@virtualitics.com</t>
        </is>
      </c>
      <c r="L572" s="38" t="inlineStr">
        <is>
          <t>+1 (626) 714-7155</t>
        </is>
      </c>
      <c r="M572" s="39" t="inlineStr">
        <is>
          <t>Michael Amori</t>
        </is>
      </c>
      <c r="N572" s="40" t="inlineStr">
        <is>
          <t>Co-Founder &amp; Chief Executive Officer</t>
        </is>
      </c>
      <c r="O572" s="41" t="inlineStr">
        <is>
          <t>michael@virtualitics.com</t>
        </is>
      </c>
      <c r="P572" s="42" t="inlineStr">
        <is>
          <t>+1 (626) 714-7155</t>
        </is>
      </c>
      <c r="Q572" s="43" t="n">
        <v>2016.0</v>
      </c>
      <c r="R572" s="114">
        <f>HYPERLINK("https://my.pitchbook.com?c=170123-68", "View company online")</f>
      </c>
    </row>
    <row r="573">
      <c r="A573" s="9" t="inlineStr">
        <is>
          <t>58258-09</t>
        </is>
      </c>
      <c r="B573" s="10" t="inlineStr">
        <is>
          <t>Virtual Power Systems</t>
        </is>
      </c>
      <c r="C573" s="11" t="inlineStr">
        <is>
          <t>95054</t>
        </is>
      </c>
      <c r="D573" s="12" t="inlineStr">
        <is>
          <t>Provider of software-defined power infrastructures for data centers. The company offers energy control systems that manage and utilize power capacity avoiding waste and redundancy.</t>
        </is>
      </c>
      <c r="E573" s="13" t="inlineStr">
        <is>
          <t>Energy Infrastructure</t>
        </is>
      </c>
      <c r="F573" s="14" t="inlineStr">
        <is>
          <t>Santa Clara, CA</t>
        </is>
      </c>
      <c r="G573" s="15" t="inlineStr">
        <is>
          <t>Privately Held (backing)</t>
        </is>
      </c>
      <c r="H573" s="16" t="inlineStr">
        <is>
          <t>Venture Capital-Backed</t>
        </is>
      </c>
      <c r="I573" s="17" t="inlineStr">
        <is>
          <t>Center Electric, Christopher Rust, Data Collective, Dolby Family Ventures, Exfinity Fund, Exfinity Venture Partners</t>
        </is>
      </c>
      <c r="J573" s="18" t="inlineStr">
        <is>
          <t>www.virtualpowersystems.com</t>
        </is>
      </c>
      <c r="K573" s="19" t="inlineStr">
        <is>
          <t>info@virtualpowersystems.com</t>
        </is>
      </c>
      <c r="L573" s="20" t="inlineStr">
        <is>
          <t>+1 (866) 877-7115</t>
        </is>
      </c>
      <c r="M573" s="21" t="inlineStr">
        <is>
          <t>Shankar Ramamurthy</t>
        </is>
      </c>
      <c r="N573" s="22" t="inlineStr">
        <is>
          <t>Founder, Chief Executive Officer &amp; Board Member</t>
        </is>
      </c>
      <c r="O573" s="23" t="inlineStr">
        <is>
          <t>shankar.ramamurthy@virtualpowersystems.com</t>
        </is>
      </c>
      <c r="P573" s="24" t="inlineStr">
        <is>
          <t>+1 (866) 877-7115</t>
        </is>
      </c>
      <c r="Q573" s="25" t="n">
        <v>2012.0</v>
      </c>
      <c r="R573" s="113">
        <f>HYPERLINK("https://my.pitchbook.com?c=58258-09", "View company online")</f>
      </c>
    </row>
    <row r="574">
      <c r="A574" s="27" t="inlineStr">
        <is>
          <t>54742-42</t>
        </is>
      </c>
      <c r="B574" s="28" t="inlineStr">
        <is>
          <t>Virtual Labs</t>
        </is>
      </c>
      <c r="C574" s="29" t="inlineStr">
        <is>
          <t/>
        </is>
      </c>
      <c r="D574" s="30" t="inlineStr">
        <is>
          <t>Provider of internet-based testing services for engineers. The company caters to the test and measurement industry and develops a cloud-based platform for collaborative testing services.</t>
        </is>
      </c>
      <c r="E574" s="31" t="inlineStr">
        <is>
          <t>Other Commercial Services</t>
        </is>
      </c>
      <c r="F574" s="32" t="inlineStr">
        <is>
          <t>Berkeley, CA</t>
        </is>
      </c>
      <c r="G574" s="33" t="inlineStr">
        <is>
          <t>Privately Held (backing)</t>
        </is>
      </c>
      <c r="H574" s="34" t="inlineStr">
        <is>
          <t>Venture Capital-Backed</t>
        </is>
      </c>
      <c r="I574" s="35" t="inlineStr">
        <is>
          <t>Berkeley Ventures</t>
        </is>
      </c>
      <c r="J574" s="36" t="inlineStr">
        <is>
          <t/>
        </is>
      </c>
      <c r="K574" s="37" t="inlineStr">
        <is>
          <t/>
        </is>
      </c>
      <c r="L574" s="38" t="inlineStr">
        <is>
          <t/>
        </is>
      </c>
      <c r="M574" s="39" t="inlineStr">
        <is>
          <t/>
        </is>
      </c>
      <c r="N574" s="40" t="inlineStr">
        <is>
          <t/>
        </is>
      </c>
      <c r="O574" s="41" t="inlineStr">
        <is>
          <t/>
        </is>
      </c>
      <c r="P574" s="42" t="inlineStr">
        <is>
          <t/>
        </is>
      </c>
      <c r="Q574" s="43" t="inlineStr">
        <is>
          <t/>
        </is>
      </c>
      <c r="R574" s="114">
        <f>HYPERLINK("https://my.pitchbook.com?c=54742-42", "View company online")</f>
      </c>
    </row>
    <row r="575">
      <c r="A575" s="9" t="inlineStr">
        <is>
          <t>54603-10</t>
        </is>
      </c>
      <c r="B575" s="10" t="inlineStr">
        <is>
          <t>Virtual Instruments</t>
        </is>
      </c>
      <c r="C575" s="11" t="inlineStr">
        <is>
          <t>95131</t>
        </is>
      </c>
      <c r="D575" s="12" t="inlineStr">
        <is>
          <t>Provider of combined software and hardware services intended to store workload modeling and performance validation. The company's combined software and hardware services helps IT managers and architects optimize performance, availability and cost of networked storage infrastructures enabling them to use storage performance analytics services which includes workload acquisition, workload analysis, workload modeling and workload generation products.</t>
        </is>
      </c>
      <c r="E575" s="13" t="inlineStr">
        <is>
          <t>Database Software</t>
        </is>
      </c>
      <c r="F575" s="14" t="inlineStr">
        <is>
          <t>San Jose, CA</t>
        </is>
      </c>
      <c r="G575" s="15" t="inlineStr">
        <is>
          <t>Privately Held (backing)</t>
        </is>
      </c>
      <c r="H575" s="16" t="inlineStr">
        <is>
          <t>Venture Capital-Backed</t>
        </is>
      </c>
      <c r="I575" s="17" t="inlineStr">
        <is>
          <t>Azure Capital Partners, Benhamou Global Ventures, Columbus Nova Technology Partners, Core Capital Partners, Eric A. Benhamou, Floodgate Fund, HighBar Partners, Individual Investor, Kinetic Ventures, Miramar Ventures, TriplePoint Venture Growth</t>
        </is>
      </c>
      <c r="J575" s="18" t="inlineStr">
        <is>
          <t>www.virtualinstruments.com</t>
        </is>
      </c>
      <c r="K575" s="19" t="inlineStr">
        <is>
          <t>info@virtualinstruments.com</t>
        </is>
      </c>
      <c r="L575" s="20" t="inlineStr">
        <is>
          <t>+1 (408) 579-4000</t>
        </is>
      </c>
      <c r="M575" s="21" t="inlineStr">
        <is>
          <t>Kevin O'Donnell</t>
        </is>
      </c>
      <c r="N575" s="22" t="inlineStr">
        <is>
          <t>Chief Financial Officer</t>
        </is>
      </c>
      <c r="O575" s="23" t="inlineStr">
        <is>
          <t>kevin.o'donnell@virtualinstruments.com</t>
        </is>
      </c>
      <c r="P575" s="24" t="inlineStr">
        <is>
          <t>+1 (408) 579-4000</t>
        </is>
      </c>
      <c r="Q575" s="25" t="n">
        <v>2008.0</v>
      </c>
      <c r="R575" s="113">
        <f>HYPERLINK("https://my.pitchbook.com?c=54603-10", "View company online")</f>
      </c>
    </row>
    <row r="576">
      <c r="A576" s="27" t="inlineStr">
        <is>
          <t>125562-07</t>
        </is>
      </c>
      <c r="B576" s="28" t="inlineStr">
        <is>
          <t>Virtual Gateway Labs</t>
        </is>
      </c>
      <c r="C576" s="29" t="inlineStr">
        <is>
          <t>95112</t>
        </is>
      </c>
      <c r="D576" s="30" t="inlineStr">
        <is>
          <t>Provider of an online virtual service platform. The company offers a range of online virtual services like emergency communications, interactive entertainment, home automation, smart grid and connected sensor system services.</t>
        </is>
      </c>
      <c r="E576" s="31" t="inlineStr">
        <is>
          <t>Social/Platform Software</t>
        </is>
      </c>
      <c r="F576" s="32" t="inlineStr">
        <is>
          <t>San Jose, CA</t>
        </is>
      </c>
      <c r="G576" s="33" t="inlineStr">
        <is>
          <t>Privately Held (backing)</t>
        </is>
      </c>
      <c r="H576" s="34" t="inlineStr">
        <is>
          <t>Venture Capital-Backed</t>
        </is>
      </c>
      <c r="I576" s="35" t="inlineStr">
        <is>
          <t/>
        </is>
      </c>
      <c r="J576" s="36" t="inlineStr">
        <is>
          <t>www.vg-labs.com</t>
        </is>
      </c>
      <c r="K576" s="37" t="inlineStr">
        <is>
          <t>info@vg-labs.com</t>
        </is>
      </c>
      <c r="L576" s="38" t="inlineStr">
        <is>
          <t>+1 (408) 453-4557</t>
        </is>
      </c>
      <c r="M576" s="39" t="inlineStr">
        <is>
          <t>Tenling Ti</t>
        </is>
      </c>
      <c r="N576" s="40" t="inlineStr">
        <is>
          <t>President &amp; Board Member</t>
        </is>
      </c>
      <c r="O576" s="41" t="inlineStr">
        <is>
          <t/>
        </is>
      </c>
      <c r="P576" s="42" t="inlineStr">
        <is>
          <t>+1 (408) 453-4557</t>
        </is>
      </c>
      <c r="Q576" s="43" t="n">
        <v>2015.0</v>
      </c>
      <c r="R576" s="114">
        <f>HYPERLINK("https://my.pitchbook.com?c=125562-07", "View company online")</f>
      </c>
    </row>
    <row r="577">
      <c r="A577" s="9" t="inlineStr">
        <is>
          <t>157505-32</t>
        </is>
      </c>
      <c r="B577" s="10" t="inlineStr">
        <is>
          <t>Virta Health</t>
        </is>
      </c>
      <c r="C577" s="11" t="inlineStr">
        <is>
          <t>94105</t>
        </is>
      </c>
      <c r="D577" s="12" t="inlineStr">
        <is>
          <t>Operator of an online diabetes reversal clinic intended to reverses type 2 diabetes without medications or surgery. The company's online diabetes reversal clinic combines advanced biochemistry and clinical expertise with data science and digital tools, to develop therapies and help physicians and health coaches to deliver on-demand care, enabling diabetes patients to restore metabolic health.</t>
        </is>
      </c>
      <c r="E577" s="13" t="inlineStr">
        <is>
          <t>Other Healthcare Technology Systems</t>
        </is>
      </c>
      <c r="F577" s="14" t="inlineStr">
        <is>
          <t>San Francisco, CA</t>
        </is>
      </c>
      <c r="G577" s="15" t="inlineStr">
        <is>
          <t>Privately Held (backing)</t>
        </is>
      </c>
      <c r="H577" s="16" t="inlineStr">
        <is>
          <t>Venture Capital-Backed</t>
        </is>
      </c>
      <c r="I577" s="17" t="inlineStr">
        <is>
          <t>Allen &amp; Company, Bob Kerrey, Bronze Investments, Caffeinated Capital, Creandum, Elad Gil, Great Oaks Venture Capital, Obvious Ventures, Paypal, Pete Flint, Raymond Tonsing, Redmile Group, Rock Health, SciFi VC, Seth Sternberg, Specialized Types, The Walton Family Foundation, Uprising, Venrock</t>
        </is>
      </c>
      <c r="J577" s="18" t="inlineStr">
        <is>
          <t>www.virtahealth.com</t>
        </is>
      </c>
      <c r="K577" s="19" t="inlineStr">
        <is>
          <t/>
        </is>
      </c>
      <c r="L577" s="20" t="inlineStr">
        <is>
          <t/>
        </is>
      </c>
      <c r="M577" s="21" t="inlineStr">
        <is>
          <t>Sami Inkinen</t>
        </is>
      </c>
      <c r="N577" s="22" t="inlineStr">
        <is>
          <t>Co-Founder, Chief Executive Officer &amp; Board Member</t>
        </is>
      </c>
      <c r="O577" s="23" t="inlineStr">
        <is>
          <t>sami.inkinen@virtahealth.com</t>
        </is>
      </c>
      <c r="P577" s="24" t="inlineStr">
        <is>
          <t/>
        </is>
      </c>
      <c r="Q577" s="25" t="n">
        <v>2014.0</v>
      </c>
      <c r="R577" s="113">
        <f>HYPERLINK("https://my.pitchbook.com?c=157505-32", "View company online")</f>
      </c>
    </row>
    <row r="578">
      <c r="A578" s="27" t="inlineStr">
        <is>
          <t>64128-97</t>
        </is>
      </c>
      <c r="B578" s="28" t="inlineStr">
        <is>
          <t>Virsec</t>
        </is>
      </c>
      <c r="C578" s="29" t="inlineStr">
        <is>
          <t>95110</t>
        </is>
      </c>
      <c r="D578" s="30" t="inlineStr">
        <is>
          <t>Developer of a data security software designed to stop the endless cycle of reactionary security based on signatures and pattern matching. The company's data security software is used to prevent cyber threats and helps in real-time memory inspection, providing organizations detection mechanism against certain indefensible and previously difficult to detect cyber-attacks.</t>
        </is>
      </c>
      <c r="E578" s="31" t="inlineStr">
        <is>
          <t>Network Management Software</t>
        </is>
      </c>
      <c r="F578" s="32" t="inlineStr">
        <is>
          <t>San Jose, CA</t>
        </is>
      </c>
      <c r="G578" s="33" t="inlineStr">
        <is>
          <t>Privately Held (backing)</t>
        </is>
      </c>
      <c r="H578" s="34" t="inlineStr">
        <is>
          <t>Venture Capital-Backed</t>
        </is>
      </c>
      <c r="I578" s="35" t="inlineStr">
        <is>
          <t>Artiman Ventures, Baring Vostok Capital Partners, Boston Seed Capital, Furneaux Capital, Tribeca Venture Partners</t>
        </is>
      </c>
      <c r="J578" s="36" t="inlineStr">
        <is>
          <t>www.virsec.com</t>
        </is>
      </c>
      <c r="K578" s="37" t="inlineStr">
        <is>
          <t>info@www.virsec.com</t>
        </is>
      </c>
      <c r="L578" s="38" t="inlineStr">
        <is>
          <t>+1 (877) 213-3558</t>
        </is>
      </c>
      <c r="M578" s="39" t="inlineStr">
        <is>
          <t>Raymond DeMeo</t>
        </is>
      </c>
      <c r="N578" s="40" t="inlineStr">
        <is>
          <t>Co-Founder &amp; Chief Operating Officer</t>
        </is>
      </c>
      <c r="O578" s="41" t="inlineStr">
        <is>
          <t>raymond.demeo@virsec.com</t>
        </is>
      </c>
      <c r="P578" s="42" t="inlineStr">
        <is>
          <t>+1 (877) 213-3558</t>
        </is>
      </c>
      <c r="Q578" s="43" t="n">
        <v>2005.0</v>
      </c>
      <c r="R578" s="114">
        <f>HYPERLINK("https://my.pitchbook.com?c=64128-97", "View company online")</f>
      </c>
    </row>
    <row r="579">
      <c r="A579" s="9" t="inlineStr">
        <is>
          <t>54836-11</t>
        </is>
      </c>
      <c r="B579" s="10" t="inlineStr">
        <is>
          <t>Virool</t>
        </is>
      </c>
      <c r="C579" s="11" t="inlineStr">
        <is>
          <t>94108</t>
        </is>
      </c>
      <c r="D579" s="12" t="inlineStr">
        <is>
          <t>Developer of social video advertising platform designed to change the advertising experience and bring brand videos to the right people at right time. The company's social video advertising platform allows advertising video to reach their target audience through mobile phones and social networking sites, enabling clients to do marketing at a greater scale and reach higher audience base.</t>
        </is>
      </c>
      <c r="E579" s="13" t="inlineStr">
        <is>
          <t>Media and Information Services (B2B)</t>
        </is>
      </c>
      <c r="F579" s="14" t="inlineStr">
        <is>
          <t>San Francisco, CA</t>
        </is>
      </c>
      <c r="G579" s="15" t="inlineStr">
        <is>
          <t>Privately Held (backing)</t>
        </is>
      </c>
      <c r="H579" s="16" t="inlineStr">
        <is>
          <t>Venture Capital-Backed</t>
        </is>
      </c>
      <c r="I579" s="17" t="inlineStr">
        <is>
          <t>500 Startups, ACE &amp; Company, Alexis Ohanian, Alireza Masrour, Andreessen Horowitz, Base Ventures, Benjamin Narasin, Cota Capital, Data Collective, David McClure, DominateFund, Draper Fisher Jurvetson, Erik Moore, Fabrice Grinda, Farzad Nazem, FJ Labs, Flint Capital, FundersClub, Garry Tan, Geoff Ralston, Global Venture Aliance, GVA Capital, Harj Taggar, Hironori Maeda, Individual Investor, Jason Seats, JFE Accelerator, Julien Coustaury, Jun LI, Klaus von Sayn-Wittgenstein, Menlo Ventures, NetPrice, Oliver Thylmann, Paul Buchheit, Phenomen Ventures, Plug and Play Tech Center, Promus Ventures, Sam Altman, Start Fund, Streamlined Ventures, SV Tech Ventures, Thomvest Ventures, TMT Investments, Troy Carter, Ullas Naik, Y Combinator, Yahoo Japan, Yuri Milner</t>
        </is>
      </c>
      <c r="J579" s="18" t="inlineStr">
        <is>
          <t>www.virool.com</t>
        </is>
      </c>
      <c r="K579" s="19" t="inlineStr">
        <is>
          <t>info@virool.com</t>
        </is>
      </c>
      <c r="L579" s="20" t="inlineStr">
        <is>
          <t>+1 (415) 780-9664</t>
        </is>
      </c>
      <c r="M579" s="21" t="inlineStr">
        <is>
          <t>Alexander Debelov</t>
        </is>
      </c>
      <c r="N579" s="22" t="inlineStr">
        <is>
          <t>Co-Founder &amp; Chief Executive Officer</t>
        </is>
      </c>
      <c r="O579" s="23" t="inlineStr">
        <is>
          <t>alex@virool.com</t>
        </is>
      </c>
      <c r="P579" s="24" t="inlineStr">
        <is>
          <t>+1 (415) 780-9664</t>
        </is>
      </c>
      <c r="Q579" s="25" t="n">
        <v>2011.0</v>
      </c>
      <c r="R579" s="113">
        <f>HYPERLINK("https://my.pitchbook.com?c=54836-11", "View company online")</f>
      </c>
    </row>
    <row r="580">
      <c r="A580" s="27" t="inlineStr">
        <is>
          <t>42882-22</t>
        </is>
      </c>
      <c r="B580" s="28" t="inlineStr">
        <is>
          <t>Virobay</t>
        </is>
      </c>
      <c r="C580" s="29" t="inlineStr">
        <is>
          <t>94025</t>
        </is>
      </c>
      <c r="D580" s="30" t="inlineStr">
        <is>
          <t>Developer of drugs based on cysteine cathepsin enzymes. The company develops and commercializes drugs for the treatment of neuropathic pain, autoimmune diseases using cysteine cathepsins enzymes that regulate essential processes in cells by cleaving certain proteins.</t>
        </is>
      </c>
      <c r="E580" s="31" t="inlineStr">
        <is>
          <t>Drug Discovery</t>
        </is>
      </c>
      <c r="F580" s="32" t="inlineStr">
        <is>
          <t>Menlo Park, CA</t>
        </is>
      </c>
      <c r="G580" s="33" t="inlineStr">
        <is>
          <t>Privately Held (backing)</t>
        </is>
      </c>
      <c r="H580" s="34" t="inlineStr">
        <is>
          <t>Venture Capital-Backed</t>
        </is>
      </c>
      <c r="I580" s="35" t="inlineStr">
        <is>
          <t>Alta Partners, Perceptive Advisors, Sutter Hill Ventures, TPG Biotech</t>
        </is>
      </c>
      <c r="J580" s="36" t="inlineStr">
        <is>
          <t>www.virobayinc.com</t>
        </is>
      </c>
      <c r="K580" s="37" t="inlineStr">
        <is>
          <t>info@virobayinc.com</t>
        </is>
      </c>
      <c r="L580" s="38" t="inlineStr">
        <is>
          <t>+1 (650) 833-5700</t>
        </is>
      </c>
      <c r="M580" s="39" t="inlineStr">
        <is>
          <t>Robert Booth</t>
        </is>
      </c>
      <c r="N580" s="40" t="inlineStr">
        <is>
          <t>Founder, Chief Executive Officer &amp; Board Member</t>
        </is>
      </c>
      <c r="O580" s="41" t="inlineStr">
        <is>
          <t>robert.booth@aibio.com</t>
        </is>
      </c>
      <c r="P580" s="42" t="inlineStr">
        <is>
          <t/>
        </is>
      </c>
      <c r="Q580" s="43" t="n">
        <v>2006.0</v>
      </c>
      <c r="R580" s="114">
        <f>HYPERLINK("https://my.pitchbook.com?c=42882-22", "View company online")</f>
      </c>
    </row>
    <row r="581">
      <c r="A581" s="9" t="inlineStr">
        <is>
          <t>56376-82</t>
        </is>
      </c>
      <c r="B581" s="10" t="inlineStr">
        <is>
          <t>Viriom</t>
        </is>
      </c>
      <c r="C581" s="11" t="inlineStr">
        <is>
          <t>92121</t>
        </is>
      </c>
      <c r="D581" s="12" t="inlineStr">
        <is>
          <t>Operator of a biotechnology company focused on pharmaceuticals for treating certain viruses. The company is a late-stage enterprise developing novel and affordable therapies against life threatening infections such as the HIV (human immunodeficiency virus) and Heptatis B virus. The company has an exclusive worldwide license to its phase 2/3 stage lead compound (Elpida/VM-1500) from Hoffmann-La Roche for HIV and has developed proprietary pre-clinical lead compound VM-1010 as potentially curative treatment of chronic HBV.</t>
        </is>
      </c>
      <c r="E581" s="13" t="inlineStr">
        <is>
          <t>Pharmaceuticals</t>
        </is>
      </c>
      <c r="F581" s="14" t="inlineStr">
        <is>
          <t>San Diego, CA</t>
        </is>
      </c>
      <c r="G581" s="15" t="inlineStr">
        <is>
          <t>Privately Held (backing)</t>
        </is>
      </c>
      <c r="H581" s="16" t="inlineStr">
        <is>
          <t>Venture Capital-Backed</t>
        </is>
      </c>
      <c r="I581" s="17" t="inlineStr">
        <is>
          <t>ChemRar High Tech Center, Skolkovo Foundation, Torrey Pines Investment</t>
        </is>
      </c>
      <c r="J581" s="18" t="inlineStr">
        <is>
          <t>www.viriom.com</t>
        </is>
      </c>
      <c r="K581" s="19" t="inlineStr">
        <is>
          <t>viriom@viriom.com</t>
        </is>
      </c>
      <c r="L581" s="20" t="inlineStr">
        <is>
          <t>+1 (858) 794-4860</t>
        </is>
      </c>
      <c r="M581" s="21" t="inlineStr">
        <is>
          <t>Irina Tyrnova</t>
        </is>
      </c>
      <c r="N581" s="22" t="inlineStr">
        <is>
          <t>Chief Executive Officer &amp; General Manager</t>
        </is>
      </c>
      <c r="O581" s="23" t="inlineStr">
        <is>
          <t/>
        </is>
      </c>
      <c r="P581" s="24" t="inlineStr">
        <is>
          <t>+1 (858) 794-4860</t>
        </is>
      </c>
      <c r="Q581" s="25" t="n">
        <v>2009.0</v>
      </c>
      <c r="R581" s="113">
        <f>HYPERLINK("https://my.pitchbook.com?c=56376-82", "View company online")</f>
      </c>
    </row>
    <row r="582">
      <c r="A582" s="27" t="inlineStr">
        <is>
          <t>57654-64</t>
        </is>
      </c>
      <c r="B582" s="28" t="inlineStr">
        <is>
          <t>Viridis</t>
        </is>
      </c>
      <c r="C582" s="29" t="inlineStr">
        <is>
          <t>10001</t>
        </is>
      </c>
      <c r="D582" s="30" t="inlineStr">
        <is>
          <t>Developer of a SaaS talent management platform designed to automate recruiting by matching local employers to college students. The company's platform uses a proprietary Skills Passport which integrates with existing student information systems, government databases and labor market information to connect community colleges &amp; their students to workforce investment boards &amp; local employers based upon verified knowledge, skills and abilities, enabling colleges to better track and understand their students' performance and outcomes, reduce student time-to-completion rates and improve students' employment placement as well as allow employers to hire more quickly, cut recruitment and retention costs and reduce churn with skill-based job matching.</t>
        </is>
      </c>
      <c r="E582" s="31" t="inlineStr">
        <is>
          <t>Business/Productivity Software</t>
        </is>
      </c>
      <c r="F582" s="32" t="inlineStr">
        <is>
          <t>New York, NY</t>
        </is>
      </c>
      <c r="G582" s="33" t="inlineStr">
        <is>
          <t>Privately Held (backing)</t>
        </is>
      </c>
      <c r="H582" s="34" t="inlineStr">
        <is>
          <t>Venture Capital-Backed</t>
        </is>
      </c>
      <c r="I582" s="35" t="inlineStr">
        <is>
          <t>Carver Family Office, Chong Sup Park, CNF Investments, Comcast Ventures, Expansion Venture Capital, Future Perfect Ventures, Impact Engine, Kenneth Hicks, Lumina Foundation, NVC Investment, Ryan Melohn, Salesforce Ventures, Serious Change, Thayer Ventures, Ulu Ventures, University Ventures</t>
        </is>
      </c>
      <c r="J582" s="36" t="inlineStr">
        <is>
          <t>www.viridislearning.com</t>
        </is>
      </c>
      <c r="K582" s="37" t="inlineStr">
        <is>
          <t/>
        </is>
      </c>
      <c r="L582" s="38" t="inlineStr">
        <is>
          <t/>
        </is>
      </c>
      <c r="M582" s="39" t="inlineStr">
        <is>
          <t>Felix Ortiz</t>
        </is>
      </c>
      <c r="N582" s="40" t="inlineStr">
        <is>
          <t>Chief Executive Officer, Chairman and Co-Founder</t>
        </is>
      </c>
      <c r="O582" s="41" t="inlineStr">
        <is>
          <t>felix.ortiz@viridislearning.com</t>
        </is>
      </c>
      <c r="P582" s="42" t="inlineStr">
        <is>
          <t/>
        </is>
      </c>
      <c r="Q582" s="43" t="n">
        <v>2009.0</v>
      </c>
      <c r="R582" s="114">
        <f>HYPERLINK("https://my.pitchbook.com?c=57654-64", "View company online")</f>
      </c>
    </row>
    <row r="583">
      <c r="A583" s="9" t="inlineStr">
        <is>
          <t>60347-53</t>
        </is>
      </c>
      <c r="B583" s="10" t="inlineStr">
        <is>
          <t>Vires Aeronautics</t>
        </is>
      </c>
      <c r="C583" s="11" t="inlineStr">
        <is>
          <t>94107</t>
        </is>
      </c>
      <c r="D583" s="12" t="inlineStr">
        <is>
          <t>Developer of technologies to improve airplane flight performance. The company has developed a new wing design for airplanes which enables them in achieving a faster takeoff and landing, increased payload capacity, improved maneuverability, extended range and reduced fuel consumption.</t>
        </is>
      </c>
      <c r="E583" s="13" t="inlineStr">
        <is>
          <t>Aerospace and Defense</t>
        </is>
      </c>
      <c r="F583" s="14" t="inlineStr">
        <is>
          <t>San Francisco, CA</t>
        </is>
      </c>
      <c r="G583" s="15" t="inlineStr">
        <is>
          <t>Privately Held (backing)</t>
        </is>
      </c>
      <c r="H583" s="16" t="inlineStr">
        <is>
          <t>Venture Capital-Backed</t>
        </is>
      </c>
      <c r="I583" s="17" t="inlineStr">
        <is>
          <t>Andy White, Donald Hutchison, Draper Associates, Individual Investor, Lance White, Lemnos Labs, Promus Ventures, Toivo Annus, VTF Capital</t>
        </is>
      </c>
      <c r="J583" s="18" t="inlineStr">
        <is>
          <t>www.viresaero.com</t>
        </is>
      </c>
      <c r="K583" s="19" t="inlineStr">
        <is>
          <t/>
        </is>
      </c>
      <c r="L583" s="20" t="inlineStr">
        <is>
          <t/>
        </is>
      </c>
      <c r="M583" s="21" t="inlineStr">
        <is>
          <t>Harshil Goel</t>
        </is>
      </c>
      <c r="N583" s="22" t="inlineStr">
        <is>
          <t>Co-Founder &amp; Chief Executive Officer</t>
        </is>
      </c>
      <c r="O583" s="23" t="inlineStr">
        <is>
          <t>harshil.goel@viresaero.com</t>
        </is>
      </c>
      <c r="P583" s="24" t="inlineStr">
        <is>
          <t/>
        </is>
      </c>
      <c r="Q583" s="25" t="n">
        <v>2012.0</v>
      </c>
      <c r="R583" s="113">
        <f>HYPERLINK("https://my.pitchbook.com?c=60347-53", "View company online")</f>
      </c>
    </row>
    <row r="584">
      <c r="A584" s="27" t="inlineStr">
        <is>
          <t>60217-21</t>
        </is>
      </c>
      <c r="B584" s="28" t="inlineStr">
        <is>
          <t>ViralGains</t>
        </is>
      </c>
      <c r="C584" s="29" t="inlineStr">
        <is>
          <t>02210</t>
        </is>
      </c>
      <c r="D584" s="30" t="inlineStr">
        <is>
          <t>Provider of a viral marketing platform. The company provides video marketing platform that helps advertising agencies and brands to reach their intended audiences. It also measures how consumers watch, share and talk about video content.</t>
        </is>
      </c>
      <c r="E584" s="31" t="inlineStr">
        <is>
          <t>Media and Information Services (B2B)</t>
        </is>
      </c>
      <c r="F584" s="32" t="inlineStr">
        <is>
          <t>Boston, MA</t>
        </is>
      </c>
      <c r="G584" s="33" t="inlineStr">
        <is>
          <t>Privately Held (backing)</t>
        </is>
      </c>
      <c r="H584" s="34" t="inlineStr">
        <is>
          <t>Venture Capital-Backed</t>
        </is>
      </c>
      <c r="I584" s="35" t="inlineStr">
        <is>
          <t>500 Startups, Anthony Saleh, Bantam Group, Ben Littauer, Christine Tsai, Christopher Bissonnette, David McClure, Ed Belove, Hub Angels Investment Group, Individual Investor, Jay Batson, Joe Caruso, Kernel Capital, LaunchCapital, Mark Carthy, MassChallenge, Michael Mark, Nasir Jones, Norman Meisner, Pallasite Ventures, Parker Thompson, QueensBridge Venture Partners, Ralph Wagner, Rob de Heus, Semyon Dukach, Sergey Gribov, Sheryl Schultz, Stage 1 Ventures, TiE Angels Boston, Walnut Venture Associates, Walter Danco, William Herman</t>
        </is>
      </c>
      <c r="J584" s="36" t="inlineStr">
        <is>
          <t>www.viralgains.com</t>
        </is>
      </c>
      <c r="K584" s="37" t="inlineStr">
        <is>
          <t>hello@viralgains.com</t>
        </is>
      </c>
      <c r="L584" s="38" t="inlineStr">
        <is>
          <t>+1 (800) 501-2763</t>
        </is>
      </c>
      <c r="M584" s="39" t="inlineStr">
        <is>
          <t>Jay Singh</t>
        </is>
      </c>
      <c r="N584" s="40" t="inlineStr">
        <is>
          <t>Co-Founder</t>
        </is>
      </c>
      <c r="O584" s="41" t="inlineStr">
        <is>
          <t>jay@phlvc.com</t>
        </is>
      </c>
      <c r="P584" s="42" t="inlineStr">
        <is>
          <t/>
        </is>
      </c>
      <c r="Q584" s="43" t="n">
        <v>2012.0</v>
      </c>
      <c r="R584" s="114">
        <f>HYPERLINK("https://my.pitchbook.com?c=60217-21", "View company online")</f>
      </c>
    </row>
    <row r="585">
      <c r="A585" s="9" t="inlineStr">
        <is>
          <t>150408-73</t>
        </is>
      </c>
      <c r="B585" s="10" t="inlineStr">
        <is>
          <t>Viracta Therapeutics</t>
        </is>
      </c>
      <c r="C585" s="11" t="inlineStr">
        <is>
          <t>92121</t>
        </is>
      </c>
      <c r="D585" s="12" t="inlineStr">
        <is>
          <t>Operator of a clinical-stage drug development company intended to develop medicines to treat virus-associated cancers. The clinical-stage drug development company focuses on advancing a proprietary viral activation therapy platform, enabling clients to treat cancers associated with the Epstein-Barr Virus (EBV) and additional virus-associated diseases.</t>
        </is>
      </c>
      <c r="E585" s="13" t="inlineStr">
        <is>
          <t>Therapeutic Devices</t>
        </is>
      </c>
      <c r="F585" s="14" t="inlineStr">
        <is>
          <t>San Diego, CA</t>
        </is>
      </c>
      <c r="G585" s="15" t="inlineStr">
        <is>
          <t>Privately Held (backing)</t>
        </is>
      </c>
      <c r="H585" s="16" t="inlineStr">
        <is>
          <t>Venture Capital-Backed</t>
        </is>
      </c>
      <c r="I585" s="17" t="inlineStr">
        <is>
          <t>Forward Ventures, Latterell Venture Partners, NantKwest, Wicklow Capital</t>
        </is>
      </c>
      <c r="J585" s="18" t="inlineStr">
        <is>
          <t>www.viracta.com</t>
        </is>
      </c>
      <c r="K585" s="19" t="inlineStr">
        <is>
          <t>info@viracta.com</t>
        </is>
      </c>
      <c r="L585" s="20" t="inlineStr">
        <is>
          <t>+1 (858) 400-8470</t>
        </is>
      </c>
      <c r="M585" s="21" t="inlineStr">
        <is>
          <t>David Slack</t>
        </is>
      </c>
      <c r="N585" s="22" t="inlineStr">
        <is>
          <t>Chief Business Officer</t>
        </is>
      </c>
      <c r="O585" s="23" t="inlineStr">
        <is>
          <t>dslack@viracta.com</t>
        </is>
      </c>
      <c r="P585" s="24" t="inlineStr">
        <is>
          <t>+1 (858) 400-8470</t>
        </is>
      </c>
      <c r="Q585" s="25" t="n">
        <v>2011.0</v>
      </c>
      <c r="R585" s="113">
        <f>HYPERLINK("https://my.pitchbook.com?c=150408-73", "View company online")</f>
      </c>
    </row>
    <row r="586">
      <c r="A586" s="27" t="inlineStr">
        <is>
          <t>169566-04</t>
        </is>
      </c>
      <c r="B586" s="28" t="inlineStr">
        <is>
          <t>Vir Biotechnology</t>
        </is>
      </c>
      <c r="C586" s="29" t="inlineStr">
        <is>
          <t/>
        </is>
      </c>
      <c r="D586" s="30" t="inlineStr">
        <is>
          <t>Developer of cutting-edge scientific expertise and management designed to offer treatments for infectious diseases. The company's scientific expertise and management offers treatment for challenging viral and bacterial diseases, including those caused by drug-resistant bacteria and emerging pathogens, enabling doctors to bring a world without infectious disease.</t>
        </is>
      </c>
      <c r="E586" s="31" t="inlineStr">
        <is>
          <t>Biotechnology</t>
        </is>
      </c>
      <c r="F586" s="32" t="inlineStr">
        <is>
          <t>San Francisco, CA</t>
        </is>
      </c>
      <c r="G586" s="33" t="inlineStr">
        <is>
          <t>Privately Held (backing)</t>
        </is>
      </c>
      <c r="H586" s="34" t="inlineStr">
        <is>
          <t>Venture Capital-Backed</t>
        </is>
      </c>
      <c r="I586" s="35" t="inlineStr">
        <is>
          <t>Altitude Life Science Ventures, ARCH Venture Partners, Bill &amp; Melinda Gates Foundation</t>
        </is>
      </c>
      <c r="J586" s="36" t="inlineStr">
        <is>
          <t>www.vir.bio</t>
        </is>
      </c>
      <c r="K586" s="37" t="inlineStr">
        <is>
          <t>info@vir.bio</t>
        </is>
      </c>
      <c r="L586" s="38" t="inlineStr">
        <is>
          <t/>
        </is>
      </c>
      <c r="M586" s="39" t="inlineStr">
        <is>
          <t>George Scangos</t>
        </is>
      </c>
      <c r="N586" s="40" t="inlineStr">
        <is>
          <t>Chief Executive Officer &amp; Director</t>
        </is>
      </c>
      <c r="O586" s="41" t="inlineStr">
        <is>
          <t>gscangos@vir.bio</t>
        </is>
      </c>
      <c r="P586" s="42" t="inlineStr">
        <is>
          <t/>
        </is>
      </c>
      <c r="Q586" s="43" t="inlineStr">
        <is>
          <t/>
        </is>
      </c>
      <c r="R586" s="114">
        <f>HYPERLINK("https://my.pitchbook.com?c=169566-04", "View company online")</f>
      </c>
    </row>
    <row r="587">
      <c r="A587" s="9" t="inlineStr">
        <is>
          <t>170800-12</t>
        </is>
      </c>
      <c r="B587" s="10" t="inlineStr">
        <is>
          <t>ViQi</t>
        </is>
      </c>
      <c r="C587" s="11" t="inlineStr">
        <is>
          <t>93109</t>
        </is>
      </c>
      <c r="D587" s="12" t="inlineStr">
        <is>
          <t>Provider of an online platform intended to provide data analysis and management for lifescience, construction, agriculture and other domain. The company's online platform offers BisQue system which is an Bio-Image Semantic Query User Environment system that helps in the module development, intranet deployment assistance and hosting of image collections and analysis routines, enabling clients to make large scale image analysis fast, accessible and easy.</t>
        </is>
      </c>
      <c r="E587" s="13" t="inlineStr">
        <is>
          <t>Social/Platform Software</t>
        </is>
      </c>
      <c r="F587" s="14" t="inlineStr">
        <is>
          <t>Santa Barbara, CA</t>
        </is>
      </c>
      <c r="G587" s="15" t="inlineStr">
        <is>
          <t>Privately Held (backing)</t>
        </is>
      </c>
      <c r="H587" s="16" t="inlineStr">
        <is>
          <t>Venture Capital-Backed</t>
        </is>
      </c>
      <c r="I587" s="17" t="inlineStr">
        <is>
          <t>National Science Foundation</t>
        </is>
      </c>
      <c r="J587" s="18" t="inlineStr">
        <is>
          <t>www.viqi.org</t>
        </is>
      </c>
      <c r="K587" s="19" t="inlineStr">
        <is>
          <t>info@viqi.org</t>
        </is>
      </c>
      <c r="L587" s="20" t="inlineStr">
        <is>
          <t>+1 (805) 699-6081</t>
        </is>
      </c>
      <c r="M587" s="21" t="inlineStr">
        <is>
          <t>Kristian Kvilekval</t>
        </is>
      </c>
      <c r="N587" s="22" t="inlineStr">
        <is>
          <t>Co-Founder, President &amp; Board Member</t>
        </is>
      </c>
      <c r="O587" s="23" t="inlineStr">
        <is>
          <t>kris@viqi.org</t>
        </is>
      </c>
      <c r="P587" s="24" t="inlineStr">
        <is>
          <t>+1 (805) 699-6081</t>
        </is>
      </c>
      <c r="Q587" s="25" t="n">
        <v>2014.0</v>
      </c>
      <c r="R587" s="113">
        <f>HYPERLINK("https://my.pitchbook.com?c=170800-12", "View company online")</f>
      </c>
    </row>
    <row r="588">
      <c r="A588" s="27" t="inlineStr">
        <is>
          <t>57431-44</t>
        </is>
      </c>
      <c r="B588" s="28" t="inlineStr">
        <is>
          <t>Viptela</t>
        </is>
      </c>
      <c r="C588" s="29" t="inlineStr">
        <is>
          <t>95112</t>
        </is>
      </c>
      <c r="D588" s="30" t="inlineStr">
        <is>
          <t>Developer of cloud-based computer networking technology designed to virtualize Wide Area Networks. The company's cloud-based computer networking technology focuses on developing simplified, virtualized networks that are centrally managed with Software-Defined Wide Area Network (SD-WAN) technology that virtualizes WAN infrastructure, enabling companies to build carrier agnostic, policy-controlled and cost-effective WANs.</t>
        </is>
      </c>
      <c r="E588" s="31" t="inlineStr">
        <is>
          <t>Network Management Software</t>
        </is>
      </c>
      <c r="F588" s="32" t="inlineStr">
        <is>
          <t>San Jose, CA</t>
        </is>
      </c>
      <c r="G588" s="33" t="inlineStr">
        <is>
          <t>Privately Held (backing)</t>
        </is>
      </c>
      <c r="H588" s="34" t="inlineStr">
        <is>
          <t>Venture Capital-Backed</t>
        </is>
      </c>
      <c r="I588" s="35" t="inlineStr">
        <is>
          <t>Moment Ventures, Northgate Capital, Redline Capital Management, Sequoia Capital</t>
        </is>
      </c>
      <c r="J588" s="36" t="inlineStr">
        <is>
          <t>www.viptela.com</t>
        </is>
      </c>
      <c r="K588" s="37" t="inlineStr">
        <is>
          <t>info@viptela.com</t>
        </is>
      </c>
      <c r="L588" s="38" t="inlineStr">
        <is>
          <t>+1 (408) 444-8370</t>
        </is>
      </c>
      <c r="M588" s="39" t="inlineStr">
        <is>
          <t>Amir Khan</t>
        </is>
      </c>
      <c r="N588" s="40" t="inlineStr">
        <is>
          <t>Co-Founder, President and Board Member</t>
        </is>
      </c>
      <c r="O588" s="41" t="inlineStr">
        <is>
          <t>amir@viptela.com</t>
        </is>
      </c>
      <c r="P588" s="42" t="inlineStr">
        <is>
          <t>+1 (408) 444-8370</t>
        </is>
      </c>
      <c r="Q588" s="43" t="n">
        <v>2012.0</v>
      </c>
      <c r="R588" s="114">
        <f>HYPERLINK("https://my.pitchbook.com?c=57431-44", "View company online")</f>
      </c>
    </row>
    <row r="589">
      <c r="A589" s="9" t="inlineStr">
        <is>
          <t>102837-16</t>
        </is>
      </c>
      <c r="B589" s="10" t="inlineStr">
        <is>
          <t>VIPStore</t>
        </is>
      </c>
      <c r="C589" s="11" t="inlineStr">
        <is>
          <t>100023</t>
        </is>
      </c>
      <c r="D589" s="12" t="inlineStr">
        <is>
          <t>Provider of an online platform for retail of global luxury brands in China. The company provides offers on apparel and accessories including clothes, shoes, bags, watches, cosmetics, food and luxury tourism.</t>
        </is>
      </c>
      <c r="E589" s="13" t="inlineStr">
        <is>
          <t>Luxury Goods</t>
        </is>
      </c>
      <c r="F589" s="14" t="inlineStr">
        <is>
          <t>Beijing, China</t>
        </is>
      </c>
      <c r="G589" s="15" t="inlineStr">
        <is>
          <t>Privately Held (backing)</t>
        </is>
      </c>
      <c r="H589" s="16" t="inlineStr">
        <is>
          <t>Venture Capital-Backed</t>
        </is>
      </c>
      <c r="I589" s="17" t="inlineStr">
        <is>
          <t>Ez Capital Funding, Green Pine Capital Partners, GSR Ventures, HGI Capital, Intel Capital, Litian Investment, Macy's, Moraun Investments, Mountain Partners, Omnis Mundi, Taishan Invest AG, The Chinese Founders Fund</t>
        </is>
      </c>
      <c r="J589" s="18" t="inlineStr">
        <is>
          <t>www.jiapin.com</t>
        </is>
      </c>
      <c r="K589" s="19" t="inlineStr">
        <is>
          <t/>
        </is>
      </c>
      <c r="L589" s="20" t="inlineStr">
        <is>
          <t>+86 (0)10 6516 7602</t>
        </is>
      </c>
      <c r="M589" s="21" t="inlineStr">
        <is>
          <t>William Dong</t>
        </is>
      </c>
      <c r="N589" s="22" t="inlineStr">
        <is>
          <t>Co-Founder, Chief Technology Officer &amp; Chief Operating Officer</t>
        </is>
      </c>
      <c r="O589" s="23" t="inlineStr">
        <is>
          <t/>
        </is>
      </c>
      <c r="P589" s="24" t="inlineStr">
        <is>
          <t>+86 (0)10 6516 7602</t>
        </is>
      </c>
      <c r="Q589" s="25" t="n">
        <v>2009.0</v>
      </c>
      <c r="R589" s="113">
        <f>HYPERLINK("https://my.pitchbook.com?c=102837-16", "View company online")</f>
      </c>
    </row>
    <row r="590">
      <c r="A590" s="27" t="inlineStr">
        <is>
          <t>12761-29</t>
        </is>
      </c>
      <c r="B590" s="28" t="inlineStr">
        <is>
          <t>ViOptix</t>
        </is>
      </c>
      <c r="C590" s="29" t="inlineStr">
        <is>
          <t>94560</t>
        </is>
      </c>
      <c r="D590" s="30" t="inlineStr">
        <is>
          <t>Developer of medical devices designed to measure oxygen saturation levels in tissues. The company's medical devices measure tissue oxygen saturation post-operatively in real time during pre-op baseline assessment, intra-operative mapping and post-op ICU monitoring, enabling patient to have improved surgical outcomes.</t>
        </is>
      </c>
      <c r="E590" s="31" t="inlineStr">
        <is>
          <t>Monitoring Equipment</t>
        </is>
      </c>
      <c r="F590" s="32" t="inlineStr">
        <is>
          <t>Newark, CA</t>
        </is>
      </c>
      <c r="G590" s="33" t="inlineStr">
        <is>
          <t>Privately Held (backing)</t>
        </is>
      </c>
      <c r="H590" s="34" t="inlineStr">
        <is>
          <t>Venture Capital-Backed</t>
        </is>
      </c>
      <c r="I590" s="35" t="inlineStr">
        <is>
          <t>Channel Medical Partners, DowsLake Venture, Evertop International, GrowthWorks, Horizon Technology Finance, Kummell Investments, Lincoln Capital Partners, Lumira Capital, Morningside Group, Trident Capital, Vivo Capital</t>
        </is>
      </c>
      <c r="J590" s="36" t="inlineStr">
        <is>
          <t>www.vioptix.com</t>
        </is>
      </c>
      <c r="K590" s="37" t="inlineStr">
        <is>
          <t>info@vioptix.com</t>
        </is>
      </c>
      <c r="L590" s="38" t="inlineStr">
        <is>
          <t>+1 (510) 226-5860</t>
        </is>
      </c>
      <c r="M590" s="39" t="inlineStr">
        <is>
          <t>Melissa Liu</t>
        </is>
      </c>
      <c r="N590" s="40" t="inlineStr">
        <is>
          <t>Controller</t>
        </is>
      </c>
      <c r="O590" s="41" t="inlineStr">
        <is>
          <t>mliu@vioptix.com</t>
        </is>
      </c>
      <c r="P590" s="42" t="inlineStr">
        <is>
          <t>+1 (510) 226-5860</t>
        </is>
      </c>
      <c r="Q590" s="43" t="n">
        <v>1999.0</v>
      </c>
      <c r="R590" s="114">
        <f>HYPERLINK("https://my.pitchbook.com?c=12761-29", "View company online")</f>
      </c>
    </row>
    <row r="591">
      <c r="A591" s="9" t="inlineStr">
        <is>
          <t>60205-60</t>
        </is>
      </c>
      <c r="B591" s="10" t="inlineStr">
        <is>
          <t>Vioozer</t>
        </is>
      </c>
      <c r="C591" s="11" t="inlineStr">
        <is>
          <t>96060</t>
        </is>
      </c>
      <c r="D591" s="12" t="inlineStr">
        <is>
          <t>Provider of a location-based platform for mobile and web users. The company offers a location based crowd-sourcing mobile service that enables users to connect anonymously with a fellow user at the desired location, and receive up-to-date information from any location by matching their search request.</t>
        </is>
      </c>
      <c r="E591" s="13" t="inlineStr">
        <is>
          <t>Social/Platform Software</t>
        </is>
      </c>
      <c r="F591" s="14" t="inlineStr">
        <is>
          <t>Santa Cruz, CA</t>
        </is>
      </c>
      <c r="G591" s="15" t="inlineStr">
        <is>
          <t>Privately Held (backing)</t>
        </is>
      </c>
      <c r="H591" s="16" t="inlineStr">
        <is>
          <t>Venture Capital-Backed</t>
        </is>
      </c>
      <c r="I591" s="17" t="inlineStr">
        <is>
          <t>Avalancha Ventures, Bobby Yazdani, Investo, Plug and Play Tech Center, Signatures Capital, Visionnaire Ventures</t>
        </is>
      </c>
      <c r="J591" s="18" t="inlineStr">
        <is>
          <t>www.vioozer.com</t>
        </is>
      </c>
      <c r="K591" s="19" t="inlineStr">
        <is>
          <t>contact@vioozer.com</t>
        </is>
      </c>
      <c r="L591" s="20" t="inlineStr">
        <is>
          <t>+1 (858) 780-6816</t>
        </is>
      </c>
      <c r="M591" s="21" t="inlineStr">
        <is>
          <t>Uri Bornstein</t>
        </is>
      </c>
      <c r="N591" s="22" t="inlineStr">
        <is>
          <t>Chief Executive Officer, Board Member &amp; Co-Founder</t>
        </is>
      </c>
      <c r="O591" s="23" t="inlineStr">
        <is>
          <t>uri.bornstein@vioozer.com</t>
        </is>
      </c>
      <c r="P591" s="24" t="inlineStr">
        <is>
          <t>+1 (858) 780-6816</t>
        </is>
      </c>
      <c r="Q591" s="25" t="n">
        <v>2013.0</v>
      </c>
      <c r="R591" s="113">
        <f>HYPERLINK("https://my.pitchbook.com?c=60205-60", "View company online")</f>
      </c>
    </row>
    <row r="592">
      <c r="A592" s="27" t="inlineStr">
        <is>
          <t>60919-66</t>
        </is>
      </c>
      <c r="B592" s="28" t="inlineStr">
        <is>
          <t>Violet Grey</t>
        </is>
      </c>
      <c r="C592" s="29" t="inlineStr">
        <is>
          <t>90069</t>
        </is>
      </c>
      <c r="D592" s="30" t="inlineStr">
        <is>
          <t>Provider of an online marketplace deigned to sell beauty care products. The company's online marketplace offer makeup products that include cleansers, toners, eye care products, body treatment products, sun care products and makeup removers, enabling consumers to purchase beauty care products through physical store and online.</t>
        </is>
      </c>
      <c r="E592" s="31" t="inlineStr">
        <is>
          <t>Internet Retail</t>
        </is>
      </c>
      <c r="F592" s="32" t="inlineStr">
        <is>
          <t>West Hollywood, CA</t>
        </is>
      </c>
      <c r="G592" s="33" t="inlineStr">
        <is>
          <t>Privately Held (backing)</t>
        </is>
      </c>
      <c r="H592" s="34" t="inlineStr">
        <is>
          <t>Venture Capital-Backed</t>
        </is>
      </c>
      <c r="I592" s="35" t="inlineStr">
        <is>
          <t>Beechwood Capital, Lerer Hippeau Ventures, Marker, MDC Dream Ventures, Red Sea Ventures, SV Angel, ZhenFund</t>
        </is>
      </c>
      <c r="J592" s="36" t="inlineStr">
        <is>
          <t>www.violetgrey.com</t>
        </is>
      </c>
      <c r="K592" s="37" t="inlineStr">
        <is>
          <t>info@violetgrey.com</t>
        </is>
      </c>
      <c r="L592" s="38" t="inlineStr">
        <is>
          <t>+1 (855) 976-1756</t>
        </is>
      </c>
      <c r="M592" s="39" t="inlineStr">
        <is>
          <t>Cassandra Grey</t>
        </is>
      </c>
      <c r="N592" s="40" t="inlineStr">
        <is>
          <t>Chief Executive Officer &amp; Co-Founder</t>
        </is>
      </c>
      <c r="O592" s="41" t="inlineStr">
        <is>
          <t>cassandra@violetgrey.com</t>
        </is>
      </c>
      <c r="P592" s="42" t="inlineStr">
        <is>
          <t>+1 (855) 976-1756</t>
        </is>
      </c>
      <c r="Q592" s="43" t="n">
        <v>2012.0</v>
      </c>
      <c r="R592" s="114">
        <f>HYPERLINK("https://my.pitchbook.com?c=60919-66", "View company online")</f>
      </c>
    </row>
    <row r="593">
      <c r="A593" s="9" t="inlineStr">
        <is>
          <t>180991-99</t>
        </is>
      </c>
      <c r="B593" s="10" t="inlineStr">
        <is>
          <t>Vintra</t>
        </is>
      </c>
      <c r="C593" s="11" t="inlineStr">
        <is>
          <t/>
        </is>
      </c>
      <c r="D593" s="12" t="inlineStr">
        <is>
          <t>Developer of an artificial intelligence software created to conduct effortless, smart and accurate investigative reviews of digital video. The company's artificial intelligence software understands nearly any video visual needles in digital haystacks , locates specific vehicles, people and key objects, enabling users van leverage video to solve crimes, save lives and secure assets.</t>
        </is>
      </c>
      <c r="E593" s="13" t="inlineStr">
        <is>
          <t>Application Software</t>
        </is>
      </c>
      <c r="F593" s="14" t="inlineStr">
        <is>
          <t>San Jose, CA</t>
        </is>
      </c>
      <c r="G593" s="15" t="inlineStr">
        <is>
          <t>Privately Held (backing)</t>
        </is>
      </c>
      <c r="H593" s="16" t="inlineStr">
        <is>
          <t>Venture Capital-Backed</t>
        </is>
      </c>
      <c r="I593" s="17" t="inlineStr">
        <is>
          <t>London Venture Partners</t>
        </is>
      </c>
      <c r="J593" s="18" t="inlineStr">
        <is>
          <t>www.vintra.io</t>
        </is>
      </c>
      <c r="K593" s="19" t="inlineStr">
        <is>
          <t>info@vintra.io</t>
        </is>
      </c>
      <c r="L593" s="20" t="inlineStr">
        <is>
          <t/>
        </is>
      </c>
      <c r="M593" s="21" t="inlineStr">
        <is>
          <t/>
        </is>
      </c>
      <c r="N593" s="22" t="inlineStr">
        <is>
          <t/>
        </is>
      </c>
      <c r="O593" s="23" t="inlineStr">
        <is>
          <t/>
        </is>
      </c>
      <c r="P593" s="24" t="inlineStr">
        <is>
          <t/>
        </is>
      </c>
      <c r="Q593" s="25" t="n">
        <v>2016.0</v>
      </c>
      <c r="R593" s="113">
        <f>HYPERLINK("https://my.pitchbook.com?c=180991-99", "View company online")</f>
      </c>
    </row>
    <row r="594">
      <c r="A594" s="27" t="inlineStr">
        <is>
          <t>61260-49</t>
        </is>
      </c>
      <c r="B594" s="28" t="inlineStr">
        <is>
          <t>Vint</t>
        </is>
      </c>
      <c r="C594" s="29" t="inlineStr">
        <is>
          <t>94103</t>
        </is>
      </c>
      <c r="D594" s="30" t="inlineStr">
        <is>
          <t>Developer of an on-demand personal fitness application designed to makes it easy for gyms and trainers to connect with their clients. The company's software allows gyms and fitness centers to get their own branded mobile application that handles all the tasks including online bookings, direct payments, direct communication amongst clients and smart marketing tools, enabling them to save time and money by setting up automated tasks as well as build loyalty and recognition by offering a tailored user experience.</t>
        </is>
      </c>
      <c r="E594" s="31" t="inlineStr">
        <is>
          <t>Application Software</t>
        </is>
      </c>
      <c r="F594" s="32" t="inlineStr">
        <is>
          <t>San Francisco, CA</t>
        </is>
      </c>
      <c r="G594" s="33" t="inlineStr">
        <is>
          <t>Privately Held (backing)</t>
        </is>
      </c>
      <c r="H594" s="34" t="inlineStr">
        <is>
          <t>Venture Capital-Backed</t>
        </is>
      </c>
      <c r="I594" s="35" t="inlineStr">
        <is>
          <t>500 Startups, Bryan Johnson, Creandum, David Giampaolo, DN Capital, Edastra Venture Capital, GP Bullhound, Hampus Jakobsson, Kima Ventures, Richard Båge</t>
        </is>
      </c>
      <c r="J594" s="36" t="inlineStr">
        <is>
          <t>www.joinvint.com</t>
        </is>
      </c>
      <c r="K594" s="37" t="inlineStr">
        <is>
          <t>hello@joinvint.com</t>
        </is>
      </c>
      <c r="L594" s="38" t="inlineStr">
        <is>
          <t/>
        </is>
      </c>
      <c r="M594" s="39" t="inlineStr">
        <is>
          <t>Louise Fritjofsson</t>
        </is>
      </c>
      <c r="N594" s="40" t="inlineStr">
        <is>
          <t>Chief Executive Officer &amp; Co-Founder</t>
        </is>
      </c>
      <c r="O594" s="41" t="inlineStr">
        <is>
          <t>louise@joinvint.com</t>
        </is>
      </c>
      <c r="P594" s="42" t="inlineStr">
        <is>
          <t/>
        </is>
      </c>
      <c r="Q594" s="43" t="n">
        <v>2013.0</v>
      </c>
      <c r="R594" s="114">
        <f>HYPERLINK("https://my.pitchbook.com?c=61260-49", "View company online")</f>
      </c>
    </row>
    <row r="595">
      <c r="A595" s="9" t="inlineStr">
        <is>
          <t>114170-50</t>
        </is>
      </c>
      <c r="B595" s="10" t="inlineStr">
        <is>
          <t>VinSense</t>
        </is>
      </c>
      <c r="C595" s="11" t="inlineStr">
        <is>
          <t>47906</t>
        </is>
      </c>
      <c r="D595" s="12" t="inlineStr">
        <is>
          <t>Developer of a software for crop management designed to enhance crop uniformity and increase crop volume. The company's crop management software helps to improve crop management using soil sensors, enabling producers, field managers and winemakers to manage soil moisture, pruning, irrigation, canopy management and water conservation.</t>
        </is>
      </c>
      <c r="E595" s="13" t="inlineStr">
        <is>
          <t>Business/Productivity Software</t>
        </is>
      </c>
      <c r="F595" s="14" t="inlineStr">
        <is>
          <t>Lafayette, IN</t>
        </is>
      </c>
      <c r="G595" s="15" t="inlineStr">
        <is>
          <t>Privately Held (backing)</t>
        </is>
      </c>
      <c r="H595" s="16" t="inlineStr">
        <is>
          <t>Venture Capital-Backed</t>
        </is>
      </c>
      <c r="I595" s="17" t="inlineStr">
        <is>
          <t>Elevate Ventures, Purdue Foundry</t>
        </is>
      </c>
      <c r="J595" s="18" t="inlineStr">
        <is>
          <t>www.vinsense.net</t>
        </is>
      </c>
      <c r="K595" s="19" t="inlineStr">
        <is>
          <t>info@vinsense.net</t>
        </is>
      </c>
      <c r="L595" s="20" t="inlineStr">
        <is>
          <t>+1 (765) 231-5343</t>
        </is>
      </c>
      <c r="M595" s="21" t="inlineStr">
        <is>
          <t>David Ebert</t>
        </is>
      </c>
      <c r="N595" s="22" t="inlineStr">
        <is>
          <t>Co-Founder and Chief Technology Officer</t>
        </is>
      </c>
      <c r="O595" s="23" t="inlineStr">
        <is>
          <t/>
        </is>
      </c>
      <c r="P595" s="24" t="inlineStr">
        <is>
          <t>+1 (765) 231-5343</t>
        </is>
      </c>
      <c r="Q595" s="25" t="n">
        <v>2015.0</v>
      </c>
      <c r="R595" s="113">
        <f>HYPERLINK("https://my.pitchbook.com?c=114170-50", "View company online")</f>
      </c>
    </row>
    <row r="596">
      <c r="A596" s="27" t="inlineStr">
        <is>
          <t>56924-02</t>
        </is>
      </c>
      <c r="B596" s="28" t="inlineStr">
        <is>
          <t>Vinja</t>
        </is>
      </c>
      <c r="C596" s="29" t="inlineStr">
        <is>
          <t>94402</t>
        </is>
      </c>
      <c r="D596" s="30" t="inlineStr">
        <is>
          <t>Provider of interactive video content services. The company offers software that enables content creators and distributors to design and manage interactive video engagements.</t>
        </is>
      </c>
      <c r="E596" s="31" t="inlineStr">
        <is>
          <t>Information Services (B2C)</t>
        </is>
      </c>
      <c r="F596" s="32" t="inlineStr">
        <is>
          <t>San Mateo, CA</t>
        </is>
      </c>
      <c r="G596" s="33" t="inlineStr">
        <is>
          <t>Privately Held (backing)</t>
        </is>
      </c>
      <c r="H596" s="34" t="inlineStr">
        <is>
          <t>Venture Capital-Backed</t>
        </is>
      </c>
      <c r="I596" s="35" t="inlineStr">
        <is>
          <t/>
        </is>
      </c>
      <c r="J596" s="36" t="inlineStr">
        <is>
          <t>www.vinjavideo.com</t>
        </is>
      </c>
      <c r="K596" s="37" t="inlineStr">
        <is>
          <t>info@vinjavideo.com</t>
        </is>
      </c>
      <c r="L596" s="38" t="inlineStr">
        <is>
          <t>+1 (888) 808-4652</t>
        </is>
      </c>
      <c r="M596" s="39" t="inlineStr">
        <is>
          <t>Mark Ewen</t>
        </is>
      </c>
      <c r="N596" s="40" t="inlineStr">
        <is>
          <t>Co-Founder &amp; Strategic Advisor</t>
        </is>
      </c>
      <c r="O596" s="41" t="inlineStr">
        <is>
          <t>mark@talech.com</t>
        </is>
      </c>
      <c r="P596" s="42" t="inlineStr">
        <is>
          <t>+1 (888) 995-1998</t>
        </is>
      </c>
      <c r="Q596" s="43" t="n">
        <v>2014.0</v>
      </c>
      <c r="R596" s="114">
        <f>HYPERLINK("https://my.pitchbook.com?c=56924-02", "View company online")</f>
      </c>
    </row>
    <row r="597">
      <c r="A597" s="9" t="inlineStr">
        <is>
          <t>55351-54</t>
        </is>
      </c>
      <c r="B597" s="10" t="inlineStr">
        <is>
          <t>Vinfolio</t>
        </is>
      </c>
      <c r="C597" s="11" t="inlineStr">
        <is>
          <t>94110</t>
        </is>
      </c>
      <c r="D597" s="12" t="inlineStr">
        <is>
          <t>Retailer of an online fine wine and services to wine collectors and enthusiasts. The company provide buying and selling of fine wine and services to its wine buying, selling and storage customers.</t>
        </is>
      </c>
      <c r="E597" s="13" t="inlineStr">
        <is>
          <t>Beverages</t>
        </is>
      </c>
      <c r="F597" s="14" t="inlineStr">
        <is>
          <t>San Francisco, CA</t>
        </is>
      </c>
      <c r="G597" s="15" t="inlineStr">
        <is>
          <t>Privately Held (backing)</t>
        </is>
      </c>
      <c r="H597" s="16" t="inlineStr">
        <is>
          <t>Venture Capital-Backed</t>
        </is>
      </c>
      <c r="I597" s="17" t="inlineStr">
        <is>
          <t>Individual Investor, Panorama Capital, Revolution, Stephen Case</t>
        </is>
      </c>
      <c r="J597" s="18" t="inlineStr">
        <is>
          <t>www.vinfolio.com</t>
        </is>
      </c>
      <c r="K597" s="19" t="inlineStr">
        <is>
          <t/>
        </is>
      </c>
      <c r="L597" s="20" t="inlineStr">
        <is>
          <t>+1 (800) 969-1961</t>
        </is>
      </c>
      <c r="M597" s="21" t="inlineStr">
        <is>
          <t>Peter Krimmel</t>
        </is>
      </c>
      <c r="N597" s="22" t="inlineStr">
        <is>
          <t>Chief Technology Officer</t>
        </is>
      </c>
      <c r="O597" s="23" t="inlineStr">
        <is>
          <t>pkrimmel@vinfolio.com</t>
        </is>
      </c>
      <c r="P597" s="24" t="inlineStr">
        <is>
          <t>+1 (800) 969-1961</t>
        </is>
      </c>
      <c r="Q597" s="25" t="n">
        <v>2003.0</v>
      </c>
      <c r="R597" s="113">
        <f>HYPERLINK("https://my.pitchbook.com?c=55351-54", "View company online")</f>
      </c>
    </row>
    <row r="598">
      <c r="A598" s="27" t="inlineStr">
        <is>
          <t>155875-87</t>
        </is>
      </c>
      <c r="B598" s="28" t="inlineStr">
        <is>
          <t>Vinebox</t>
        </is>
      </c>
      <c r="C598" s="29" t="inlineStr">
        <is>
          <t>94111</t>
        </is>
      </c>
      <c r="D598" s="30" t="inlineStr">
        <is>
          <t>Provider of wine subscription service. The company offers a monthly subscription based wine discovery service where users receive three different wine flavors to try from.</t>
        </is>
      </c>
      <c r="E598" s="31" t="inlineStr">
        <is>
          <t>Beverages</t>
        </is>
      </c>
      <c r="F598" s="32" t="inlineStr">
        <is>
          <t>San Francisco, CA</t>
        </is>
      </c>
      <c r="G598" s="33" t="inlineStr">
        <is>
          <t>Privately Held (backing)</t>
        </is>
      </c>
      <c r="H598" s="34" t="inlineStr">
        <is>
          <t>Venture Capital-Backed</t>
        </is>
      </c>
      <c r="I598" s="35" t="inlineStr">
        <is>
          <t>Altair Capital, Olga Maslihova, TMT Investments, Y Combinator</t>
        </is>
      </c>
      <c r="J598" s="36" t="inlineStr">
        <is>
          <t>www.getvinebox.com</t>
        </is>
      </c>
      <c r="K598" s="37" t="inlineStr">
        <is>
          <t>info@getvinebox.com</t>
        </is>
      </c>
      <c r="L598" s="38" t="inlineStr">
        <is>
          <t/>
        </is>
      </c>
      <c r="M598" s="39" t="inlineStr">
        <is>
          <t>W. Matthew Dukes</t>
        </is>
      </c>
      <c r="N598" s="40" t="inlineStr">
        <is>
          <t>Co-Founder &amp; Chief Executive Officer</t>
        </is>
      </c>
      <c r="O598" s="41" t="inlineStr">
        <is>
          <t>matt@getvinebox.com</t>
        </is>
      </c>
      <c r="P598" s="42" t="inlineStr">
        <is>
          <t/>
        </is>
      </c>
      <c r="Q598" s="43" t="n">
        <v>2014.0</v>
      </c>
      <c r="R598" s="114">
        <f>HYPERLINK("https://my.pitchbook.com?c=155875-87", "View company online")</f>
      </c>
    </row>
    <row r="599">
      <c r="A599" s="9" t="inlineStr">
        <is>
          <t>121588-48</t>
        </is>
      </c>
      <c r="B599" s="10" t="inlineStr">
        <is>
          <t>VINA</t>
        </is>
      </c>
      <c r="C599" s="11" t="inlineStr">
        <is>
          <t/>
        </is>
      </c>
      <c r="D599" s="12" t="inlineStr">
        <is>
          <t>Provider of a social network platform for women. The company provides a social networking service for friendship, "Hey! VINA", a platform to encourage women to share their achievements, "LadyBrag.com", and an women's empowerment media outlet, "VINAZINE.com".</t>
        </is>
      </c>
      <c r="E599" s="13" t="inlineStr">
        <is>
          <t>Application Software</t>
        </is>
      </c>
      <c r="F599" s="14" t="inlineStr">
        <is>
          <t>San Francisco, CA</t>
        </is>
      </c>
      <c r="G599" s="15" t="inlineStr">
        <is>
          <t>Privately Held (backing)</t>
        </is>
      </c>
      <c r="H599" s="16" t="inlineStr">
        <is>
          <t>Venture Capital-Backed</t>
        </is>
      </c>
      <c r="I599" s="17" t="inlineStr">
        <is>
          <t>Aventura VC, Charles Cheever, Greylock Partners, Jon Vlassopulos, New Enterprise Associates, Oscar Stiffelman, Tinder, Wildcat Venture Partners</t>
        </is>
      </c>
      <c r="J599" s="18" t="inlineStr">
        <is>
          <t>www.vina.io</t>
        </is>
      </c>
      <c r="K599" s="19" t="inlineStr">
        <is>
          <t/>
        </is>
      </c>
      <c r="L599" s="20" t="inlineStr">
        <is>
          <t/>
        </is>
      </c>
      <c r="M599" s="21" t="inlineStr">
        <is>
          <t>Olivia Poole</t>
        </is>
      </c>
      <c r="N599" s="22" t="inlineStr">
        <is>
          <t>Co-Founder &amp; Chief Executive Officer</t>
        </is>
      </c>
      <c r="O599" s="23" t="inlineStr">
        <is>
          <t>olivia@vina.io</t>
        </is>
      </c>
      <c r="P599" s="24" t="inlineStr">
        <is>
          <t/>
        </is>
      </c>
      <c r="Q599" s="25" t="n">
        <v>2015.0</v>
      </c>
      <c r="R599" s="113">
        <f>HYPERLINK("https://my.pitchbook.com?c=121588-48", "View company online")</f>
      </c>
    </row>
    <row r="600">
      <c r="A600" s="27" t="inlineStr">
        <is>
          <t>111100-06</t>
        </is>
      </c>
      <c r="B600" s="28" t="inlineStr">
        <is>
          <t>VIMOC Technologies</t>
        </is>
      </c>
      <c r="C600" s="29" t="inlineStr">
        <is>
          <t>94040</t>
        </is>
      </c>
      <c r="D600" s="30" t="inlineStr">
        <is>
          <t>Provider of a landscape computing platform. The company offers a network of low power, connected computing engines forming an innovative distributed computing network to support real-time actionable analytics, processing, cooperation and data mining.</t>
        </is>
      </c>
      <c r="E600" s="31" t="inlineStr">
        <is>
          <t>Network Management Software</t>
        </is>
      </c>
      <c r="F600" s="32" t="inlineStr">
        <is>
          <t>Mountain View, CA</t>
        </is>
      </c>
      <c r="G600" s="33" t="inlineStr">
        <is>
          <t>Privately Held (backing)</t>
        </is>
      </c>
      <c r="H600" s="34" t="inlineStr">
        <is>
          <t>Venture Capital-Backed</t>
        </is>
      </c>
      <c r="I600" s="35" t="inlineStr">
        <is>
          <t>Alex Panelli, ET Capital Partners, Eugene Rosenfeld, Flextronics Lab IX, Gary Bronner, Glenn Turner, Hunter Angels, Morado Venture Partners, Richard Page, Ted Lachowicz</t>
        </is>
      </c>
      <c r="J600" s="36" t="inlineStr">
        <is>
          <t>www.vimoc.com</t>
        </is>
      </c>
      <c r="K600" s="37" t="inlineStr">
        <is>
          <t>info@vimoc.com</t>
        </is>
      </c>
      <c r="L600" s="38" t="inlineStr">
        <is>
          <t/>
        </is>
      </c>
      <c r="M600" s="39" t="inlineStr">
        <is>
          <t>Tarik Hammadou</t>
        </is>
      </c>
      <c r="N600" s="40" t="inlineStr">
        <is>
          <t>Chief Executive Officer, President and Co-Founder</t>
        </is>
      </c>
      <c r="O600" s="41" t="inlineStr">
        <is>
          <t>tarik@vimoctech.com</t>
        </is>
      </c>
      <c r="P600" s="42" t="inlineStr">
        <is>
          <t/>
        </is>
      </c>
      <c r="Q600" s="43" t="n">
        <v>2012.0</v>
      </c>
      <c r="R600" s="114">
        <f>HYPERLINK("https://my.pitchbook.com?c=111100-06", "View company online")</f>
      </c>
    </row>
    <row r="601">
      <c r="A601" s="9" t="inlineStr">
        <is>
          <t>160214-41</t>
        </is>
      </c>
      <c r="B601" s="10" t="inlineStr">
        <is>
          <t>Vimo Labs</t>
        </is>
      </c>
      <c r="C601" s="11" t="inlineStr">
        <is>
          <t>94040</t>
        </is>
      </c>
      <c r="D601" s="12" t="inlineStr">
        <is>
          <t>Developer of mobile applications that track human movement. The company has developed a smartwatch application that automatically identifies exercise, counts your repetitions and tracks calories burned using the built-in smartwatch sensors.</t>
        </is>
      </c>
      <c r="E601" s="13" t="inlineStr">
        <is>
          <t>Application Software</t>
        </is>
      </c>
      <c r="F601" s="14" t="inlineStr">
        <is>
          <t>Mountain View, CA</t>
        </is>
      </c>
      <c r="G601" s="15" t="inlineStr">
        <is>
          <t>Privately Held (backing)</t>
        </is>
      </c>
      <c r="H601" s="16" t="inlineStr">
        <is>
          <t>Venture Capital-Backed</t>
        </is>
      </c>
      <c r="I601" s="17" t="inlineStr">
        <is>
          <t>iSeed Ventures, LeBox Capital, PreAngel</t>
        </is>
      </c>
      <c r="J601" s="18" t="inlineStr">
        <is>
          <t>trackmy.fit</t>
        </is>
      </c>
      <c r="K601" s="19" t="inlineStr">
        <is>
          <t/>
        </is>
      </c>
      <c r="L601" s="20" t="inlineStr">
        <is>
          <t/>
        </is>
      </c>
      <c r="M601" s="21" t="inlineStr">
        <is>
          <t>Huan Liu</t>
        </is>
      </c>
      <c r="N601" s="22" t="inlineStr">
        <is>
          <t>Co-Founder &amp; Chief Executive Officer</t>
        </is>
      </c>
      <c r="O601" s="23" t="inlineStr">
        <is>
          <t>huanliu@vimo.co</t>
        </is>
      </c>
      <c r="P601" s="24" t="inlineStr">
        <is>
          <t/>
        </is>
      </c>
      <c r="Q601" s="25" t="n">
        <v>2013.0</v>
      </c>
      <c r="R601" s="113">
        <f>HYPERLINK("https://my.pitchbook.com?c=160214-41", "View company online")</f>
      </c>
    </row>
    <row r="602">
      <c r="A602" s="27" t="inlineStr">
        <is>
          <t>40848-04</t>
        </is>
      </c>
      <c r="B602" s="28" t="inlineStr">
        <is>
          <t>Vimo</t>
        </is>
      </c>
      <c r="C602" s="29" t="inlineStr">
        <is>
          <t>94043</t>
        </is>
      </c>
      <c r="D602" s="30" t="inlineStr">
        <is>
          <t>Operator of a healthcare platform designed to provide comparison-shopping portal for healthcare products and services. The company's healthcare platform helps users research prices on doctors, hospitals, health insurance plans, dentists and medical procedures enabling consumers choose health insurance plan.</t>
        </is>
      </c>
      <c r="E602" s="31" t="inlineStr">
        <is>
          <t>Information Services (B2C)</t>
        </is>
      </c>
      <c r="F602" s="32" t="inlineStr">
        <is>
          <t>Mountain View, CA</t>
        </is>
      </c>
      <c r="G602" s="33" t="inlineStr">
        <is>
          <t>Privately Held (backing)</t>
        </is>
      </c>
      <c r="H602" s="34" t="inlineStr">
        <is>
          <t>Venture Capital-Backed</t>
        </is>
      </c>
      <c r="I602" s="35" t="inlineStr">
        <is>
          <t>Bessemer Venture Partners, Nathaniel Turner, Noro-Moseley Partners, Partech Ventures, Trinity Ventures</t>
        </is>
      </c>
      <c r="J602" s="36" t="inlineStr">
        <is>
          <t>www.getinsured.com</t>
        </is>
      </c>
      <c r="K602" s="37" t="inlineStr">
        <is>
          <t>contact@getinsured.com</t>
        </is>
      </c>
      <c r="L602" s="38" t="inlineStr">
        <is>
          <t>+1 (866) 602-8466</t>
        </is>
      </c>
      <c r="M602" s="39" t="inlineStr">
        <is>
          <t>Chini Krishnan</t>
        </is>
      </c>
      <c r="N602" s="40" t="inlineStr">
        <is>
          <t>Co-Founder &amp; Chief Executive Officer</t>
        </is>
      </c>
      <c r="O602" s="41" t="inlineStr">
        <is>
          <t>chini@bvp.com</t>
        </is>
      </c>
      <c r="P602" s="42" t="inlineStr">
        <is>
          <t>+1 (650) 853-7000</t>
        </is>
      </c>
      <c r="Q602" s="43" t="n">
        <v>2005.0</v>
      </c>
      <c r="R602" s="114">
        <f>HYPERLINK("https://my.pitchbook.com?c=40848-04", "View company online")</f>
      </c>
    </row>
    <row r="603">
      <c r="A603" s="9" t="inlineStr">
        <is>
          <t>63264-34</t>
        </is>
      </c>
      <c r="B603" s="10" t="inlineStr">
        <is>
          <t>Vilynx</t>
        </is>
      </c>
      <c r="C603" s="11" t="inlineStr">
        <is>
          <t/>
        </is>
      </c>
      <c r="D603" s="12" t="inlineStr">
        <is>
          <t>Developer of a video consumption and analytics tool. The company provides a platform that tracks, measures and analyzes consumer video performance to improve video content.</t>
        </is>
      </c>
      <c r="E603" s="13" t="inlineStr">
        <is>
          <t>Social/Platform Software</t>
        </is>
      </c>
      <c r="F603" s="14" t="inlineStr">
        <is>
          <t>Palo Alto, CA</t>
        </is>
      </c>
      <c r="G603" s="15" t="inlineStr">
        <is>
          <t>Privately Held (backing)</t>
        </is>
      </c>
      <c r="H603" s="16" t="inlineStr">
        <is>
          <t>Venture Capital-Backed</t>
        </is>
      </c>
      <c r="I603" s="17" t="inlineStr">
        <is>
          <t>El Confidencial, Joe Golden, Kibo Ventures Partners, La Caixa Banking Foundation, Ramon Bernat, Ridgewood Capital</t>
        </is>
      </c>
      <c r="J603" s="18" t="inlineStr">
        <is>
          <t>www.vilynx.com</t>
        </is>
      </c>
      <c r="K603" s="19" t="inlineStr">
        <is>
          <t/>
        </is>
      </c>
      <c r="L603" s="20" t="inlineStr">
        <is>
          <t>+1 (510) 409-6502</t>
        </is>
      </c>
      <c r="M603" s="21" t="inlineStr">
        <is>
          <t>Juan Carlos Riveiro Insua</t>
        </is>
      </c>
      <c r="N603" s="22" t="inlineStr">
        <is>
          <t>Chief Executive Officer, Board Member and Co-Founder</t>
        </is>
      </c>
      <c r="O603" s="23" t="inlineStr">
        <is>
          <t>juan@vilynx.com</t>
        </is>
      </c>
      <c r="P603" s="24" t="inlineStr">
        <is>
          <t>+1 (510) 409-6502</t>
        </is>
      </c>
      <c r="Q603" s="25" t="n">
        <v>2011.0</v>
      </c>
      <c r="R603" s="113">
        <f>HYPERLINK("https://my.pitchbook.com?c=63264-34", "View company online")</f>
      </c>
    </row>
    <row r="604">
      <c r="A604" s="27" t="inlineStr">
        <is>
          <t>61316-65</t>
        </is>
      </c>
      <c r="B604" s="28" t="inlineStr">
        <is>
          <t>Village Power Finance</t>
        </is>
      </c>
      <c r="C604" s="29" t="inlineStr">
        <is>
          <t>94304</t>
        </is>
      </c>
      <c r="D604" s="30" t="inlineStr">
        <is>
          <t>Operator of a platform which helps community-driven institutions to go solar. The company develops, finances, and manages clean energy assets for community organizations, primarily serveing churches, clubs, schools, universities and small and medium businesses in the United States.</t>
        </is>
      </c>
      <c r="E604" s="31" t="inlineStr">
        <is>
          <t>Alternative Energy Equipment</t>
        </is>
      </c>
      <c r="F604" s="32" t="inlineStr">
        <is>
          <t>Palo Alto, CA</t>
        </is>
      </c>
      <c r="G604" s="33" t="inlineStr">
        <is>
          <t>Privately Held (backing)</t>
        </is>
      </c>
      <c r="H604" s="34" t="inlineStr">
        <is>
          <t>Venture Capital-Backed</t>
        </is>
      </c>
      <c r="I604" s="35" t="inlineStr">
        <is>
          <t>Madison Parker Capital, Sunshot Initiative Incubator Program</t>
        </is>
      </c>
      <c r="J604" s="36" t="inlineStr">
        <is>
          <t>www.villagepower.com</t>
        </is>
      </c>
      <c r="K604" s="37" t="inlineStr">
        <is>
          <t>info@villagepf.com</t>
        </is>
      </c>
      <c r="L604" s="38" t="inlineStr">
        <is>
          <t>+1 (650) 204-3144</t>
        </is>
      </c>
      <c r="M604" s="39" t="inlineStr">
        <is>
          <t>Ty Jagerson</t>
        </is>
      </c>
      <c r="N604" s="40" t="inlineStr">
        <is>
          <t>Chief Executive Officer &amp; Co-Founder</t>
        </is>
      </c>
      <c r="O604" s="41" t="inlineStr">
        <is>
          <t>tjagerson@villagepowerfinance.com</t>
        </is>
      </c>
      <c r="P604" s="42" t="inlineStr">
        <is>
          <t>+1 (650) 204-3144</t>
        </is>
      </c>
      <c r="Q604" s="43" t="n">
        <v>2013.0</v>
      </c>
      <c r="R604" s="114">
        <f>HYPERLINK("https://my.pitchbook.com?c=61316-65", "View company online")</f>
      </c>
    </row>
    <row r="605">
      <c r="A605" s="9" t="inlineStr">
        <is>
          <t>107902-00</t>
        </is>
      </c>
      <c r="B605" s="10" t="inlineStr">
        <is>
          <t>Vigyanlabs</t>
        </is>
      </c>
      <c r="C605" s="11" t="inlineStr">
        <is>
          <t>570006</t>
        </is>
      </c>
      <c r="D605" s="12" t="inlineStr">
        <is>
          <t>Developer of power-management software. The company develops a platform designed to assess and reduce energy consumption across digital and analogue products such as laptops, desktops and smartphones, as well as large data centers and cloud providers.</t>
        </is>
      </c>
      <c r="E605" s="13" t="inlineStr">
        <is>
          <t>Social/Platform Software</t>
        </is>
      </c>
      <c r="F605" s="14" t="inlineStr">
        <is>
          <t>Mysore, India</t>
        </is>
      </c>
      <c r="G605" s="15" t="inlineStr">
        <is>
          <t>Privately Held (backing)</t>
        </is>
      </c>
      <c r="H605" s="16" t="inlineStr">
        <is>
          <t>Venture Capital-Backed</t>
        </is>
      </c>
      <c r="I605" s="17" t="inlineStr">
        <is>
          <t>Axilor Ventures, Department of Science and Technology (Government of India), Microsoft Accelerator, Shashidhar Pai</t>
        </is>
      </c>
      <c r="J605" s="18" t="inlineStr">
        <is>
          <t>www.vigyanlabs.com</t>
        </is>
      </c>
      <c r="K605" s="19" t="inlineStr">
        <is>
          <t>info@ipmplus.com</t>
        </is>
      </c>
      <c r="L605" s="20" t="inlineStr">
        <is>
          <t>+91 (0)82 1304 2037</t>
        </is>
      </c>
      <c r="M605" s="21" t="inlineStr">
        <is>
          <t>Srinivas Varadarajan</t>
        </is>
      </c>
      <c r="N605" s="22" t="inlineStr">
        <is>
          <t>Co-Founder &amp; Chief Executive Officer</t>
        </is>
      </c>
      <c r="O605" s="23" t="inlineStr">
        <is>
          <t>varadarajan@vigyanlabs.com</t>
        </is>
      </c>
      <c r="P605" s="24" t="inlineStr">
        <is>
          <t>+91 (0)82 1304 2037</t>
        </is>
      </c>
      <c r="Q605" s="25" t="n">
        <v>2008.0</v>
      </c>
      <c r="R605" s="113">
        <f>HYPERLINK("https://my.pitchbook.com?c=107902-00", "View company online")</f>
      </c>
    </row>
    <row r="606">
      <c r="A606" s="27" t="inlineStr">
        <is>
          <t>100286-65</t>
        </is>
      </c>
      <c r="B606" s="28" t="inlineStr">
        <is>
          <t>Vigo (Wearable Device)</t>
        </is>
      </c>
      <c r="C606" s="29" t="inlineStr">
        <is>
          <t>94107</t>
        </is>
      </c>
      <c r="D606" s="30" t="inlineStr">
        <is>
          <t>Developer of a Bluetooth device that helps users stay alert at the wheel. The company uses an infrared sensor, an accelerometer and advanced algorithm to track patterns in blinks and head motion of a person to see if they are getting drowsy.</t>
        </is>
      </c>
      <c r="E606" s="31" t="inlineStr">
        <is>
          <t>Electronics (B2C)</t>
        </is>
      </c>
      <c r="F606" s="32" t="inlineStr">
        <is>
          <t>San Francisco, CA</t>
        </is>
      </c>
      <c r="G606" s="33" t="inlineStr">
        <is>
          <t>Privately Held (backing)</t>
        </is>
      </c>
      <c r="H606" s="34" t="inlineStr">
        <is>
          <t>Venture Capital-Backed</t>
        </is>
      </c>
      <c r="I606" s="35" t="inlineStr">
        <is>
          <t>Geekdom SF, SOSV</t>
        </is>
      </c>
      <c r="J606" s="36" t="inlineStr">
        <is>
          <t>www.wearvigo.com</t>
        </is>
      </c>
      <c r="K606" s="37" t="inlineStr">
        <is>
          <t>info@wearvigo.com</t>
        </is>
      </c>
      <c r="L606" s="38" t="inlineStr">
        <is>
          <t/>
        </is>
      </c>
      <c r="M606" s="39" t="inlineStr">
        <is>
          <t>Jason Gui</t>
        </is>
      </c>
      <c r="N606" s="40" t="inlineStr">
        <is>
          <t>Co-Founder &amp; Chief Executive Officer</t>
        </is>
      </c>
      <c r="O606" s="41" t="inlineStr">
        <is>
          <t/>
        </is>
      </c>
      <c r="P606" s="42" t="inlineStr">
        <is>
          <t/>
        </is>
      </c>
      <c r="Q606" s="43" t="n">
        <v>2013.0</v>
      </c>
      <c r="R606" s="114">
        <f>HYPERLINK("https://my.pitchbook.com?c=100286-65", "View company online")</f>
      </c>
    </row>
    <row r="607">
      <c r="A607" s="9" t="inlineStr">
        <is>
          <t>55110-97</t>
        </is>
      </c>
      <c r="B607" s="10" t="inlineStr">
        <is>
          <t>Vignette Wine Country Soda</t>
        </is>
      </c>
      <c r="C607" s="11" t="inlineStr">
        <is>
          <t>94705</t>
        </is>
      </c>
      <c r="D607" s="12" t="inlineStr">
        <is>
          <t>Producer of non-alcoholic beverages. The company manufactures non-alcoholic aerated drinks, using the juice of California varietal wine grapes to sweeten the beverages.</t>
        </is>
      </c>
      <c r="E607" s="13" t="inlineStr">
        <is>
          <t>Beverages</t>
        </is>
      </c>
      <c r="F607" s="14" t="inlineStr">
        <is>
          <t>Berkeley, CA</t>
        </is>
      </c>
      <c r="G607" s="15" t="inlineStr">
        <is>
          <t>Privately Held (backing)</t>
        </is>
      </c>
      <c r="H607" s="16" t="inlineStr">
        <is>
          <t>Venture Capital-Backed</t>
        </is>
      </c>
      <c r="I607" s="17" t="inlineStr">
        <is>
          <t>Kern Whelan Capital</t>
        </is>
      </c>
      <c r="J607" s="18" t="inlineStr">
        <is>
          <t>www.winecountrysoda.com</t>
        </is>
      </c>
      <c r="K607" s="19" t="inlineStr">
        <is>
          <t>info@winecountrysoda.com</t>
        </is>
      </c>
      <c r="L607" s="20" t="inlineStr">
        <is>
          <t>+1 (510) 486-9400</t>
        </is>
      </c>
      <c r="M607" s="21" t="inlineStr">
        <is>
          <t>Pat Galvin</t>
        </is>
      </c>
      <c r="N607" s="22" t="inlineStr">
        <is>
          <t>Founder</t>
        </is>
      </c>
      <c r="O607" s="23" t="inlineStr">
        <is>
          <t>pat@winecountrysoda.com</t>
        </is>
      </c>
      <c r="P607" s="24" t="inlineStr">
        <is>
          <t>+1 (510) 486-9400</t>
        </is>
      </c>
      <c r="Q607" s="25" t="n">
        <v>2006.0</v>
      </c>
      <c r="R607" s="113">
        <f>HYPERLINK("https://my.pitchbook.com?c=55110-97", "View company online")</f>
      </c>
    </row>
    <row r="608">
      <c r="A608" s="27" t="inlineStr">
        <is>
          <t>48550-60</t>
        </is>
      </c>
      <c r="B608" s="28" t="inlineStr">
        <is>
          <t>VigLink</t>
        </is>
      </c>
      <c r="C608" s="29" t="inlineStr">
        <is>
          <t>94104</t>
        </is>
      </c>
      <c r="D608" s="30" t="inlineStr">
        <is>
          <t>Provider of a platform for affiliate marketing. The company enables merchants to identify consumers who want to purchase their products by expanding the number of publishers participating in their affiliate and advertising network.</t>
        </is>
      </c>
      <c r="E608" s="31" t="inlineStr">
        <is>
          <t>Media and Information Services (B2B)</t>
        </is>
      </c>
      <c r="F608" s="32" t="inlineStr">
        <is>
          <t>San Francisco, CA</t>
        </is>
      </c>
      <c r="G608" s="33" t="inlineStr">
        <is>
          <t>Privately Held (backing)</t>
        </is>
      </c>
      <c r="H608" s="34" t="inlineStr">
        <is>
          <t>Venture Capital-Backed</t>
        </is>
      </c>
      <c r="I608" s="35" t="inlineStr">
        <is>
          <t>Ali Partovi, Ali Partovi, Auren Hoffman, Carlos Cashman, Correlation Ventures, Costanoa Venture Capital, Dipchand Nishar, Emergence Capital Partners, First Round Capital, Foundry Group, GV, Individual Investor, Jean-Francois Clavier, KBJ Capital, Micah Adler, Reid Hoffman, RRE Ventures, Silicon Valley Bank, SoftTech VC</t>
        </is>
      </c>
      <c r="J608" s="36" t="inlineStr">
        <is>
          <t>www.viglink.com</t>
        </is>
      </c>
      <c r="K608" s="37" t="inlineStr">
        <is>
          <t>info@viglink.com</t>
        </is>
      </c>
      <c r="L608" s="38" t="inlineStr">
        <is>
          <t>+1 (888) 828-8492</t>
        </is>
      </c>
      <c r="M608" s="39" t="inlineStr">
        <is>
          <t>Oliver Roup</t>
        </is>
      </c>
      <c r="N608" s="40" t="inlineStr">
        <is>
          <t>Co-Founder, Chief Executive Officer &amp; Board Member</t>
        </is>
      </c>
      <c r="O608" s="41" t="inlineStr">
        <is>
          <t>oliver@viglink.com</t>
        </is>
      </c>
      <c r="P608" s="42" t="inlineStr">
        <is>
          <t>+1 (888) 828-8492</t>
        </is>
      </c>
      <c r="Q608" s="43" t="n">
        <v>2009.0</v>
      </c>
      <c r="R608" s="114">
        <f>HYPERLINK("https://my.pitchbook.com?c=48550-60", "View company online")</f>
      </c>
    </row>
    <row r="609">
      <c r="A609" s="9" t="inlineStr">
        <is>
          <t>53920-72</t>
        </is>
      </c>
      <c r="B609" s="10" t="inlineStr">
        <is>
          <t>Vigilent</t>
        </is>
      </c>
      <c r="C609" s="11" t="inlineStr">
        <is>
          <t>94612</t>
        </is>
      </c>
      <c r="D609" s="12" t="inlineStr">
        <is>
          <t>Provider of energy management systems for data centers and commercial buildings. The company offers technology to deliver dynamic cooling management in mission critical environments.</t>
        </is>
      </c>
      <c r="E609" s="13" t="inlineStr">
        <is>
          <t>Other Energy Services</t>
        </is>
      </c>
      <c r="F609" s="14" t="inlineStr">
        <is>
          <t>Oakland, CA</t>
        </is>
      </c>
      <c r="G609" s="15" t="inlineStr">
        <is>
          <t>Privately Held (backing)</t>
        </is>
      </c>
      <c r="H609" s="16" t="inlineStr">
        <is>
          <t>Venture Capital-Backed</t>
        </is>
      </c>
      <c r="I609" s="17" t="inlineStr">
        <is>
          <t>Accel, Gaurav Garg, Individual Investor, Peter Wagner, TELUS Ventures, TiE Angels Silicon Valley</t>
        </is>
      </c>
      <c r="J609" s="18" t="inlineStr">
        <is>
          <t>www.vigilent.com</t>
        </is>
      </c>
      <c r="K609" s="19" t="inlineStr">
        <is>
          <t>info@vigilent.com</t>
        </is>
      </c>
      <c r="L609" s="20" t="inlineStr">
        <is>
          <t>+1 (888) 305-4451</t>
        </is>
      </c>
      <c r="M609" s="21" t="inlineStr">
        <is>
          <t>Dave Lynch</t>
        </is>
      </c>
      <c r="N609" s="22" t="inlineStr">
        <is>
          <t>Chief Financial Officer</t>
        </is>
      </c>
      <c r="O609" s="23" t="inlineStr">
        <is>
          <t>dlynch@vigilent.com</t>
        </is>
      </c>
      <c r="P609" s="24" t="inlineStr">
        <is>
          <t>+1 (888) 305-4451</t>
        </is>
      </c>
      <c r="Q609" s="25" t="n">
        <v>2004.0</v>
      </c>
      <c r="R609" s="113">
        <f>HYPERLINK("https://my.pitchbook.com?c=53920-72", "View company online")</f>
      </c>
    </row>
    <row r="610">
      <c r="A610" s="27" t="inlineStr">
        <is>
          <t>54990-46</t>
        </is>
      </c>
      <c r="B610" s="28" t="inlineStr">
        <is>
          <t>Vigilant Solutions</t>
        </is>
      </c>
      <c r="C610" s="29" t="inlineStr">
        <is>
          <t>94551</t>
        </is>
      </c>
      <c r="D610" s="30" t="inlineStr">
        <is>
          <t>Developer of imaging systems to support the microchip industry. The company develops products that can catalog license plates and human faces by time, data and location and compares that with various databases to help track sought out people and/or vehicles.</t>
        </is>
      </c>
      <c r="E610" s="31" t="inlineStr">
        <is>
          <t>Other Information Technology</t>
        </is>
      </c>
      <c r="F610" s="32" t="inlineStr">
        <is>
          <t>Livermore, CA</t>
        </is>
      </c>
      <c r="G610" s="33" t="inlineStr">
        <is>
          <t>Privately Held (backing)</t>
        </is>
      </c>
      <c r="H610" s="34" t="inlineStr">
        <is>
          <t>Venture Capital-Backed</t>
        </is>
      </c>
      <c r="I610" s="35" t="inlineStr">
        <is>
          <t>Corsa Ventures, Morgan Stanley Expansion Capital, Peter Chung</t>
        </is>
      </c>
      <c r="J610" s="36" t="inlineStr">
        <is>
          <t>www.vigilantsolutions.com</t>
        </is>
      </c>
      <c r="K610" s="37" t="inlineStr">
        <is>
          <t>info@vigilantvideo.com</t>
        </is>
      </c>
      <c r="L610" s="38" t="inlineStr">
        <is>
          <t>+1 (925) 398-2079</t>
        </is>
      </c>
      <c r="M610" s="39" t="inlineStr">
        <is>
          <t>Steve Cintron</t>
        </is>
      </c>
      <c r="N610" s="40" t="inlineStr">
        <is>
          <t>Chief Financial Officer</t>
        </is>
      </c>
      <c r="O610" s="41" t="inlineStr">
        <is>
          <t>steve@vigilantsolutions.com</t>
        </is>
      </c>
      <c r="P610" s="42" t="inlineStr">
        <is>
          <t>+1 (925) 398-2079</t>
        </is>
      </c>
      <c r="Q610" s="43" t="n">
        <v>2005.0</v>
      </c>
      <c r="R610" s="114">
        <f>HYPERLINK("https://my.pitchbook.com?c=54990-46", "View company online")</f>
      </c>
    </row>
    <row r="611">
      <c r="A611" s="9" t="inlineStr">
        <is>
          <t>56717-20</t>
        </is>
      </c>
      <c r="B611" s="10" t="inlineStr">
        <is>
          <t>Viewster</t>
        </is>
      </c>
      <c r="C611" s="11" t="inlineStr">
        <is>
          <t>8008</t>
        </is>
      </c>
      <c r="D611" s="12" t="inlineStr">
        <is>
          <t>Provider of online video services designed to offer anime, web shorts and movies. The company's online video service offers up-to-date feature films, series and celebrity interviews which can be viewed any time, enabling viewers to watch free online movies over the internet.</t>
        </is>
      </c>
      <c r="E611" s="13" t="inlineStr">
        <is>
          <t>Movies, Music and Entertainment</t>
        </is>
      </c>
      <c r="F611" s="14" t="inlineStr">
        <is>
          <t>Zurich, Switzerland</t>
        </is>
      </c>
      <c r="G611" s="15" t="inlineStr">
        <is>
          <t>Privately Held (backing)</t>
        </is>
      </c>
      <c r="H611" s="16" t="inlineStr">
        <is>
          <t>Venture Capital-Backed</t>
        </is>
      </c>
      <c r="I611" s="17" t="inlineStr">
        <is>
          <t>Brett Blundy, Creathor Venture, Individual Investor, Lancelot Marx</t>
        </is>
      </c>
      <c r="J611" s="18" t="inlineStr">
        <is>
          <t>www.viewster.com</t>
        </is>
      </c>
      <c r="K611" s="19" t="inlineStr">
        <is>
          <t>info@viewster.com</t>
        </is>
      </c>
      <c r="L611" s="20" t="inlineStr">
        <is>
          <t>+41 (0)44 565 2000</t>
        </is>
      </c>
      <c r="M611" s="21" t="inlineStr">
        <is>
          <t>Jörg Boksberger</t>
        </is>
      </c>
      <c r="N611" s="22" t="inlineStr">
        <is>
          <t>Co-Founder &amp; Co-Chief Operating Officer</t>
        </is>
      </c>
      <c r="O611" s="23" t="inlineStr">
        <is>
          <t>jb@vi.ai</t>
        </is>
      </c>
      <c r="P611" s="24" t="inlineStr">
        <is>
          <t>+41 (0)44 565 2000</t>
        </is>
      </c>
      <c r="Q611" s="25" t="n">
        <v>2007.0</v>
      </c>
      <c r="R611" s="113">
        <f>HYPERLINK("https://my.pitchbook.com?c=56717-20", "View company online")</f>
      </c>
    </row>
    <row r="612">
      <c r="A612" s="27" t="inlineStr">
        <is>
          <t>181622-89</t>
        </is>
      </c>
      <c r="B612" s="28" t="inlineStr">
        <is>
          <t>ViewSpark</t>
        </is>
      </c>
      <c r="C612" s="29" t="inlineStr">
        <is>
          <t>92008</t>
        </is>
      </c>
      <c r="D612" s="30" t="inlineStr">
        <is>
          <t>Provider of an online platform intended to offer fundraising facilities for various non profit organizations. The company's online platform offers an application that can be used for the charity donation purpose, enabling various non profit organizations to raise funds for many developmental activities.</t>
        </is>
      </c>
      <c r="E612" s="31" t="inlineStr">
        <is>
          <t>Other Financial Services</t>
        </is>
      </c>
      <c r="F612" s="32" t="inlineStr">
        <is>
          <t>Carlsbad, CA</t>
        </is>
      </c>
      <c r="G612" s="33" t="inlineStr">
        <is>
          <t>Privately Held (backing)</t>
        </is>
      </c>
      <c r="H612" s="34" t="inlineStr">
        <is>
          <t>Venture Capital-Backed</t>
        </is>
      </c>
      <c r="I612" s="35" t="inlineStr">
        <is>
          <t>Westlake Ventures (St. Petersburg)</t>
        </is>
      </c>
      <c r="J612" s="36" t="inlineStr">
        <is>
          <t>www.viewspark.org</t>
        </is>
      </c>
      <c r="K612" s="37" t="inlineStr">
        <is>
          <t>info@viewspark.org</t>
        </is>
      </c>
      <c r="L612" s="38" t="inlineStr">
        <is>
          <t>+1 (626) 385-7424</t>
        </is>
      </c>
      <c r="M612" s="39" t="inlineStr">
        <is>
          <t/>
        </is>
      </c>
      <c r="N612" s="40" t="inlineStr">
        <is>
          <t/>
        </is>
      </c>
      <c r="O612" s="41" t="inlineStr">
        <is>
          <t/>
        </is>
      </c>
      <c r="P612" s="42" t="inlineStr">
        <is>
          <t/>
        </is>
      </c>
      <c r="Q612" s="43" t="inlineStr">
        <is>
          <t/>
        </is>
      </c>
      <c r="R612" s="114">
        <f>HYPERLINK("https://my.pitchbook.com?c=181622-89", "View company online")</f>
      </c>
    </row>
    <row r="613">
      <c r="A613" s="9" t="inlineStr">
        <is>
          <t>41579-29</t>
        </is>
      </c>
      <c r="B613" s="10" t="inlineStr">
        <is>
          <t>ViewSonic</t>
        </is>
      </c>
      <c r="C613" s="11" t="inlineStr">
        <is>
          <t/>
        </is>
      </c>
      <c r="D613" s="12" t="inlineStr">
        <is>
          <t>Provider of visual technology such as LCD and CRT displays and other mobile computing devices. The company also offers LED monitors, touch displays, projectors, large-format displays and virtual desktops.</t>
        </is>
      </c>
      <c r="E613" s="13" t="inlineStr">
        <is>
          <t>Computers, Parts and Peripherals</t>
        </is>
      </c>
      <c r="F613" s="14" t="inlineStr">
        <is>
          <t>Brea, CA</t>
        </is>
      </c>
      <c r="G613" s="15" t="inlineStr">
        <is>
          <t>Privately Held (backing)</t>
        </is>
      </c>
      <c r="H613" s="16" t="inlineStr">
        <is>
          <t>Venture Capital-Backed</t>
        </is>
      </c>
      <c r="I613" s="17" t="inlineStr">
        <is>
          <t>Intel Capital</t>
        </is>
      </c>
      <c r="J613" s="18" t="inlineStr">
        <is>
          <t>www.viewsonic.com</t>
        </is>
      </c>
      <c r="K613" s="19" t="inlineStr">
        <is>
          <t>service@in.viewsonic.com</t>
        </is>
      </c>
      <c r="L613" s="20" t="inlineStr">
        <is>
          <t>+1 (800) 419-0959</t>
        </is>
      </c>
      <c r="M613" s="21" t="inlineStr">
        <is>
          <t>James Chu</t>
        </is>
      </c>
      <c r="N613" s="22" t="inlineStr">
        <is>
          <t>Chief Executive Officer &amp; Chairman</t>
        </is>
      </c>
      <c r="O613" s="23" t="inlineStr">
        <is>
          <t>james.chu@viewsonic.com</t>
        </is>
      </c>
      <c r="P613" s="24" t="inlineStr">
        <is>
          <t>+1 (800) 419-0959</t>
        </is>
      </c>
      <c r="Q613" s="25" t="n">
        <v>1987.0</v>
      </c>
      <c r="R613" s="113">
        <f>HYPERLINK("https://my.pitchbook.com?c=41579-29", "View company online")</f>
      </c>
    </row>
    <row r="614">
      <c r="A614" s="27" t="inlineStr">
        <is>
          <t>58611-97</t>
        </is>
      </c>
      <c r="B614" s="28" t="inlineStr">
        <is>
          <t>Viewpost</t>
        </is>
      </c>
      <c r="C614" s="29" t="inlineStr">
        <is>
          <t>32751</t>
        </is>
      </c>
      <c r="D614" s="30" t="inlineStr">
        <is>
          <t>Provider of an online platform designed to provide electronic invoice and payment services to businesses. The company's online platform provides an open business-to-business network for empowering businesses of all sizes with electronic invoicing, payments and real-time cash management, enabling people and businesses to connect and exchange electronic invoices and payments.</t>
        </is>
      </c>
      <c r="E614" s="31" t="inlineStr">
        <is>
          <t>Financial Software</t>
        </is>
      </c>
      <c r="F614" s="32" t="inlineStr">
        <is>
          <t>Maitland, FL</t>
        </is>
      </c>
      <c r="G614" s="33" t="inlineStr">
        <is>
          <t>Privately Held (backing)</t>
        </is>
      </c>
      <c r="H614" s="34" t="inlineStr">
        <is>
          <t>Venture Capital-Backed</t>
        </is>
      </c>
      <c r="I614" s="35" t="inlineStr">
        <is>
          <t>Caretta Partners, Foley Ventures, Osceola Capital Management</t>
        </is>
      </c>
      <c r="J614" s="36" t="inlineStr">
        <is>
          <t>www.viewpost.com</t>
        </is>
      </c>
      <c r="K614" s="37" t="inlineStr">
        <is>
          <t/>
        </is>
      </c>
      <c r="L614" s="38" t="inlineStr">
        <is>
          <t>+1 (888) 248-9190</t>
        </is>
      </c>
      <c r="M614" s="39" t="inlineStr">
        <is>
          <t>Maxwell Eliscu</t>
        </is>
      </c>
      <c r="N614" s="40" t="inlineStr">
        <is>
          <t>Founder, Board Member &amp; Chief Executive Officer</t>
        </is>
      </c>
      <c r="O614" s="41" t="inlineStr">
        <is>
          <t>meliscu@viewpost.com</t>
        </is>
      </c>
      <c r="P614" s="42" t="inlineStr">
        <is>
          <t>+1 (800) 474-7606</t>
        </is>
      </c>
      <c r="Q614" s="43" t="n">
        <v>2011.0</v>
      </c>
      <c r="R614" s="114">
        <f>HYPERLINK("https://my.pitchbook.com?c=58611-97", "View company online")</f>
      </c>
    </row>
    <row r="615">
      <c r="A615" s="9" t="inlineStr">
        <is>
          <t>110542-06</t>
        </is>
      </c>
      <c r="B615" s="10" t="inlineStr">
        <is>
          <t>ViewPoint Therapeutics</t>
        </is>
      </c>
      <c r="C615" s="11" t="inlineStr">
        <is>
          <t>94107</t>
        </is>
      </c>
      <c r="D615" s="12" t="inlineStr">
        <is>
          <t>Provider of medical services for diseases of protein mis-folding. The comapny provides medical services and operates a biotechnology firm dedicated to the development of treatments for diseases of protein mis-folding, including cataracts.</t>
        </is>
      </c>
      <c r="E615" s="13" t="inlineStr">
        <is>
          <t>Biotechnology</t>
        </is>
      </c>
      <c r="F615" s="14" t="inlineStr">
        <is>
          <t>San Francisco, CA</t>
        </is>
      </c>
      <c r="G615" s="15" t="inlineStr">
        <is>
          <t>Privately Held (backing)</t>
        </is>
      </c>
      <c r="H615" s="16" t="inlineStr">
        <is>
          <t>Venture Capital-Backed</t>
        </is>
      </c>
      <c r="I615" s="17" t="inlineStr">
        <is>
          <t>Asset Management Ventures, Biotechnology Value Fund Partners, California Institute for Quantitative Biosciences, Karl Handelsman, Lagunita BioSciences, Michigan Investment in New Technology Startups, Mission Bay Capital, National Eye Institute</t>
        </is>
      </c>
      <c r="J615" s="18" t="inlineStr">
        <is>
          <t>www.viewpointtherapeutics.com</t>
        </is>
      </c>
      <c r="K615" s="19" t="inlineStr">
        <is>
          <t>info@viewpointtherapeutics.com</t>
        </is>
      </c>
      <c r="L615" s="20" t="inlineStr">
        <is>
          <t>+1 (734) 205-8246</t>
        </is>
      </c>
      <c r="M615" s="21" t="inlineStr">
        <is>
          <t>Leah Makley</t>
        </is>
      </c>
      <c r="N615" s="22" t="inlineStr">
        <is>
          <t>Co-Founder, President, Chief Scientific Officer &amp; Director</t>
        </is>
      </c>
      <c r="O615" s="23" t="inlineStr">
        <is>
          <t>makley@viewpointtherapeutics.com</t>
        </is>
      </c>
      <c r="P615" s="24" t="inlineStr">
        <is>
          <t>+1 (734) 205-8246</t>
        </is>
      </c>
      <c r="Q615" s="25" t="n">
        <v>2014.0</v>
      </c>
      <c r="R615" s="113">
        <f>HYPERLINK("https://my.pitchbook.com?c=110542-06", "View company online")</f>
      </c>
    </row>
    <row r="616">
      <c r="A616" s="27" t="inlineStr">
        <is>
          <t>97268-68</t>
        </is>
      </c>
      <c r="B616" s="28" t="inlineStr">
        <is>
          <t>Viewics</t>
        </is>
      </c>
      <c r="C616" s="29" t="inlineStr">
        <is>
          <t>94085</t>
        </is>
      </c>
      <c r="D616" s="30" t="inlineStr">
        <is>
          <t>Provider of an analytics platform for the healthcare industry. The company provides business intelligence and analytics services on a data platform that enables healthcare organizations to execute on their clinical and operational strategies.</t>
        </is>
      </c>
      <c r="E616" s="31" t="inlineStr">
        <is>
          <t>Business/Productivity Software</t>
        </is>
      </c>
      <c r="F616" s="32" t="inlineStr">
        <is>
          <t>Sunnyvale, CA</t>
        </is>
      </c>
      <c r="G616" s="33" t="inlineStr">
        <is>
          <t>Privately Held (backing)</t>
        </is>
      </c>
      <c r="H616" s="34" t="inlineStr">
        <is>
          <t>Venture Capital-Backed</t>
        </is>
      </c>
      <c r="I616" s="35" t="inlineStr">
        <is>
          <t>AME Cloud Ventures, Canvas Venture Fund, City National Bank, Farzad Nazem, GVA Capital, Morado Venture Partners, Morgenthaler, Murphree Venture Partners, Plug and Play Tech Center, Roche Venture Fund, Sanjaya Kumar</t>
        </is>
      </c>
      <c r="J616" s="36" t="inlineStr">
        <is>
          <t>www.viewics.com</t>
        </is>
      </c>
      <c r="K616" s="37" t="inlineStr">
        <is>
          <t>info@viewics.com</t>
        </is>
      </c>
      <c r="L616" s="38" t="inlineStr">
        <is>
          <t>+1 (415) 439-0084</t>
        </is>
      </c>
      <c r="M616" s="39" t="inlineStr">
        <is>
          <t>Dhiren Bhatia</t>
        </is>
      </c>
      <c r="N616" s="40" t="inlineStr">
        <is>
          <t>Co-Founder and Chief Executive Officer</t>
        </is>
      </c>
      <c r="O616" s="41" t="inlineStr">
        <is>
          <t>dhiren@viewics.com</t>
        </is>
      </c>
      <c r="P616" s="42" t="inlineStr">
        <is>
          <t>+1 (415) 439-0084</t>
        </is>
      </c>
      <c r="Q616" s="43" t="n">
        <v>2009.0</v>
      </c>
      <c r="R616" s="114">
        <f>HYPERLINK("https://my.pitchbook.com?c=97268-68", "View company online")</f>
      </c>
    </row>
    <row r="617">
      <c r="A617" s="9" t="inlineStr">
        <is>
          <t>51389-56</t>
        </is>
      </c>
      <c r="B617" s="10" t="inlineStr">
        <is>
          <t>View</t>
        </is>
      </c>
      <c r="C617" s="11" t="inlineStr">
        <is>
          <t>95035</t>
        </is>
      </c>
      <c r="D617" s="12" t="inlineStr">
        <is>
          <t>Manufacturer of tint-adjusting architectural glass. The company designs, manufactures and sells architectural glass that intelligently adjusts in response to external conditions and user preferences.</t>
        </is>
      </c>
      <c r="E617" s="13" t="inlineStr">
        <is>
          <t>Building Products</t>
        </is>
      </c>
      <c r="F617" s="14" t="inlineStr">
        <is>
          <t>Milpitas, CA</t>
        </is>
      </c>
      <c r="G617" s="15" t="inlineStr">
        <is>
          <t>Privately Held (backing)</t>
        </is>
      </c>
      <c r="H617" s="16" t="inlineStr">
        <is>
          <t>Venture Capital-Backed</t>
        </is>
      </c>
      <c r="I617" s="17" t="inlineStr">
        <is>
          <t>CIV, Corning, David Marcus, DBL Partners, Eastward Capital Partners, GE Energy Financial Services, GE Ventures, Industrial Investors Group, Khosla Ventures, Madrone Capital Partners, NanoDimension, Navitas Capital, New Zealand Superannuation Fund, Reinet Investments, Sigma Partners, Teachers Insurance and Annuity Association of America, The Westly Group, TriplePoint Capital, Union Grove Venture Partners, Vinod Khosla</t>
        </is>
      </c>
      <c r="J617" s="18" t="inlineStr">
        <is>
          <t>www.viewglass.com</t>
        </is>
      </c>
      <c r="K617" s="19" t="inlineStr">
        <is>
          <t>info@viewglass.com</t>
        </is>
      </c>
      <c r="L617" s="20" t="inlineStr">
        <is>
          <t>+1 (408) 263-9200</t>
        </is>
      </c>
      <c r="M617" s="21" t="inlineStr">
        <is>
          <t>James Fay</t>
        </is>
      </c>
      <c r="N617" s="22" t="inlineStr">
        <is>
          <t>Chief Financial Officer</t>
        </is>
      </c>
      <c r="O617" s="23" t="inlineStr">
        <is>
          <t>james.fay@viewglass.com</t>
        </is>
      </c>
      <c r="P617" s="24" t="inlineStr">
        <is>
          <t>+1 (408) 263-9200</t>
        </is>
      </c>
      <c r="Q617" s="25" t="n">
        <v>2007.0</v>
      </c>
      <c r="R617" s="113">
        <f>HYPERLINK("https://my.pitchbook.com?c=51389-56", "View company online")</f>
      </c>
    </row>
    <row r="618">
      <c r="A618" s="27" t="inlineStr">
        <is>
          <t>42855-04</t>
        </is>
      </c>
      <c r="B618" s="28" t="inlineStr">
        <is>
          <t>Vidyo</t>
        </is>
      </c>
      <c r="C618" s="29" t="inlineStr">
        <is>
          <t>07601</t>
        </is>
      </c>
      <c r="D618" s="30" t="inlineStr">
        <is>
          <t>Provider of an Internet based video conferencing tool designed to visually connect to the world. The company's Internet based video conferencing tool provides a software communication and collaboration platform that can be customized for healthcare, government and educational needs, enabling users to connect to the world with the highest quality embedded video and enterprise video conferencing.</t>
        </is>
      </c>
      <c r="E618" s="31" t="inlineStr">
        <is>
          <t>Communication Software</t>
        </is>
      </c>
      <c r="F618" s="32" t="inlineStr">
        <is>
          <t>Hackensack, NJ</t>
        </is>
      </c>
      <c r="G618" s="33" t="inlineStr">
        <is>
          <t>Privately Held (backing)</t>
        </is>
      </c>
      <c r="H618" s="34" t="inlineStr">
        <is>
          <t>Venture Capital-Backed</t>
        </is>
      </c>
      <c r="I618" s="35" t="inlineStr">
        <is>
          <t>Ashish Mistry, BLH Venture Partners, Blue Cloud Ventures, Daniel Leff, Eureka Ventures, Four Rivers Group, Juniper Networks, Kaiser Permanente Ventures, Leader Ventures, Luminari Capital, Menlo Ventures, Orr Partners, QuestMark Partners, Rho Ventures, Saints Capital, Sevin Rosen Funds, Star Ventures, Triangle Peak Partners, Western Technology Investment</t>
        </is>
      </c>
      <c r="J618" s="36" t="inlineStr">
        <is>
          <t>www.vidyo.com</t>
        </is>
      </c>
      <c r="K618" s="37" t="inlineStr">
        <is>
          <t>info@vidyo.com</t>
        </is>
      </c>
      <c r="L618" s="38" t="inlineStr">
        <is>
          <t>+1 (866) 998-4396</t>
        </is>
      </c>
      <c r="M618" s="39" t="inlineStr">
        <is>
          <t>Eran Westman</t>
        </is>
      </c>
      <c r="N618" s="40" t="inlineStr">
        <is>
          <t>Chief Executive Officer, Board Member &amp; President</t>
        </is>
      </c>
      <c r="O618" s="41" t="inlineStr">
        <is>
          <t>westman@vidyo.com</t>
        </is>
      </c>
      <c r="P618" s="42" t="inlineStr">
        <is>
          <t>+1 (866) 998-4396</t>
        </is>
      </c>
      <c r="Q618" s="43" t="n">
        <v>2005.0</v>
      </c>
      <c r="R618" s="114">
        <f>HYPERLINK("https://my.pitchbook.com?c=42855-04", "View company online")</f>
      </c>
    </row>
    <row r="619">
      <c r="A619" s="9" t="inlineStr">
        <is>
          <t>60171-13</t>
        </is>
      </c>
      <c r="B619" s="10" t="inlineStr">
        <is>
          <t>Vidora</t>
        </is>
      </c>
      <c r="C619" s="11" t="inlineStr">
        <is>
          <t>94107</t>
        </is>
      </c>
      <c r="D619" s="12" t="inlineStr">
        <is>
          <t>Developer of a strategic artificial inteligence platform designed to optimize every unique customer's experience in line with strategic business goals such as reducing churn and maximizing customer lifetime value with the power of machines. The company's platform mines through behavioral data to predict behavior down to the individual customer, identify the key Strategic Touchpoints that drive engagement, and automatically optimize the customer experience with their Intelligence APIs, enabling companies improve their ROIs.</t>
        </is>
      </c>
      <c r="E619" s="13" t="inlineStr">
        <is>
          <t>Media and Information Services (B2B)</t>
        </is>
      </c>
      <c r="F619" s="14" t="inlineStr">
        <is>
          <t>San Francisco, CA</t>
        </is>
      </c>
      <c r="G619" s="15" t="inlineStr">
        <is>
          <t>Privately Held (backing)</t>
        </is>
      </c>
      <c r="H619" s="16" t="inlineStr">
        <is>
          <t>Venture Capital-Backed</t>
        </is>
      </c>
      <c r="I619" s="17" t="inlineStr">
        <is>
          <t>AllMobile Fund, BootstrapLabs, Christopher Grey, Core Ventures Group, Individual Investor, InterWest Partners, JFE Accelerator, Michael Liou, Plug and Play Tech Center, Shinya Akamine</t>
        </is>
      </c>
      <c r="J619" s="18" t="inlineStr">
        <is>
          <t>www.vidora.com</t>
        </is>
      </c>
      <c r="K619" s="19" t="inlineStr">
        <is>
          <t>info@vidora.com</t>
        </is>
      </c>
      <c r="L619" s="20" t="inlineStr">
        <is>
          <t>+1 (415) 237-3423</t>
        </is>
      </c>
      <c r="M619" s="21" t="inlineStr">
        <is>
          <t>Alex Holub</t>
        </is>
      </c>
      <c r="N619" s="22" t="inlineStr">
        <is>
          <t>Co-Founder &amp; Chief Executive Officer</t>
        </is>
      </c>
      <c r="O619" s="23" t="inlineStr">
        <is>
          <t>alex@vidora.com</t>
        </is>
      </c>
      <c r="P619" s="24" t="inlineStr">
        <is>
          <t>+1 (415) 237-3423</t>
        </is>
      </c>
      <c r="Q619" s="25" t="n">
        <v>2012.0</v>
      </c>
      <c r="R619" s="113">
        <f>HYPERLINK("https://my.pitchbook.com?c=60171-13", "View company online")</f>
      </c>
    </row>
    <row r="620">
      <c r="A620" s="27" t="inlineStr">
        <is>
          <t>111284-47</t>
        </is>
      </c>
      <c r="B620" s="28" t="inlineStr">
        <is>
          <t>Vidme</t>
        </is>
      </c>
      <c r="C620" s="29" t="inlineStr">
        <is>
          <t>95834</t>
        </is>
      </c>
      <c r="D620" s="30" t="inlineStr">
        <is>
          <t>Provider of a video-sharing platform and a mobile application. The company's application enables users to upload videos in various categories within the platform, such as gaming, animation, movies and entertainment, all of which are hosted and circulated on its site to relevant community sections.</t>
        </is>
      </c>
      <c r="E620" s="31" t="inlineStr">
        <is>
          <t>Application Software</t>
        </is>
      </c>
      <c r="F620" s="32" t="inlineStr">
        <is>
          <t>Sacramento, CA</t>
        </is>
      </c>
      <c r="G620" s="33" t="inlineStr">
        <is>
          <t>Privately Held (backing)</t>
        </is>
      </c>
      <c r="H620" s="34" t="inlineStr">
        <is>
          <t>Venture Capital-Backed</t>
        </is>
      </c>
      <c r="I620" s="35" t="inlineStr">
        <is>
          <t>First Round Capital, Initialized Capital, Launchpad Angels, Lowercase Capital, Mucker Capital, New Enterprise Associates, SV Angel, Upfront Ventures</t>
        </is>
      </c>
      <c r="J620" s="36" t="inlineStr">
        <is>
          <t>www.vid.me</t>
        </is>
      </c>
      <c r="K620" s="37" t="inlineStr">
        <is>
          <t>hello@bitkitchen.co</t>
        </is>
      </c>
      <c r="L620" s="38" t="inlineStr">
        <is>
          <t/>
        </is>
      </c>
      <c r="M620" s="39" t="inlineStr">
        <is>
          <t>Alex Benzer</t>
        </is>
      </c>
      <c r="N620" s="40" t="inlineStr">
        <is>
          <t>Co-Founder &amp; Chief Product Officer</t>
        </is>
      </c>
      <c r="O620" s="41" t="inlineStr">
        <is>
          <t>alex@vid.me</t>
        </is>
      </c>
      <c r="P620" s="42" t="inlineStr">
        <is>
          <t/>
        </is>
      </c>
      <c r="Q620" s="43" t="inlineStr">
        <is>
          <t/>
        </is>
      </c>
      <c r="R620" s="114">
        <f>HYPERLINK("https://my.pitchbook.com?c=111284-47", "View company online")</f>
      </c>
    </row>
    <row r="621">
      <c r="A621" s="9" t="inlineStr">
        <is>
          <t>54710-11</t>
        </is>
      </c>
      <c r="B621" s="10" t="inlineStr">
        <is>
          <t>vidIQ</t>
        </is>
      </c>
      <c r="C621" s="11" t="inlineStr">
        <is>
          <t>94123</t>
        </is>
      </c>
      <c r="D621" s="12" t="inlineStr">
        <is>
          <t>Provider of a suite of enterprise tools designed to grow YouTube audience. The company's enterprise tools provides an audience development suite which focuses on channel's views and subscriptions through collaborative tools, enabling brands to reach their video marketing goals.</t>
        </is>
      </c>
      <c r="E621" s="13" t="inlineStr">
        <is>
          <t>Application Software</t>
        </is>
      </c>
      <c r="F621" s="14" t="inlineStr">
        <is>
          <t>San Francisco, CA</t>
        </is>
      </c>
      <c r="G621" s="15" t="inlineStr">
        <is>
          <t>Privately Held (backing)</t>
        </is>
      </c>
      <c r="H621" s="16" t="inlineStr">
        <is>
          <t>Venture Capital-Backed</t>
        </is>
      </c>
      <c r="I621" s="17" t="inlineStr">
        <is>
          <t>Dario Meli, David Cohen, Donald Hutchison, Expansion Venture Capital, Founders Den, Gary Vaynerchuk, i/o Ventures, Jared Kopf, Jason Seats, Joshua Baer, Lowercase Capital, Mark Cuban, Mike Edelhart, Peter Weck, Ryan Melohn, Scott Banister, Social Starts, Sumit Gupta, William Lohse</t>
        </is>
      </c>
      <c r="J621" s="18" t="inlineStr">
        <is>
          <t>www.vidiq.com</t>
        </is>
      </c>
      <c r="K621" s="19" t="inlineStr">
        <is>
          <t>contact@vidiq.com</t>
        </is>
      </c>
      <c r="L621" s="20" t="inlineStr">
        <is>
          <t>+1 (888) 998-8434</t>
        </is>
      </c>
      <c r="M621" s="21" t="inlineStr">
        <is>
          <t>Robert Sandie</t>
        </is>
      </c>
      <c r="N621" s="22" t="inlineStr">
        <is>
          <t>Co-Founder &amp; Chief Executive Officer</t>
        </is>
      </c>
      <c r="O621" s="23" t="inlineStr">
        <is>
          <t>rsandie@vidiq.com</t>
        </is>
      </c>
      <c r="P621" s="24" t="inlineStr">
        <is>
          <t>+1 (888) 998-8434</t>
        </is>
      </c>
      <c r="Q621" s="25" t="n">
        <v>2011.0</v>
      </c>
      <c r="R621" s="113">
        <f>HYPERLINK("https://my.pitchbook.com?c=54710-11", "View company online")</f>
      </c>
    </row>
    <row r="622">
      <c r="A622" s="27" t="inlineStr">
        <is>
          <t>166688-02</t>
        </is>
      </c>
      <c r="B622" s="28" t="inlineStr">
        <is>
          <t>Videxio</t>
        </is>
      </c>
      <c r="C622" s="29" t="inlineStr">
        <is>
          <t>1366</t>
        </is>
      </c>
      <c r="D622" s="30" t="inlineStr">
        <is>
          <t>Provider of cloud-based video service platform. The company offers international video deployment service that helps other organizations to receive video communication facility. It provides video services that makes it easy for organizations to use professional video conferencing.</t>
        </is>
      </c>
      <c r="E622" s="31" t="inlineStr">
        <is>
          <t>Communication Software</t>
        </is>
      </c>
      <c r="F622" s="32" t="inlineStr">
        <is>
          <t>Oslo, Norway</t>
        </is>
      </c>
      <c r="G622" s="33" t="inlineStr">
        <is>
          <t>Privately Held (backing)</t>
        </is>
      </c>
      <c r="H622" s="34" t="inlineStr">
        <is>
          <t>Venture Capital-Backed</t>
        </is>
      </c>
      <c r="I622" s="35" t="inlineStr">
        <is>
          <t>Stavanger Venture, TD Veen</t>
        </is>
      </c>
      <c r="J622" s="36" t="inlineStr">
        <is>
          <t>www.videxio.com</t>
        </is>
      </c>
      <c r="K622" s="37" t="inlineStr">
        <is>
          <t>contact@videxio.com</t>
        </is>
      </c>
      <c r="L622" s="38" t="inlineStr">
        <is>
          <t/>
        </is>
      </c>
      <c r="M622" s="39" t="inlineStr">
        <is>
          <t>Tom Lia</t>
        </is>
      </c>
      <c r="N622" s="40" t="inlineStr">
        <is>
          <t>Chief Executive Officer &amp; Co-Founder</t>
        </is>
      </c>
      <c r="O622" s="41" t="inlineStr">
        <is>
          <t>tom.erik.lia@videxio.com</t>
        </is>
      </c>
      <c r="P622" s="42" t="inlineStr">
        <is>
          <t>+47 98 28 98 72</t>
        </is>
      </c>
      <c r="Q622" s="43" t="n">
        <v>2011.0</v>
      </c>
      <c r="R622" s="114">
        <f>HYPERLINK("https://my.pitchbook.com?c=166688-02", "View company online")</f>
      </c>
    </row>
    <row r="623">
      <c r="A623" s="9" t="inlineStr">
        <is>
          <t>53903-71</t>
        </is>
      </c>
      <c r="B623" s="10" t="inlineStr">
        <is>
          <t>Videopixie</t>
        </is>
      </c>
      <c r="C623" s="11" t="inlineStr">
        <is>
          <t>94110</t>
        </is>
      </c>
      <c r="D623" s="12" t="inlineStr">
        <is>
          <t>Developer of video platform for online retailers. The company's video platform utilizes the SaaS platform for adding videos online to communicate and sell via online product videos, enabling retailers, gaming companies and individuals to hire the video professionals at a range of price points, to fit any budget and make trailers, using in-game footage or product videos and air the same on national TV.</t>
        </is>
      </c>
      <c r="E623" s="13" t="inlineStr">
        <is>
          <t>Media and Information Services (B2B)</t>
        </is>
      </c>
      <c r="F623" s="14" t="inlineStr">
        <is>
          <t>San Francisco, CA</t>
        </is>
      </c>
      <c r="G623" s="15" t="inlineStr">
        <is>
          <t>Privately Held (backing)</t>
        </is>
      </c>
      <c r="H623" s="16" t="inlineStr">
        <is>
          <t>Venture Capital-Backed</t>
        </is>
      </c>
      <c r="I623" s="17" t="inlineStr">
        <is>
          <t>500 Startups, Abhay Parekh, ACE &amp; Company, Ambition.vc, Andrew Crichton, Bodley Group, Craig Albrecht, Dan Bragiel, Dan Ellis, Edouard Tabet, FundersClub, Jag Singh, Jason Calacanis, Jason Raznick, Jawed Karim, John Hauck, Kane Miller, Laurent Bernardin, Marc Bell Capital Partners, Nick Gopalani, Orange Fab, Prashant Chaudhary, Rory Cameron, Saad AlSogair, Seth Ginns, Start Fund, SV Angel, Y Combinator</t>
        </is>
      </c>
      <c r="J623" s="18" t="inlineStr">
        <is>
          <t>www.videopixie.com</t>
        </is>
      </c>
      <c r="K623" s="19" t="inlineStr">
        <is>
          <t>human@ttlabsinc.com</t>
        </is>
      </c>
      <c r="L623" s="20" t="inlineStr">
        <is>
          <t/>
        </is>
      </c>
      <c r="M623" s="21" t="inlineStr">
        <is>
          <t>Tom Saffell</t>
        </is>
      </c>
      <c r="N623" s="22" t="inlineStr">
        <is>
          <t>Co-Founder, Chief Executive Officer &amp; Board Member</t>
        </is>
      </c>
      <c r="O623" s="23" t="inlineStr">
        <is>
          <t>tom.saffell@ttlabsinc.com</t>
        </is>
      </c>
      <c r="P623" s="24" t="inlineStr">
        <is>
          <t/>
        </is>
      </c>
      <c r="Q623" s="25" t="inlineStr">
        <is>
          <t/>
        </is>
      </c>
      <c r="R623" s="113">
        <f>HYPERLINK("https://my.pitchbook.com?c=53903-71", "View company online")</f>
      </c>
    </row>
    <row r="624">
      <c r="A624" s="27" t="inlineStr">
        <is>
          <t>56304-46</t>
        </is>
      </c>
      <c r="B624" s="28" t="inlineStr">
        <is>
          <t>Videokits</t>
        </is>
      </c>
      <c r="C624" s="29" t="inlineStr">
        <is>
          <t>94041</t>
        </is>
      </c>
      <c r="D624" s="30" t="inlineStr">
        <is>
          <t>Developer of Videokits, a line of social video applications. The company provides a line of social video apps that provides a guided creation experience for shooting, editing and sharing movies using iPhone, iPad, iPod Touch and Android devices.</t>
        </is>
      </c>
      <c r="E624" s="31" t="inlineStr">
        <is>
          <t>Movies, Music and Entertainment</t>
        </is>
      </c>
      <c r="F624" s="32" t="inlineStr">
        <is>
          <t>Mountain View, CA</t>
        </is>
      </c>
      <c r="G624" s="33" t="inlineStr">
        <is>
          <t>Privately Held (backing)</t>
        </is>
      </c>
      <c r="H624" s="34" t="inlineStr">
        <is>
          <t>Venture Capital-Backed</t>
        </is>
      </c>
      <c r="I624" s="35" t="inlineStr">
        <is>
          <t>500 Startups, Stanford Angels and Entrepreneurs, UJ Ventures, Ulu Ventures</t>
        </is>
      </c>
      <c r="J624" s="36" t="inlineStr">
        <is>
          <t>www.tapshot.com</t>
        </is>
      </c>
      <c r="K624" s="37" t="inlineStr">
        <is>
          <t>info@tapshot.com</t>
        </is>
      </c>
      <c r="L624" s="38" t="inlineStr">
        <is>
          <t>+1 (650) 906-2508</t>
        </is>
      </c>
      <c r="M624" s="39" t="inlineStr">
        <is>
          <t>Lee Swearingen</t>
        </is>
      </c>
      <c r="N624" s="40" t="inlineStr">
        <is>
          <t>Chief Executive Officer &amp; Co-Founder</t>
        </is>
      </c>
      <c r="O624" s="41" t="inlineStr">
        <is>
          <t>lee@tapshot.com</t>
        </is>
      </c>
      <c r="P624" s="42" t="inlineStr">
        <is>
          <t>+1 (650) 906-2508</t>
        </is>
      </c>
      <c r="Q624" s="43" t="n">
        <v>2012.0</v>
      </c>
      <c r="R624" s="114">
        <f>HYPERLINK("https://my.pitchbook.com?c=56304-46", "View company online")</f>
      </c>
    </row>
    <row r="625">
      <c r="A625" s="9" t="inlineStr">
        <is>
          <t>54086-59</t>
        </is>
      </c>
      <c r="B625" s="10" t="inlineStr">
        <is>
          <t>Videogram (Japan)</t>
        </is>
      </c>
      <c r="C625" s="11" t="inlineStr">
        <is>
          <t>106-0032</t>
        </is>
      </c>
      <c r="D625" s="12" t="inlineStr">
        <is>
          <t>Provider of a media monetization platform. The company offers a mobile-based platform which helps in converting video into a pictorial summaries with multiple entry points and allowing videos to be browsed and discovered in the same manner as photos.</t>
        </is>
      </c>
      <c r="E625" s="13" t="inlineStr">
        <is>
          <t>Multimedia and Design Software</t>
        </is>
      </c>
      <c r="F625" s="14" t="inlineStr">
        <is>
          <t>Tokyo, Japan</t>
        </is>
      </c>
      <c r="G625" s="15" t="inlineStr">
        <is>
          <t>Privately Held (backing)</t>
        </is>
      </c>
      <c r="H625" s="16" t="inlineStr">
        <is>
          <t>Venture Capital-Backed</t>
        </is>
      </c>
      <c r="I625" s="17" t="inlineStr">
        <is>
          <t>500 Startups, ABC Dream Ventures, Fierce Capital Markets, Jun LI, Jungle Ventures, Media Camp, NTT Docomo Ventures, Samsung Venture Investment, Tyra Banks</t>
        </is>
      </c>
      <c r="J625" s="18" t="inlineStr">
        <is>
          <t>www.cinemacraft.tv</t>
        </is>
      </c>
      <c r="K625" s="19" t="inlineStr">
        <is>
          <t>info@cinemacraft.tv</t>
        </is>
      </c>
      <c r="L625" s="20" t="inlineStr">
        <is>
          <t>+81 (0)36 804 3857</t>
        </is>
      </c>
      <c r="M625" s="21" t="inlineStr">
        <is>
          <t>Sandeep Casi</t>
        </is>
      </c>
      <c r="N625" s="22" t="inlineStr">
        <is>
          <t>Chief Executive Officer, Chief Technology Officer &amp; Co-Founder</t>
        </is>
      </c>
      <c r="O625" s="23" t="inlineStr">
        <is>
          <t>scasi@cinemacraft.tv</t>
        </is>
      </c>
      <c r="P625" s="24" t="inlineStr">
        <is>
          <t>+81 (0)36 804 3857</t>
        </is>
      </c>
      <c r="Q625" s="25" t="inlineStr">
        <is>
          <t/>
        </is>
      </c>
      <c r="R625" s="113">
        <f>HYPERLINK("https://my.pitchbook.com?c=54086-59", "View company online")</f>
      </c>
    </row>
    <row r="626">
      <c r="A626" s="27" t="inlineStr">
        <is>
          <t>57847-33</t>
        </is>
      </c>
      <c r="B626" s="28" t="inlineStr">
        <is>
          <t>VideoElephant</t>
        </is>
      </c>
      <c r="C626" s="29" t="inlineStr">
        <is>
          <t>2</t>
        </is>
      </c>
      <c r="D626" s="30" t="inlineStr">
        <is>
          <t>Provider of an online business to business video marketplace for buying and selling long and short form video content. The company offers a platform that allows content providers to sell their content to web publishers and broadcasters.</t>
        </is>
      </c>
      <c r="E626" s="31" t="inlineStr">
        <is>
          <t>Movies, Music and Entertainment</t>
        </is>
      </c>
      <c r="F626" s="32" t="inlineStr">
        <is>
          <t>Dublin, Ireland</t>
        </is>
      </c>
      <c r="G626" s="33" t="inlineStr">
        <is>
          <t>Privately Held (backing)</t>
        </is>
      </c>
      <c r="H626" s="34" t="inlineStr">
        <is>
          <t>Venture Capital-Backed</t>
        </is>
      </c>
      <c r="I626" s="35" t="inlineStr">
        <is>
          <t>ACT Venture Capital, Barry Pitcher, Dublin Business Innovation Centre, Enterprise Ireland, NDRC, Paddy Bolger, Peter O'Grady Walshe, Propeller Venture Accelerator, Tom Kennedy</t>
        </is>
      </c>
      <c r="J626" s="36" t="inlineStr">
        <is>
          <t>www.videoelephant.com</t>
        </is>
      </c>
      <c r="K626" s="37" t="inlineStr">
        <is>
          <t>info@videoelephant.com</t>
        </is>
      </c>
      <c r="L626" s="38" t="inlineStr">
        <is>
          <t>+353 (0)1 537 1000</t>
        </is>
      </c>
      <c r="M626" s="39" t="inlineStr">
        <is>
          <t>Stephen O'Shaughnessy</t>
        </is>
      </c>
      <c r="N626" s="40" t="inlineStr">
        <is>
          <t>Chief Executive Officer &amp; Founder</t>
        </is>
      </c>
      <c r="O626" s="41" t="inlineStr">
        <is>
          <t>stephen@videoelephant.com</t>
        </is>
      </c>
      <c r="P626" s="42" t="inlineStr">
        <is>
          <t>+353 (0)1 537 1000</t>
        </is>
      </c>
      <c r="Q626" s="43" t="n">
        <v>2011.0</v>
      </c>
      <c r="R626" s="114">
        <f>HYPERLINK("https://my.pitchbook.com?c=57847-33", "View company online")</f>
      </c>
    </row>
    <row r="627">
      <c r="A627" s="9" t="inlineStr">
        <is>
          <t>100373-50</t>
        </is>
      </c>
      <c r="B627" s="10" t="inlineStr">
        <is>
          <t>VideoAmp</t>
        </is>
      </c>
      <c r="C627" s="11" t="inlineStr">
        <is>
          <t>90403</t>
        </is>
      </c>
      <c r="D627" s="12" t="inlineStr">
        <is>
          <t>Provider of a video advertising platform. The company offers a video advertising platform to buy, optimize and measure video advertisement across television, mobile and desktop.</t>
        </is>
      </c>
      <c r="E627" s="13" t="inlineStr">
        <is>
          <t>Media and Information Services (B2B)</t>
        </is>
      </c>
      <c r="F627" s="14" t="inlineStr">
        <is>
          <t>Santa Monica, CA</t>
        </is>
      </c>
      <c r="G627" s="15" t="inlineStr">
        <is>
          <t>Privately Held (backing)</t>
        </is>
      </c>
      <c r="H627" s="16" t="inlineStr">
        <is>
          <t>Venture Capital-Backed</t>
        </is>
      </c>
      <c r="I627" s="17" t="inlineStr">
        <is>
          <t>Anthem Venture Partners, GoAhead Ventures, RTL Group, Simon Equity Partners, Startup Capital Ventures, Third Wave Capital, Third Wave Digital, Third Wave Ventures, Wavemaker Partners</t>
        </is>
      </c>
      <c r="J627" s="18" t="inlineStr">
        <is>
          <t>www.videoamp.com</t>
        </is>
      </c>
      <c r="K627" s="19" t="inlineStr">
        <is>
          <t>hello@videoamp.com</t>
        </is>
      </c>
      <c r="L627" s="20" t="inlineStr">
        <is>
          <t>+1 (949) 294-0351</t>
        </is>
      </c>
      <c r="M627" s="21" t="inlineStr">
        <is>
          <t>Dave Gullo</t>
        </is>
      </c>
      <c r="N627" s="22" t="inlineStr">
        <is>
          <t>Co-Founder &amp; Chief Technology Officer</t>
        </is>
      </c>
      <c r="O627" s="23" t="inlineStr">
        <is>
          <t>dave@videoamp.com</t>
        </is>
      </c>
      <c r="P627" s="24" t="inlineStr">
        <is>
          <t>+1 (949) 294-0351</t>
        </is>
      </c>
      <c r="Q627" s="25" t="n">
        <v>2014.0</v>
      </c>
      <c r="R627" s="113">
        <f>HYPERLINK("https://my.pitchbook.com?c=100373-50", "View company online")</f>
      </c>
    </row>
    <row r="628">
      <c r="A628" s="27" t="inlineStr">
        <is>
          <t>162129-52</t>
        </is>
      </c>
      <c r="B628" s="28" t="inlineStr">
        <is>
          <t>Video Intelligence</t>
        </is>
      </c>
      <c r="C628" s="29" t="inlineStr">
        <is>
          <t>8008</t>
        </is>
      </c>
      <c r="D628" s="30" t="inlineStr">
        <is>
          <t>Operator of a predictive mobile marketing platform. The company, through its deep machine learning and behavior-based targeting, helps brand and performance marketers to deliver mobile marketing content to its target users.</t>
        </is>
      </c>
      <c r="E628" s="31" t="inlineStr">
        <is>
          <t>Media and Information Services (B2B)</t>
        </is>
      </c>
      <c r="F628" s="32" t="inlineStr">
        <is>
          <t>Zurich, Switzerland</t>
        </is>
      </c>
      <c r="G628" s="33" t="inlineStr">
        <is>
          <t>Privately Held (backing)</t>
        </is>
      </c>
      <c r="H628" s="34" t="inlineStr">
        <is>
          <t>Venture Capital-Backed</t>
        </is>
      </c>
      <c r="I628" s="35" t="inlineStr">
        <is>
          <t>Creathor Venture</t>
        </is>
      </c>
      <c r="J628" s="36" t="inlineStr">
        <is>
          <t>www.vi.ai</t>
        </is>
      </c>
      <c r="K628" s="37" t="inlineStr">
        <is>
          <t>ldn@vi.ai</t>
        </is>
      </c>
      <c r="L628" s="38" t="inlineStr">
        <is>
          <t>+41 (0)44 565 2000</t>
        </is>
      </c>
      <c r="M628" s="39" t="inlineStr">
        <is>
          <t>Kai Henniges</t>
        </is>
      </c>
      <c r="N628" s="40" t="inlineStr">
        <is>
          <t>Co-Founder &amp; Chief Executive Officer</t>
        </is>
      </c>
      <c r="O628" s="41" t="inlineStr">
        <is>
          <t>kh@vi.ai</t>
        </is>
      </c>
      <c r="P628" s="42" t="inlineStr">
        <is>
          <t>+41 (0)44 565 2000</t>
        </is>
      </c>
      <c r="Q628" s="43" t="n">
        <v>2016.0</v>
      </c>
      <c r="R628" s="114">
        <f>HYPERLINK("https://my.pitchbook.com?c=162129-52", "View company online")</f>
      </c>
    </row>
    <row r="629">
      <c r="A629" s="9" t="inlineStr">
        <is>
          <t>89570-98</t>
        </is>
      </c>
      <c r="B629" s="10" t="inlineStr">
        <is>
          <t>Viddyad</t>
        </is>
      </c>
      <c r="C629" s="11" t="inlineStr">
        <is>
          <t>4</t>
        </is>
      </c>
      <c r="D629" s="12" t="inlineStr">
        <is>
          <t>Provider of advertisement creation and distribution platform. The company offers a platform that enables businesses to create and publish their own video advertisements online.</t>
        </is>
      </c>
      <c r="E629" s="13" t="inlineStr">
        <is>
          <t>Media and Information Services (B2B)</t>
        </is>
      </c>
      <c r="F629" s="14" t="inlineStr">
        <is>
          <t>Dublin, Ireland</t>
        </is>
      </c>
      <c r="G629" s="15" t="inlineStr">
        <is>
          <t>Privately Held (backing)</t>
        </is>
      </c>
      <c r="H629" s="16" t="inlineStr">
        <is>
          <t>Venture Capital-Backed</t>
        </is>
      </c>
      <c r="I629" s="17" t="inlineStr">
        <is>
          <t>Enterprise Ireland, SXSW Accelerator</t>
        </is>
      </c>
      <c r="J629" s="18" t="inlineStr">
        <is>
          <t>www.viddyad.com</t>
        </is>
      </c>
      <c r="K629" s="19" t="inlineStr">
        <is>
          <t>info@viddyad.com</t>
        </is>
      </c>
      <c r="L629" s="20" t="inlineStr">
        <is>
          <t/>
        </is>
      </c>
      <c r="M629" s="21" t="inlineStr">
        <is>
          <t>Grainne Barron</t>
        </is>
      </c>
      <c r="N629" s="22" t="inlineStr">
        <is>
          <t>Chief Executive Officer, Co-Founder &amp; Board Member</t>
        </is>
      </c>
      <c r="O629" s="23" t="inlineStr">
        <is>
          <t>grainne.barron@viddyad.com</t>
        </is>
      </c>
      <c r="P629" s="24" t="inlineStr">
        <is>
          <t/>
        </is>
      </c>
      <c r="Q629" s="25" t="n">
        <v>2013.0</v>
      </c>
      <c r="R629" s="113">
        <f>HYPERLINK("https://my.pitchbook.com?c=89570-98", "View company online")</f>
      </c>
    </row>
    <row r="630">
      <c r="A630" s="27" t="inlineStr">
        <is>
          <t>52915-69</t>
        </is>
      </c>
      <c r="B630" s="28" t="inlineStr">
        <is>
          <t>Vidder</t>
        </is>
      </c>
      <c r="C630" s="29" t="inlineStr">
        <is>
          <t>95008</t>
        </is>
      </c>
      <c r="D630" s="30" t="inlineStr">
        <is>
          <t>Provider of a software for custom security services. The company designs and aids in the deployment of custom security software for enterprises, large industrial organizations and government agencies.</t>
        </is>
      </c>
      <c r="E630" s="31" t="inlineStr">
        <is>
          <t>Network Management Software</t>
        </is>
      </c>
      <c r="F630" s="32" t="inlineStr">
        <is>
          <t>Campbell, CA</t>
        </is>
      </c>
      <c r="G630" s="33" t="inlineStr">
        <is>
          <t>Privately Held (backing)</t>
        </is>
      </c>
      <c r="H630" s="34" t="inlineStr">
        <is>
          <t>Venture Capital-Backed</t>
        </is>
      </c>
      <c r="I630" s="35" t="inlineStr">
        <is>
          <t>Envision Ventures, LDV Partners, ONSET Ventures, Presidio Ventures, Voyager Capital</t>
        </is>
      </c>
      <c r="J630" s="36" t="inlineStr">
        <is>
          <t>www.vidder.com</t>
        </is>
      </c>
      <c r="K630" s="37" t="inlineStr">
        <is>
          <t>info@vidder.com</t>
        </is>
      </c>
      <c r="L630" s="38" t="inlineStr">
        <is>
          <t>+1 (408) 418-0440</t>
        </is>
      </c>
      <c r="M630" s="39" t="inlineStr">
        <is>
          <t>Mark Hoover</t>
        </is>
      </c>
      <c r="N630" s="40" t="inlineStr">
        <is>
          <t>Board Member &amp; Chief Executive Officer</t>
        </is>
      </c>
      <c r="O630" s="41" t="inlineStr">
        <is>
          <t>mark@vidder.com</t>
        </is>
      </c>
      <c r="P630" s="42" t="inlineStr">
        <is>
          <t>+1 (408) 418-0440</t>
        </is>
      </c>
      <c r="Q630" s="43" t="n">
        <v>2009.0</v>
      </c>
      <c r="R630" s="114">
        <f>HYPERLINK("https://my.pitchbook.com?c=52915-69", "View company online")</f>
      </c>
    </row>
    <row r="631">
      <c r="A631" s="9" t="inlineStr">
        <is>
          <t>103387-06</t>
        </is>
      </c>
      <c r="B631" s="10" t="inlineStr">
        <is>
          <t>Vida Systems</t>
        </is>
      </c>
      <c r="C631" s="11" t="inlineStr">
        <is>
          <t>94040</t>
        </is>
      </c>
      <c r="D631" s="12" t="inlineStr">
        <is>
          <t>Provider of an application for anatomy and physiology education. The company offers an online science-teaching platform that uses 3D graphics, social media integration and game-based learning to educate college students in human anatomy and physiology.</t>
        </is>
      </c>
      <c r="E631" s="13" t="inlineStr">
        <is>
          <t>Application Software</t>
        </is>
      </c>
      <c r="F631" s="14" t="inlineStr">
        <is>
          <t>Mountain View, CA</t>
        </is>
      </c>
      <c r="G631" s="15" t="inlineStr">
        <is>
          <t>Privately Held (backing)</t>
        </is>
      </c>
      <c r="H631" s="16" t="inlineStr">
        <is>
          <t>Venture Capital-Backed</t>
        </is>
      </c>
      <c r="I631" s="17" t="inlineStr">
        <is>
          <t>Fogarty Institute for Innovation, J&amp;J COSAT, Lane Melchor, Randy Martin, Tallwave Capital</t>
        </is>
      </c>
      <c r="J631" s="18" t="inlineStr">
        <is>
          <t>www.vidasystems.com</t>
        </is>
      </c>
      <c r="K631" s="19" t="inlineStr">
        <is>
          <t/>
        </is>
      </c>
      <c r="L631" s="20" t="inlineStr">
        <is>
          <t>+1 (650) 743-9889</t>
        </is>
      </c>
      <c r="M631" s="21" t="inlineStr">
        <is>
          <t>Jill Wilson</t>
        </is>
      </c>
      <c r="N631" s="22" t="inlineStr">
        <is>
          <t>Co-Founder, Chief Operating Officer, Chief Financial Officer, Chief Executive Officer &amp; Board Member</t>
        </is>
      </c>
      <c r="O631" s="23" t="inlineStr">
        <is>
          <t>jpw@vidasystems.com</t>
        </is>
      </c>
      <c r="P631" s="24" t="inlineStr">
        <is>
          <t>+1 (650) 743-9889</t>
        </is>
      </c>
      <c r="Q631" s="25" t="n">
        <v>2011.0</v>
      </c>
      <c r="R631" s="113">
        <f>HYPERLINK("https://my.pitchbook.com?c=103387-06", "View company online")</f>
      </c>
    </row>
    <row r="632">
      <c r="A632" s="27" t="inlineStr">
        <is>
          <t>98895-34</t>
        </is>
      </c>
      <c r="B632" s="28" t="inlineStr">
        <is>
          <t>Vida Health</t>
        </is>
      </c>
      <c r="C632" s="29" t="inlineStr">
        <is>
          <t/>
        </is>
      </c>
      <c r="D632" s="30" t="inlineStr">
        <is>
          <t>Developer of a mobile health coaching application. The company offers a healthcare application which pairs its users with health coaches to provide support and accountability, as well as addressing chronic health conditions.</t>
        </is>
      </c>
      <c r="E632" s="31" t="inlineStr">
        <is>
          <t>Application Software</t>
        </is>
      </c>
      <c r="F632" s="32" t="inlineStr">
        <is>
          <t>San Francisco, CA</t>
        </is>
      </c>
      <c r="G632" s="33" t="inlineStr">
        <is>
          <t>Privately Held (backing)</t>
        </is>
      </c>
      <c r="H632" s="34" t="inlineStr">
        <is>
          <t>Venture Capital-Backed</t>
        </is>
      </c>
      <c r="I632" s="35" t="inlineStr">
        <is>
          <t>AME Cloud Ventures, Aspect Venture Partners, Canvas Venture Fund, Individual Investor, Jerry Yang, Kevin Scott, Khosla Ventures, Lorrie Norrington, Maynard Webb, Nokia Growth Partners, Oxeon Partners, Plug and Play Tech Center, Signia Venture Partners, Skip Battle, StartX, The Valley Fund, Webb Investment Network</t>
        </is>
      </c>
      <c r="J632" s="36" t="inlineStr">
        <is>
          <t>www.vida.com</t>
        </is>
      </c>
      <c r="K632" s="37" t="inlineStr">
        <is>
          <t/>
        </is>
      </c>
      <c r="L632" s="38" t="inlineStr">
        <is>
          <t/>
        </is>
      </c>
      <c r="M632" s="39" t="inlineStr">
        <is>
          <t>Stephanie Tilenius</t>
        </is>
      </c>
      <c r="N632" s="40" t="inlineStr">
        <is>
          <t>Co-Founder &amp; Chief Executive Officer</t>
        </is>
      </c>
      <c r="O632" s="41" t="inlineStr">
        <is>
          <t>stephanie@vida.com</t>
        </is>
      </c>
      <c r="P632" s="42" t="inlineStr">
        <is>
          <t/>
        </is>
      </c>
      <c r="Q632" s="43" t="n">
        <v>2014.0</v>
      </c>
      <c r="R632" s="114">
        <f>HYPERLINK("https://my.pitchbook.com?c=98895-34", "View company online")</f>
      </c>
    </row>
    <row r="633">
      <c r="A633" s="9" t="inlineStr">
        <is>
          <t>99393-22</t>
        </is>
      </c>
      <c r="B633" s="10" t="inlineStr">
        <is>
          <t>VIDA</t>
        </is>
      </c>
      <c r="C633" s="11" t="inlineStr">
        <is>
          <t>94109</t>
        </is>
      </c>
      <c r="D633" s="12" t="inlineStr">
        <is>
          <t>Developer of an e-commerce platform designed to bridge the gap between designers, artists, producers and consumers. The company provides a global e-commerce platform that unites socially responsible shopping with a manufacturing model, enabling shoppers to discover artists from all disciplines, including painters, photographers, graphic designers, sculptors, architects, textile artists, and print designers located across the globe.</t>
        </is>
      </c>
      <c r="E633" s="13" t="inlineStr">
        <is>
          <t>Internet Retail</t>
        </is>
      </c>
      <c r="F633" s="14" t="inlineStr">
        <is>
          <t>San Francisco, CA</t>
        </is>
      </c>
      <c r="G633" s="15" t="inlineStr">
        <is>
          <t>Privately Held (backing)</t>
        </is>
      </c>
      <c r="H633" s="16" t="inlineStr">
        <is>
          <t>Venture Capital-Backed</t>
        </is>
      </c>
      <c r="I633" s="17" t="inlineStr">
        <is>
          <t>Azure Capital Partners, Beehive Holdings, GV, HOF Capital (New York), Indicator Ventures, Individual Investor, Jesse Draper, Old City Investment Partners, Othman Laraki, Slow Ventures, The Angels' Forum, The Valley Fund, Universal Music Group, Zuhair Fayez Partnership Consultants</t>
        </is>
      </c>
      <c r="J633" s="18" t="inlineStr">
        <is>
          <t>www.shopvida.com</t>
        </is>
      </c>
      <c r="K633" s="19" t="inlineStr">
        <is>
          <t>hi@shopvida.com</t>
        </is>
      </c>
      <c r="L633" s="20" t="inlineStr">
        <is>
          <t/>
        </is>
      </c>
      <c r="M633" s="21" t="inlineStr">
        <is>
          <t>Umaimah Mendhro</t>
        </is>
      </c>
      <c r="N633" s="22" t="inlineStr">
        <is>
          <t>Co-Founder &amp; Chief Executive Officer</t>
        </is>
      </c>
      <c r="O633" s="23" t="inlineStr">
        <is>
          <t>umaimah@shopvida.com</t>
        </is>
      </c>
      <c r="P633" s="24" t="inlineStr">
        <is>
          <t/>
        </is>
      </c>
      <c r="Q633" s="25" t="n">
        <v>2014.0</v>
      </c>
      <c r="R633" s="113">
        <f>HYPERLINK("https://my.pitchbook.com?c=99393-22", "View company online")</f>
      </c>
    </row>
    <row r="634">
      <c r="A634" s="27" t="inlineStr">
        <is>
          <t>58411-09</t>
        </is>
      </c>
      <c r="B634" s="28" t="inlineStr">
        <is>
          <t>Victorious</t>
        </is>
      </c>
      <c r="C634" s="29" t="inlineStr">
        <is>
          <t>90401</t>
        </is>
      </c>
      <c r="D634" s="30" t="inlineStr">
        <is>
          <t>Provider of a mobile platform that powers superfan apps for the world’s biggest creators. The company empowers creators to distribute all of their multimedia content in their own apps, interact more deeply and directly with their fan communities and unlock new revenue streams.</t>
        </is>
      </c>
      <c r="E634" s="31" t="inlineStr">
        <is>
          <t>Social/Platform Software</t>
        </is>
      </c>
      <c r="F634" s="32" t="inlineStr">
        <is>
          <t>Santa Monica, CA</t>
        </is>
      </c>
      <c r="G634" s="33" t="inlineStr">
        <is>
          <t>Privately Held (backing)</t>
        </is>
      </c>
      <c r="H634" s="34" t="inlineStr">
        <is>
          <t>Venture Capital-Backed</t>
        </is>
      </c>
      <c r="I634" s="35" t="inlineStr">
        <is>
          <t>Advancit Capital, A-Grade Investments, Bertelsmann Digital Media Investments, Canaan Partners, Christopher Sacca, Dentsu Ventures, Freelands Ventures, InterWest Partners, Karlin Ventures, Kleiner Perkins Caufield &amp; Byers, Lowercase Capital, Marker, Mucker Capital, Redpoint Ventures, United Talent Agency, William Morris Endeavor Entertainment</t>
        </is>
      </c>
      <c r="J634" s="36" t="inlineStr">
        <is>
          <t>www.victorious.com</t>
        </is>
      </c>
      <c r="K634" s="37" t="inlineStr">
        <is>
          <t/>
        </is>
      </c>
      <c r="L634" s="38" t="inlineStr">
        <is>
          <t>+1 (323) 696-2080</t>
        </is>
      </c>
      <c r="M634" s="39" t="inlineStr">
        <is>
          <t>Samuel Rogoway</t>
        </is>
      </c>
      <c r="N634" s="40" t="inlineStr">
        <is>
          <t>Co-Founder, Chief Executive Officer &amp; President</t>
        </is>
      </c>
      <c r="O634" s="41" t="inlineStr">
        <is>
          <t>sam@getvictorious.com</t>
        </is>
      </c>
      <c r="P634" s="42" t="inlineStr">
        <is>
          <t>+1 (323) 696-2080</t>
        </is>
      </c>
      <c r="Q634" s="43" t="n">
        <v>2013.0</v>
      </c>
      <c r="R634" s="114">
        <f>HYPERLINK("https://my.pitchbook.com?c=58411-09", "View company online")</f>
      </c>
    </row>
    <row r="635">
      <c r="A635" s="9" t="inlineStr">
        <is>
          <t>61175-80</t>
        </is>
      </c>
      <c r="B635" s="10" t="inlineStr">
        <is>
          <t>Victor</t>
        </is>
      </c>
      <c r="C635" s="11" t="inlineStr">
        <is>
          <t>SW3 3DD</t>
        </is>
      </c>
      <c r="D635" s="12" t="inlineStr">
        <is>
          <t>Provider of an on-demand private jet charter service intended to make comparing, booking, and managing private jet charters easier than ever before. The company's service offers full transparency and information via its smartphone application, providing customers with safety information, aircraft photos, price estimates, and in-flight management at a tap of the finger.</t>
        </is>
      </c>
      <c r="E635" s="13" t="inlineStr">
        <is>
          <t>Air</t>
        </is>
      </c>
      <c r="F635" s="14" t="inlineStr">
        <is>
          <t>London, United Kingdom</t>
        </is>
      </c>
      <c r="G635" s="15" t="inlineStr">
        <is>
          <t>Privately Held (backing)</t>
        </is>
      </c>
      <c r="H635" s="16" t="inlineStr">
        <is>
          <t>Venture Capital-Backed</t>
        </is>
      </c>
      <c r="I635" s="17" t="inlineStr">
        <is>
          <t>Andrew Pisker, GR Capital, Tim Richards</t>
        </is>
      </c>
      <c r="J635" s="18" t="inlineStr">
        <is>
          <t>www.flyvictor.com</t>
        </is>
      </c>
      <c r="K635" s="19" t="inlineStr">
        <is>
          <t>info@flyvictor.com</t>
        </is>
      </c>
      <c r="L635" s="20" t="inlineStr">
        <is>
          <t>+44 (0)20 7384 8550</t>
        </is>
      </c>
      <c r="M635" s="21" t="inlineStr">
        <is>
          <t>Dan Northover</t>
        </is>
      </c>
      <c r="N635" s="22" t="inlineStr">
        <is>
          <t>Chief Marketing Officer</t>
        </is>
      </c>
      <c r="O635" s="23" t="inlineStr">
        <is>
          <t>dan@flyvictor.com</t>
        </is>
      </c>
      <c r="P635" s="24" t="inlineStr">
        <is>
          <t>+44 (0)20 7384 8550</t>
        </is>
      </c>
      <c r="Q635" s="25" t="n">
        <v>2011.0</v>
      </c>
      <c r="R635" s="113">
        <f>HYPERLINK("https://my.pitchbook.com?c=61175-80", "View company online")</f>
      </c>
    </row>
    <row r="636">
      <c r="A636" s="27" t="inlineStr">
        <is>
          <t>167335-57</t>
        </is>
      </c>
      <c r="B636" s="28" t="inlineStr">
        <is>
          <t>Vicarious VR</t>
        </is>
      </c>
      <c r="C636" s="29" t="inlineStr">
        <is>
          <t>94105</t>
        </is>
      </c>
      <c r="D636" s="30" t="inlineStr">
        <is>
          <t>Provider of a social media platform for sharing virtual reality stories. The company's platform enables users to create and share snippets of their animated photos and videos on a social media through virtual reality platform.</t>
        </is>
      </c>
      <c r="E636" s="31" t="inlineStr">
        <is>
          <t>Social/Platform Software</t>
        </is>
      </c>
      <c r="F636" s="32" t="inlineStr">
        <is>
          <t>San Francisco, CA</t>
        </is>
      </c>
      <c r="G636" s="33" t="inlineStr">
        <is>
          <t>Privately Held (backing)</t>
        </is>
      </c>
      <c r="H636" s="34" t="inlineStr">
        <is>
          <t>Venture Capital-Backed</t>
        </is>
      </c>
      <c r="I636" s="35" t="inlineStr">
        <is>
          <t>Maveron, Virtual Reality Investments</t>
        </is>
      </c>
      <c r="J636" s="36" t="inlineStr">
        <is>
          <t>www.vicariousvr.com</t>
        </is>
      </c>
      <c r="K636" s="37" t="inlineStr">
        <is>
          <t>info@vicariousvr.com</t>
        </is>
      </c>
      <c r="L636" s="38" t="inlineStr">
        <is>
          <t>+1 (415) 867-0687</t>
        </is>
      </c>
      <c r="M636" s="39" t="inlineStr">
        <is>
          <t>J Yujuico</t>
        </is>
      </c>
      <c r="N636" s="40" t="inlineStr">
        <is>
          <t>Co-Founder &amp; Chief Executive Officer</t>
        </is>
      </c>
      <c r="O636" s="41" t="inlineStr">
        <is>
          <t>jm@vicariousvr.com</t>
        </is>
      </c>
      <c r="P636" s="42" t="inlineStr">
        <is>
          <t>+1 (415) 867-0687</t>
        </is>
      </c>
      <c r="Q636" s="43" t="n">
        <v>2014.0</v>
      </c>
      <c r="R636" s="114">
        <f>HYPERLINK("https://my.pitchbook.com?c=167335-57", "View company online")</f>
      </c>
    </row>
    <row r="637">
      <c r="A637" s="9" t="inlineStr">
        <is>
          <t>51577-03</t>
        </is>
      </c>
      <c r="B637" s="10" t="inlineStr">
        <is>
          <t>Vicarious</t>
        </is>
      </c>
      <c r="C637" s="11" t="inlineStr">
        <is>
          <t>94034</t>
        </is>
      </c>
      <c r="D637" s="12" t="inlineStr">
        <is>
          <t>Developer of artificial intelligence (AI) algorithms designed to mimic the function of the human brain. The company's artificial intelligence (AI) algorithms is developing a unified algorithmic architecture to achieve human-level intelligence in vision, language and motor control and focuses on visual perception problems, such as recognition, segmentation and scene parsing, enabling businesses to use computers that have achieved human-level intelligence to work efficiently.</t>
        </is>
      </c>
      <c r="E637" s="13" t="inlineStr">
        <is>
          <t>Application Software</t>
        </is>
      </c>
      <c r="F637" s="14" t="inlineStr">
        <is>
          <t>Palo Alto, CA</t>
        </is>
      </c>
      <c r="G637" s="15" t="inlineStr">
        <is>
          <t>Privately Held (backing)</t>
        </is>
      </c>
      <c r="H637" s="16" t="inlineStr">
        <is>
          <t>Venture Capital-Backed</t>
        </is>
      </c>
      <c r="I637" s="17" t="inlineStr">
        <is>
          <t>Aaron Levie, ABB Technology Ventures, Adam D'Angelo, A-Grade Investments, AME Cloud Ventures, Anduin Ventures, Ashton Kutcher, Bezos Expeditions, Bryan Johnson, Data Collective, Derek Collison, Dustin Moskovitz, Elon Musk, Felicis Ventures, Formation 8, Founders Fund, Good Ventures, Individual Investor, Initialized Capital, Janus Friis, Jeffrey Bezos, Jerry Yang, Khosla Ventures, Marc Benioff, Mark Zuckerberg, Metaplanet Holdings, Open Field Capital, Orfin Ventures, OS Fund, Peter Diamandis, Peter Thiel, Presence Capital, Sam Altman, Samsung Venture Investment, Steve Brown, Vinod Khosla, Wipro Ventures, Y Combinator, Zarco Investment Group</t>
        </is>
      </c>
      <c r="J637" s="18" t="inlineStr">
        <is>
          <t>www.vicarious.com</t>
        </is>
      </c>
      <c r="K637" s="19" t="inlineStr">
        <is>
          <t>info@vicarious.com</t>
        </is>
      </c>
      <c r="L637" s="20" t="inlineStr">
        <is>
          <t>+1 (267) 625-5075</t>
        </is>
      </c>
      <c r="M637" s="21" t="inlineStr">
        <is>
          <t>David Phoenix</t>
        </is>
      </c>
      <c r="N637" s="22" t="inlineStr">
        <is>
          <t>Co-Founder, Board Member &amp; Chief Executive Officer</t>
        </is>
      </c>
      <c r="O637" s="23" t="inlineStr">
        <is>
          <t>scott@vicarious.com</t>
        </is>
      </c>
      <c r="P637" s="24" t="inlineStr">
        <is>
          <t>+1 (267) 625-5075</t>
        </is>
      </c>
      <c r="Q637" s="25" t="n">
        <v>2010.0</v>
      </c>
      <c r="R637" s="113">
        <f>HYPERLINK("https://my.pitchbook.com?c=51577-03", "View company online")</f>
      </c>
    </row>
    <row r="638">
      <c r="A638" s="27" t="inlineStr">
        <is>
          <t>13172-14</t>
        </is>
      </c>
      <c r="B638" s="28" t="inlineStr">
        <is>
          <t>Vibrant (Media)</t>
        </is>
      </c>
      <c r="C638" s="29" t="inlineStr">
        <is>
          <t>10022</t>
        </is>
      </c>
      <c r="D638" s="30" t="inlineStr">
        <is>
          <t>Provider of contextual and in-text advertising service designed to change advertising on the web by placing brand messaging within the content of the page. The company's contextual and in-text advertising platform offers services such as contextual online advertising, raising brand awareness, brand engagement, and driving qualified traffic, enabling advertisers and publishers to engage consumers with the content and connect with the brand.</t>
        </is>
      </c>
      <c r="E638" s="31" t="inlineStr">
        <is>
          <t>Business/Productivity Software</t>
        </is>
      </c>
      <c r="F638" s="32" t="inlineStr">
        <is>
          <t>New York, NY</t>
        </is>
      </c>
      <c r="G638" s="33" t="inlineStr">
        <is>
          <t>Privately Held (backing)</t>
        </is>
      </c>
      <c r="H638" s="34" t="inlineStr">
        <is>
          <t>Venture Capital-Backed</t>
        </is>
      </c>
      <c r="I638" s="35" t="inlineStr">
        <is>
          <t>BNP Paribas Fortis</t>
        </is>
      </c>
      <c r="J638" s="36" t="inlineStr">
        <is>
          <t>www.vibrantmedia.com</t>
        </is>
      </c>
      <c r="K638" s="37" t="inlineStr">
        <is>
          <t>info@vibrantmedia.com</t>
        </is>
      </c>
      <c r="L638" s="38" t="inlineStr">
        <is>
          <t>+1 (646) 312-6100</t>
        </is>
      </c>
      <c r="M638" s="39" t="inlineStr">
        <is>
          <t>Craig Gooding</t>
        </is>
      </c>
      <c r="N638" s="40" t="inlineStr">
        <is>
          <t>Co-Founder &amp; Executive Chairman</t>
        </is>
      </c>
      <c r="O638" s="41" t="inlineStr">
        <is>
          <t>craig.gooding@vibrantmedia.com</t>
        </is>
      </c>
      <c r="P638" s="42" t="inlineStr">
        <is>
          <t>+1 (646) 312-6100</t>
        </is>
      </c>
      <c r="Q638" s="43" t="n">
        <v>2000.0</v>
      </c>
      <c r="R638" s="114">
        <f>HYPERLINK("https://my.pitchbook.com?c=13172-14", "View company online")</f>
      </c>
    </row>
    <row r="639">
      <c r="A639" s="9" t="inlineStr">
        <is>
          <t>66035-98</t>
        </is>
      </c>
      <c r="B639" s="10" t="inlineStr">
        <is>
          <t>Vibrado Technologies</t>
        </is>
      </c>
      <c r="C639" s="11" t="inlineStr">
        <is>
          <t>94087</t>
        </is>
      </c>
      <c r="D639" s="12" t="inlineStr">
        <is>
          <t>Developer of sensor-embedded sports arm sleeves. The company develops a wearable technology arm sleeve that analyzes the shot performance of the basketball players to provide performance feedback.</t>
        </is>
      </c>
      <c r="E639" s="13" t="inlineStr">
        <is>
          <t>Recreational Goods</t>
        </is>
      </c>
      <c r="F639" s="14" t="inlineStr">
        <is>
          <t>Sunnyvale, CA</t>
        </is>
      </c>
      <c r="G639" s="15" t="inlineStr">
        <is>
          <t>Privately Held (backing)</t>
        </is>
      </c>
      <c r="H639" s="16" t="inlineStr">
        <is>
          <t>Venture Capital-Backed</t>
        </is>
      </c>
      <c r="I639" s="17" t="inlineStr">
        <is>
          <t>Khosla Ventures, Raja Bose</t>
        </is>
      </c>
      <c r="J639" s="18" t="inlineStr">
        <is>
          <t>www.vibradotech.com</t>
        </is>
      </c>
      <c r="K639" s="19" t="inlineStr">
        <is>
          <t/>
        </is>
      </c>
      <c r="L639" s="20" t="inlineStr">
        <is>
          <t>+1 (408) 598-2512</t>
        </is>
      </c>
      <c r="M639" s="21" t="inlineStr">
        <is>
          <t>Quinn Jacobson</t>
        </is>
      </c>
      <c r="N639" s="22" t="inlineStr">
        <is>
          <t>Chief Executive Officer, Board Member and Co-Founder</t>
        </is>
      </c>
      <c r="O639" s="23" t="inlineStr">
        <is>
          <t>quinn.jacobson@vibradotech.com</t>
        </is>
      </c>
      <c r="P639" s="24" t="inlineStr">
        <is>
          <t>+1 (408) 598-2512</t>
        </is>
      </c>
      <c r="Q639" s="25" t="n">
        <v>2012.0</v>
      </c>
      <c r="R639" s="113">
        <f>HYPERLINK("https://my.pitchbook.com?c=66035-98", "View company online")</f>
      </c>
    </row>
    <row r="640">
      <c r="A640" s="27" t="inlineStr">
        <is>
          <t>163662-58</t>
        </is>
      </c>
      <c r="B640" s="28" t="inlineStr">
        <is>
          <t>Vibes</t>
        </is>
      </c>
      <c r="C640" s="29" t="inlineStr">
        <is>
          <t>94114</t>
        </is>
      </c>
      <c r="D640" s="30" t="inlineStr">
        <is>
          <t>Developer of a video messaging mobile application designed to offer a a friendly virtual place to meet new people. The company's video messaging mobile application offers an online platform, an anonymous way to meet new people online and video messaging facilities, enabling users to chat, share and meet with new people.</t>
        </is>
      </c>
      <c r="E640" s="31" t="inlineStr">
        <is>
          <t>Communication Software</t>
        </is>
      </c>
      <c r="F640" s="32" t="inlineStr">
        <is>
          <t>San Francisco, CA</t>
        </is>
      </c>
      <c r="G640" s="33" t="inlineStr">
        <is>
          <t>Privately Held (backing)</t>
        </is>
      </c>
      <c r="H640" s="34" t="inlineStr">
        <is>
          <t>Venture Capital-Backed</t>
        </is>
      </c>
      <c r="I640" s="35" t="inlineStr">
        <is>
          <t>Designer Fund</t>
        </is>
      </c>
      <c r="J640" s="36" t="inlineStr">
        <is>
          <t>www.vibes.af</t>
        </is>
      </c>
      <c r="K640" s="37" t="inlineStr">
        <is>
          <t/>
        </is>
      </c>
      <c r="L640" s="38" t="inlineStr">
        <is>
          <t/>
        </is>
      </c>
      <c r="M640" s="39" t="inlineStr">
        <is>
          <t>Alexandre Roche</t>
        </is>
      </c>
      <c r="N640" s="40" t="inlineStr">
        <is>
          <t>Co-Founder</t>
        </is>
      </c>
      <c r="O640" s="41" t="inlineStr">
        <is>
          <t>alexandre@getrealtalk.com</t>
        </is>
      </c>
      <c r="P640" s="42" t="inlineStr">
        <is>
          <t/>
        </is>
      </c>
      <c r="Q640" s="43" t="n">
        <v>2015.0</v>
      </c>
      <c r="R640" s="114">
        <f>HYPERLINK("https://my.pitchbook.com?c=163662-58", "View company online")</f>
      </c>
    </row>
    <row r="641">
      <c r="A641" s="9" t="inlineStr">
        <is>
          <t>124946-65</t>
        </is>
      </c>
      <c r="B641" s="10" t="inlineStr">
        <is>
          <t>Viba Therapeutics</t>
        </is>
      </c>
      <c r="C641" s="11" t="inlineStr">
        <is>
          <t>94158</t>
        </is>
      </c>
      <c r="D641" s="12" t="inlineStr">
        <is>
          <t>Developer of monoclonal antibodies created to treat solid tumors. The company's monoclonal antibody, Viba mAbs, target a validated pathway which initiates and drives the progression and metastasis of numerous malignancies and effect substantial increases in overall survival and tumor regression as single-agent therapy in highly-stringent animal models of advanced cancer which is refractory to standard-of-care treatment.</t>
        </is>
      </c>
      <c r="E641" s="13" t="inlineStr">
        <is>
          <t>Other Healthcare Services</t>
        </is>
      </c>
      <c r="F641" s="14" t="inlineStr">
        <is>
          <t>San Francisco, CA</t>
        </is>
      </c>
      <c r="G641" s="15" t="inlineStr">
        <is>
          <t>Privately Held (backing)</t>
        </is>
      </c>
      <c r="H641" s="16" t="inlineStr">
        <is>
          <t>Venture Capital-Backed</t>
        </is>
      </c>
      <c r="I641" s="17" t="inlineStr">
        <is>
          <t>Potrero Hill Therapeutics, RiverVest Venture Partners</t>
        </is>
      </c>
      <c r="J641" s="18" t="inlineStr">
        <is>
          <t/>
        </is>
      </c>
      <c r="K641" s="19" t="inlineStr">
        <is>
          <t/>
        </is>
      </c>
      <c r="L641" s="20" t="inlineStr">
        <is>
          <t/>
        </is>
      </c>
      <c r="M641" s="21" t="inlineStr">
        <is>
          <t/>
        </is>
      </c>
      <c r="N641" s="22" t="inlineStr">
        <is>
          <t/>
        </is>
      </c>
      <c r="O641" s="23" t="inlineStr">
        <is>
          <t/>
        </is>
      </c>
      <c r="P641" s="24" t="inlineStr">
        <is>
          <t/>
        </is>
      </c>
      <c r="Q641" s="25" t="n">
        <v>2016.0</v>
      </c>
      <c r="R641" s="113">
        <f>HYPERLINK("https://my.pitchbook.com?c=124946-65", "View company online")</f>
      </c>
    </row>
    <row r="642">
      <c r="A642" s="27" t="inlineStr">
        <is>
          <t>108688-60</t>
        </is>
      </c>
      <c r="B642" s="28" t="inlineStr">
        <is>
          <t>Viakoo</t>
        </is>
      </c>
      <c r="C642" s="29" t="inlineStr">
        <is>
          <t>94043</t>
        </is>
      </c>
      <c r="D642" s="30" t="inlineStr">
        <is>
          <t>Developer of a service assurance software application for IoT applications. The company provides software and services for management of internet protocol video network infrastructure and provides facilities such as remote sensing, dashboard status and to discover maps and instruments. The company's software focuses on physical security systems including video surveillance and building access control. The company features an SaaS business model hosted on user sites from the cloud.</t>
        </is>
      </c>
      <c r="E642" s="31" t="inlineStr">
        <is>
          <t>Network Management Software</t>
        </is>
      </c>
      <c r="F642" s="32" t="inlineStr">
        <is>
          <t>Mountain View, CA</t>
        </is>
      </c>
      <c r="G642" s="33" t="inlineStr">
        <is>
          <t>Privately Held (backing)</t>
        </is>
      </c>
      <c r="H642" s="34" t="inlineStr">
        <is>
          <t>Venture Capital-Backed</t>
        </is>
      </c>
      <c r="I642" s="35" t="inlineStr">
        <is>
          <t>Keiretsu Capital, Keiretsu Forum, PivotNorth Capital</t>
        </is>
      </c>
      <c r="J642" s="36" t="inlineStr">
        <is>
          <t>www.viakoo.com</t>
        </is>
      </c>
      <c r="K642" s="37" t="inlineStr">
        <is>
          <t>info@viakoo.com</t>
        </is>
      </c>
      <c r="L642" s="38" t="inlineStr">
        <is>
          <t>+1 (855) 858-3400</t>
        </is>
      </c>
      <c r="M642" s="39" t="inlineStr">
        <is>
          <t>Bud Broomhead</t>
        </is>
      </c>
      <c r="N642" s="40" t="inlineStr">
        <is>
          <t>Co-Founder, Chief Executive Officer &amp; Board Member</t>
        </is>
      </c>
      <c r="O642" s="41" t="inlineStr">
        <is>
          <t>bud.broomhead@viakoo.com</t>
        </is>
      </c>
      <c r="P642" s="42" t="inlineStr">
        <is>
          <t>+1 (855) 858-3400</t>
        </is>
      </c>
      <c r="Q642" s="43" t="n">
        <v>2013.0</v>
      </c>
      <c r="R642" s="114">
        <f>HYPERLINK("https://my.pitchbook.com?c=108688-60", "View company online")</f>
      </c>
    </row>
    <row r="643">
      <c r="A643" s="9" t="inlineStr">
        <is>
          <t>53785-27</t>
        </is>
      </c>
      <c r="B643" s="10" t="inlineStr">
        <is>
          <t>ViaCyte</t>
        </is>
      </c>
      <c r="C643" s="11" t="inlineStr">
        <is>
          <t>92121</t>
        </is>
      </c>
      <c r="D643" s="12" t="inlineStr">
        <is>
          <t>Developer of cell and drug therapies intended to treat diabetes and other chronic diseases. The company's cell and drug therapies are based on the differentiation of stem cells into pancreatic beta cell precursors, with subcutaneous implantation in a retrievable and immune-protective encapsulation medical device, enabling patients to control type 1 and type 2 blood glucose levels.</t>
        </is>
      </c>
      <c r="E643" s="13" t="inlineStr">
        <is>
          <t>Drug Discovery</t>
        </is>
      </c>
      <c r="F643" s="14" t="inlineStr">
        <is>
          <t>San Diego, CA</t>
        </is>
      </c>
      <c r="G643" s="15" t="inlineStr">
        <is>
          <t>Privately Held (backing)</t>
        </is>
      </c>
      <c r="H643" s="16" t="inlineStr">
        <is>
          <t>Venture Capital-Backed</t>
        </is>
      </c>
      <c r="I643" s="17" t="inlineStr">
        <is>
          <t>Alloy Ventures, AMA98 ventures, Asset Management Ventures, BD Ventures, Beyond Type 1, Bresa Gen 1, Business Development Bank of Canada, California Institute for Regenerative Medicine, Community Investment, Draper Fisher Jurvetson Portage, Gore, Hospira, Johnson &amp; Johnson Innovation - JJDC, Juvenile Diabetes Research Foundation, Oakwood Medical Investors, Pacific Horizon Ventures, Sanderling Ventures, Surmodics, The Clayton Foundation, The Vertical Group, Western Technology Investment</t>
        </is>
      </c>
      <c r="J643" s="18" t="inlineStr">
        <is>
          <t>www.viacyte.com</t>
        </is>
      </c>
      <c r="K643" s="19" t="inlineStr">
        <is>
          <t>info@viacyte.com</t>
        </is>
      </c>
      <c r="L643" s="20" t="inlineStr">
        <is>
          <t>+1 (858) 455-3708</t>
        </is>
      </c>
      <c r="M643" s="21" t="inlineStr">
        <is>
          <t>Paul Laikind</t>
        </is>
      </c>
      <c r="N643" s="22" t="inlineStr">
        <is>
          <t>Chief Executive Officer, President &amp; Board Member</t>
        </is>
      </c>
      <c r="O643" s="23" t="inlineStr">
        <is>
          <t>paul@viacyte.com</t>
        </is>
      </c>
      <c r="P643" s="24" t="inlineStr">
        <is>
          <t>+1 (858) 455-3708</t>
        </is>
      </c>
      <c r="Q643" s="25" t="n">
        <v>1999.0</v>
      </c>
      <c r="R643" s="113">
        <f>HYPERLINK("https://my.pitchbook.com?c=53785-27", "View company online")</f>
      </c>
    </row>
    <row r="644">
      <c r="A644" s="27" t="inlineStr">
        <is>
          <t>173817-19</t>
        </is>
      </c>
      <c r="B644" s="28" t="inlineStr">
        <is>
          <t>ViaChange.com</t>
        </is>
      </c>
      <c r="C644" s="86">
        <f>HYPERLINK("https://my.pitchbook.com?rrp=173817-19&amp;type=c", "This Company's information is not available to download. Need this Company? Request availability")</f>
      </c>
      <c r="D644" s="30" t="inlineStr">
        <is>
          <t/>
        </is>
      </c>
      <c r="E644" s="31" t="inlineStr">
        <is>
          <t/>
        </is>
      </c>
      <c r="F644" s="32" t="inlineStr">
        <is>
          <t/>
        </is>
      </c>
      <c r="G644" s="33" t="inlineStr">
        <is>
          <t/>
        </is>
      </c>
      <c r="H644" s="34" t="inlineStr">
        <is>
          <t/>
        </is>
      </c>
      <c r="I644" s="35" t="inlineStr">
        <is>
          <t/>
        </is>
      </c>
      <c r="J644" s="36" t="inlineStr">
        <is>
          <t/>
        </is>
      </c>
      <c r="K644" s="37" t="inlineStr">
        <is>
          <t/>
        </is>
      </c>
      <c r="L644" s="38" t="inlineStr">
        <is>
          <t/>
        </is>
      </c>
      <c r="M644" s="39" t="inlineStr">
        <is>
          <t/>
        </is>
      </c>
      <c r="N644" s="40" t="inlineStr">
        <is>
          <t/>
        </is>
      </c>
      <c r="O644" s="41" t="inlineStr">
        <is>
          <t/>
        </is>
      </c>
      <c r="P644" s="42" t="inlineStr">
        <is>
          <t/>
        </is>
      </c>
      <c r="Q644" s="43" t="inlineStr">
        <is>
          <t/>
        </is>
      </c>
      <c r="R644" s="44" t="inlineStr">
        <is>
          <t/>
        </is>
      </c>
    </row>
    <row r="645">
      <c r="A645" s="9" t="inlineStr">
        <is>
          <t>104765-50</t>
        </is>
      </c>
      <c r="B645" s="10" t="inlineStr">
        <is>
          <t>V-Grid Energy Systems</t>
        </is>
      </c>
      <c r="C645" s="11" t="inlineStr">
        <is>
          <t>93012</t>
        </is>
      </c>
      <c r="D645" s="12" t="inlineStr">
        <is>
          <t>Developer of equipment to produce low cost electricity. The company is focused on developing a distributed energy system, combining an automated micro-gasifier and a high compression genset.</t>
        </is>
      </c>
      <c r="E645" s="13" t="inlineStr">
        <is>
          <t>Energy Production</t>
        </is>
      </c>
      <c r="F645" s="14" t="inlineStr">
        <is>
          <t>Camarillo, CA</t>
        </is>
      </c>
      <c r="G645" s="15" t="inlineStr">
        <is>
          <t>Privately Held (backing)</t>
        </is>
      </c>
      <c r="H645" s="16" t="inlineStr">
        <is>
          <t>Venture Capital-Backed</t>
        </is>
      </c>
      <c r="I645" s="17" t="inlineStr">
        <is>
          <t>Constellation Technology Ventures, Cool Planet</t>
        </is>
      </c>
      <c r="J645" s="18" t="inlineStr">
        <is>
          <t>www.vgridenergy.com</t>
        </is>
      </c>
      <c r="K645" s="19" t="inlineStr">
        <is>
          <t>info@vgridenergy.com</t>
        </is>
      </c>
      <c r="L645" s="20" t="inlineStr">
        <is>
          <t/>
        </is>
      </c>
      <c r="M645" s="21" t="inlineStr">
        <is>
          <t>Mike Cheiky</t>
        </is>
      </c>
      <c r="N645" s="22" t="inlineStr">
        <is>
          <t>President</t>
        </is>
      </c>
      <c r="O645" s="23" t="inlineStr">
        <is>
          <t>mike.chelky@vgridenergy.com</t>
        </is>
      </c>
      <c r="P645" s="24" t="inlineStr">
        <is>
          <t/>
        </is>
      </c>
      <c r="Q645" s="25" t="n">
        <v>2013.0</v>
      </c>
      <c r="R645" s="113">
        <f>HYPERLINK("https://my.pitchbook.com?c=104765-50", "View company online")</f>
      </c>
    </row>
    <row r="646">
      <c r="A646" s="27" t="inlineStr">
        <is>
          <t>122869-81</t>
        </is>
      </c>
      <c r="B646" s="28" t="inlineStr">
        <is>
          <t>Vexata</t>
        </is>
      </c>
      <c r="C646" s="29" t="inlineStr">
        <is>
          <t>95110</t>
        </is>
      </c>
      <c r="D646" s="30" t="inlineStr">
        <is>
          <t>Developer of transformational data systems designed to help businesses to operate faster and smarter. The company's data systems eliminates the need to rewrite applications, adjust provisioning and performance knobs, add caching or memory grids or deal with complex monitoring and troubleshooting, enabling businesses to have unprecedented data velocity at massive scale.</t>
        </is>
      </c>
      <c r="E646" s="31" t="inlineStr">
        <is>
          <t>Database Software</t>
        </is>
      </c>
      <c r="F646" s="32" t="inlineStr">
        <is>
          <t>San Jose, CA</t>
        </is>
      </c>
      <c r="G646" s="33" t="inlineStr">
        <is>
          <t>Privately Held (backing)</t>
        </is>
      </c>
      <c r="H646" s="34" t="inlineStr">
        <is>
          <t>Venture Capital-Backed</t>
        </is>
      </c>
      <c r="I646" s="35" t="inlineStr">
        <is>
          <t>Intel Capital, Lightspeed Venture Partners, Mayfield Fund, Redline Capital Management</t>
        </is>
      </c>
      <c r="J646" s="36" t="inlineStr">
        <is>
          <t>www.vexata.com</t>
        </is>
      </c>
      <c r="K646" s="37" t="inlineStr">
        <is>
          <t>info@vexata.com</t>
        </is>
      </c>
      <c r="L646" s="38" t="inlineStr">
        <is>
          <t/>
        </is>
      </c>
      <c r="M646" s="39" t="inlineStr">
        <is>
          <t>Zahid Hussain</t>
        </is>
      </c>
      <c r="N646" s="40" t="inlineStr">
        <is>
          <t>Founder, President &amp; Chief Executive Officer</t>
        </is>
      </c>
      <c r="O646" s="41" t="inlineStr">
        <is>
          <t>zahid@vexata.com</t>
        </is>
      </c>
      <c r="P646" s="42" t="inlineStr">
        <is>
          <t/>
        </is>
      </c>
      <c r="Q646" s="43" t="n">
        <v>2013.0</v>
      </c>
      <c r="R646" s="114">
        <f>HYPERLINK("https://my.pitchbook.com?c=122869-81", "View company online")</f>
      </c>
    </row>
    <row r="647">
      <c r="A647" s="9" t="inlineStr">
        <is>
          <t>58285-54</t>
        </is>
      </c>
      <c r="B647" s="10" t="inlineStr">
        <is>
          <t>Vetted</t>
        </is>
      </c>
      <c r="C647" s="11" t="inlineStr">
        <is>
          <t>94303</t>
        </is>
      </c>
      <c r="D647" s="12" t="inlineStr">
        <is>
          <t>Provider of a vendor collaboration platform. The company provides a vendor collaboration platform that automates supplier management for large enterprises, enabling faster vendor onboarding with configurable workflows, automation of risk and compliance via integrations with business data sources and vendor discovery and competition via a searchable knowledge base.</t>
        </is>
      </c>
      <c r="E647" s="13" t="inlineStr">
        <is>
          <t>Social/Platform Software</t>
        </is>
      </c>
      <c r="F647" s="14" t="inlineStr">
        <is>
          <t>Palo Alto, CA</t>
        </is>
      </c>
      <c r="G647" s="15" t="inlineStr">
        <is>
          <t>Privately Held (backing)</t>
        </is>
      </c>
      <c r="H647" s="16" t="inlineStr">
        <is>
          <t>Venture Capital-Backed</t>
        </is>
      </c>
      <c r="I647" s="17" t="inlineStr">
        <is>
          <t>Kae Capital, Right Side Capital Management, Rudy Gadre, Techstars</t>
        </is>
      </c>
      <c r="J647" s="18" t="inlineStr">
        <is>
          <t>www.thevetted.com</t>
        </is>
      </c>
      <c r="K647" s="19" t="inlineStr">
        <is>
          <t/>
        </is>
      </c>
      <c r="L647" s="20" t="inlineStr">
        <is>
          <t>+1 (646) 207-3000</t>
        </is>
      </c>
      <c r="M647" s="21" t="inlineStr">
        <is>
          <t>Jagmeet Lamba</t>
        </is>
      </c>
      <c r="N647" s="22" t="inlineStr">
        <is>
          <t>Chief Executive Officer &amp; Co-Founder</t>
        </is>
      </c>
      <c r="O647" s="23" t="inlineStr">
        <is>
          <t>jl@thevetted.com</t>
        </is>
      </c>
      <c r="P647" s="24" t="inlineStr">
        <is>
          <t>+1 (646) 207-3000</t>
        </is>
      </c>
      <c r="Q647" s="25" t="n">
        <v>2013.0</v>
      </c>
      <c r="R647" s="113">
        <f>HYPERLINK("https://my.pitchbook.com?c=58285-54", "View company online")</f>
      </c>
    </row>
    <row r="648">
      <c r="A648" s="27" t="inlineStr">
        <is>
          <t>55590-49</t>
        </is>
      </c>
      <c r="B648" s="28" t="inlineStr">
        <is>
          <t>VetsinTech</t>
        </is>
      </c>
      <c r="C648" s="29" t="inlineStr">
        <is>
          <t>94107</t>
        </is>
      </c>
      <c r="D648" s="30" t="inlineStr">
        <is>
          <t>Provider of a platform to connect veterans returning from Iraq and Afghanistan with the technology ecosystem. The company provides a tech-specific network, resources and programs for veterans interested in education, entrepreneurship and employment.</t>
        </is>
      </c>
      <c r="E648" s="31" t="inlineStr">
        <is>
          <t>Information Services (B2C)</t>
        </is>
      </c>
      <c r="F648" s="32" t="inlineStr">
        <is>
          <t>San Francisco, CA</t>
        </is>
      </c>
      <c r="G648" s="33" t="inlineStr">
        <is>
          <t>Privately Held (backing)</t>
        </is>
      </c>
      <c r="H648" s="34" t="inlineStr">
        <is>
          <t>Venture Capital-Backed</t>
        </is>
      </c>
      <c r="I648" s="35" t="inlineStr">
        <is>
          <t>Andreessen Horowitz, Cisco Investments, Hewlett-Packard, Intuit, Salesforce Ventures</t>
        </is>
      </c>
      <c r="J648" s="36" t="inlineStr">
        <is>
          <t>www.vetsintech.co</t>
        </is>
      </c>
      <c r="K648" s="37" t="inlineStr">
        <is>
          <t/>
        </is>
      </c>
      <c r="L648" s="38" t="inlineStr">
        <is>
          <t/>
        </is>
      </c>
      <c r="M648" s="39" t="inlineStr">
        <is>
          <t>Katherine Webster</t>
        </is>
      </c>
      <c r="N648" s="40" t="inlineStr">
        <is>
          <t>Founder</t>
        </is>
      </c>
      <c r="O648" s="41" t="inlineStr">
        <is>
          <t>kwebster@vetsintech.co</t>
        </is>
      </c>
      <c r="P648" s="42" t="inlineStr">
        <is>
          <t/>
        </is>
      </c>
      <c r="Q648" s="43" t="n">
        <v>2012.0</v>
      </c>
      <c r="R648" s="114">
        <f>HYPERLINK("https://my.pitchbook.com?c=55590-49", "View company online")</f>
      </c>
    </row>
    <row r="649">
      <c r="A649" s="9" t="inlineStr">
        <is>
          <t>102992-68</t>
        </is>
      </c>
      <c r="B649" s="10" t="inlineStr">
        <is>
          <t>VetPronto</t>
        </is>
      </c>
      <c r="C649" s="11" t="inlineStr">
        <is>
          <t>94114</t>
        </is>
      </c>
      <c r="D649" s="12" t="inlineStr">
        <is>
          <t>Provider of an on-demand house call veterinary service. The company provides veterinary care at the owner's home, get them the treatments that they need, come up with comprehensive prevention plans, and provide access to their medical records.</t>
        </is>
      </c>
      <c r="E649" s="13" t="inlineStr">
        <is>
          <t>Other Services (B2C Non-Financial)</t>
        </is>
      </c>
      <c r="F649" s="14" t="inlineStr">
        <is>
          <t>San Francisco, CA</t>
        </is>
      </c>
      <c r="G649" s="15" t="inlineStr">
        <is>
          <t>Privately Held (backing)</t>
        </is>
      </c>
      <c r="H649" s="16" t="inlineStr">
        <is>
          <t>Venture Capital-Backed</t>
        </is>
      </c>
      <c r="I649" s="17" t="inlineStr">
        <is>
          <t>Benny Joseph, Catherine Chang, Cliff Hinrichs, Daniel Curran, FundersClub, Justin Darcy, MD Pham, Saad AlSogair, Shu Duan, Sohin Shah, Wei Guo, Y Combinator, Yusuke Asakura</t>
        </is>
      </c>
      <c r="J649" s="18" t="inlineStr">
        <is>
          <t>www.vetpronto.com</t>
        </is>
      </c>
      <c r="K649" s="19" t="inlineStr">
        <is>
          <t>info@vetpronto.com</t>
        </is>
      </c>
      <c r="L649" s="20" t="inlineStr">
        <is>
          <t>+1 (415) 401-9200</t>
        </is>
      </c>
      <c r="M649" s="21" t="inlineStr">
        <is>
          <t>Joe Waltman</t>
        </is>
      </c>
      <c r="N649" s="22" t="inlineStr">
        <is>
          <t>Co-Founder &amp; Chief Executive Officer</t>
        </is>
      </c>
      <c r="O649" s="23" t="inlineStr">
        <is>
          <t>joe@vetpronto.com</t>
        </is>
      </c>
      <c r="P649" s="24" t="inlineStr">
        <is>
          <t>+1 (415) 401-9200</t>
        </is>
      </c>
      <c r="Q649" s="25" t="n">
        <v>2014.0</v>
      </c>
      <c r="R649" s="113">
        <f>HYPERLINK("https://my.pitchbook.com?c=102992-68", "View company online")</f>
      </c>
    </row>
    <row r="650">
      <c r="A650" s="27" t="inlineStr">
        <is>
          <t>162123-85</t>
        </is>
      </c>
      <c r="B650" s="28" t="inlineStr">
        <is>
          <t>Vetica Labs</t>
        </is>
      </c>
      <c r="C650" s="29" t="inlineStr">
        <is>
          <t>92130</t>
        </is>
      </c>
      <c r="D650" s="30" t="inlineStr">
        <is>
          <t>Provider of biotechnology solutions. The company operates in the healthcare industry with a primary focus on biotechnology.</t>
        </is>
      </c>
      <c r="E650" s="31" t="inlineStr">
        <is>
          <t>Biotechnology</t>
        </is>
      </c>
      <c r="F650" s="32" t="inlineStr">
        <is>
          <t>San Diego, CA</t>
        </is>
      </c>
      <c r="G650" s="33" t="inlineStr">
        <is>
          <t>Privately Held (backing)</t>
        </is>
      </c>
      <c r="H650" s="34" t="inlineStr">
        <is>
          <t>Venture Capital-Backed</t>
        </is>
      </c>
      <c r="I650" s="35" t="inlineStr">
        <is>
          <t>Biobrit</t>
        </is>
      </c>
      <c r="J650" s="36" t="inlineStr">
        <is>
          <t/>
        </is>
      </c>
      <c r="K650" s="37" t="inlineStr">
        <is>
          <t/>
        </is>
      </c>
      <c r="L650" s="38" t="inlineStr">
        <is>
          <t>+1 (858) 909-0469</t>
        </is>
      </c>
      <c r="M650" s="39" t="inlineStr">
        <is>
          <t>Juan Estruch</t>
        </is>
      </c>
      <c r="N650" s="40" t="inlineStr">
        <is>
          <t>Founder &amp; Chief Executive Officer</t>
        </is>
      </c>
      <c r="O650" s="41" t="inlineStr">
        <is>
          <t/>
        </is>
      </c>
      <c r="P650" s="42" t="inlineStr">
        <is>
          <t>+1 (858) 909-0469</t>
        </is>
      </c>
      <c r="Q650" s="43" t="n">
        <v>2013.0</v>
      </c>
      <c r="R650" s="114">
        <f>HYPERLINK("https://my.pitchbook.com?c=162123-85", "View company online")</f>
      </c>
    </row>
    <row r="651">
      <c r="A651" s="9" t="inlineStr">
        <is>
          <t>59214-07</t>
        </is>
      </c>
      <c r="B651" s="10" t="inlineStr">
        <is>
          <t>Veterinary Diagnostics Institute</t>
        </is>
      </c>
      <c r="C651" s="11" t="inlineStr">
        <is>
          <t>93063</t>
        </is>
      </c>
      <c r="D651" s="12" t="inlineStr">
        <is>
          <t>Provider of veterinary reference laboratory services and in-house diagnostic products. The company focuses on research and development of biomarkers to assist veterinarians in the diagnostic workup of companion animals to detect and manage cancer and other infections in animals.</t>
        </is>
      </c>
      <c r="E651" s="13" t="inlineStr">
        <is>
          <t>Laboratory Services (Healthcare)</t>
        </is>
      </c>
      <c r="F651" s="14" t="inlineStr">
        <is>
          <t>Simi Valley, CA</t>
        </is>
      </c>
      <c r="G651" s="15" t="inlineStr">
        <is>
          <t>Privately Held (backing)</t>
        </is>
      </c>
      <c r="H651" s="16" t="inlineStr">
        <is>
          <t>Venture Capital-Backed</t>
        </is>
      </c>
      <c r="I651" s="17" t="inlineStr">
        <is>
          <t>Hunza Ventures</t>
        </is>
      </c>
      <c r="J651" s="18" t="inlineStr">
        <is>
          <t>www.vdilab.com</t>
        </is>
      </c>
      <c r="K651" s="19" t="inlineStr">
        <is>
          <t>wilsonk@vdilab.com</t>
        </is>
      </c>
      <c r="L651" s="20" t="inlineStr">
        <is>
          <t>+1 (805) 577-6742</t>
        </is>
      </c>
      <c r="M651" s="21" t="inlineStr">
        <is>
          <t>Lysa Stagnato</t>
        </is>
      </c>
      <c r="N651" s="22" t="inlineStr">
        <is>
          <t>Vice President, Finance and Operations</t>
        </is>
      </c>
      <c r="O651" s="23" t="inlineStr">
        <is>
          <t>stagnatol@vdilab.com</t>
        </is>
      </c>
      <c r="P651" s="24" t="inlineStr">
        <is>
          <t>+1 (805) 577-6742</t>
        </is>
      </c>
      <c r="Q651" s="25" t="n">
        <v>2006.0</v>
      </c>
      <c r="R651" s="113">
        <f>HYPERLINK("https://my.pitchbook.com?c=59214-07", "View company online")</f>
      </c>
    </row>
    <row r="652">
      <c r="A652" s="27" t="inlineStr">
        <is>
          <t>175317-22</t>
        </is>
      </c>
      <c r="B652" s="28" t="inlineStr">
        <is>
          <t>Very Good Security</t>
        </is>
      </c>
      <c r="C652" s="29" t="inlineStr">
        <is>
          <t>94107</t>
        </is>
      </c>
      <c r="D652" s="30" t="inlineStr">
        <is>
          <t>Provider of a data security platform intended to transfer data without any security breach. The company's data security platform offers services to payment platforms, medical records, big data, communication and secured forms by keeping the data safe without making any changes in the system, enabling the users to store their sensitive data and not worry about vendor data lock.</t>
        </is>
      </c>
      <c r="E652" s="31" t="inlineStr">
        <is>
          <t>Application Software</t>
        </is>
      </c>
      <c r="F652" s="32" t="inlineStr">
        <is>
          <t>San Francisco, CA</t>
        </is>
      </c>
      <c r="G652" s="33" t="inlineStr">
        <is>
          <t>Privately Held (backing)</t>
        </is>
      </c>
      <c r="H652" s="34" t="inlineStr">
        <is>
          <t>Venture Capital-Backed</t>
        </is>
      </c>
      <c r="I652" s="35" t="inlineStr">
        <is>
          <t>Graph Ventures, Social Capital, Vertex Ventures US</t>
        </is>
      </c>
      <c r="J652" s="36" t="inlineStr">
        <is>
          <t>www.verygoodsecurity.com</t>
        </is>
      </c>
      <c r="K652" s="37" t="inlineStr">
        <is>
          <t/>
        </is>
      </c>
      <c r="L652" s="38" t="inlineStr">
        <is>
          <t/>
        </is>
      </c>
      <c r="M652" s="39" t="inlineStr">
        <is>
          <t/>
        </is>
      </c>
      <c r="N652" s="40" t="inlineStr">
        <is>
          <t/>
        </is>
      </c>
      <c r="O652" s="41" t="inlineStr">
        <is>
          <t/>
        </is>
      </c>
      <c r="P652" s="42" t="inlineStr">
        <is>
          <t/>
        </is>
      </c>
      <c r="Q652" s="43" t="n">
        <v>2016.0</v>
      </c>
      <c r="R652" s="114">
        <f>HYPERLINK("https://my.pitchbook.com?c=175317-22", "View company online")</f>
      </c>
    </row>
    <row r="653">
      <c r="A653" s="9" t="inlineStr">
        <is>
          <t>51037-57</t>
        </is>
      </c>
      <c r="B653" s="10" t="inlineStr">
        <is>
          <t>Verve Wireless</t>
        </is>
      </c>
      <c r="C653" s="11" t="inlineStr">
        <is>
          <t>10003</t>
        </is>
      </c>
      <c r="D653" s="12" t="inlineStr">
        <is>
          <t>provider of location-powered mobile marketing technology designed to connect advertisers with consumers to deliver successful business outcomes. The company's mobile marketing platform's proprietary location intelligence, patented technology, premium inventory, and analytics capabilities empower marketers to identify, reach and engage consumers with compelling advertising experiences enabling advertisers, large and small, utilize the power of connecting with consumers on their devices in real time.</t>
        </is>
      </c>
      <c r="E653" s="13" t="inlineStr">
        <is>
          <t>Media and Information Services (B2B)</t>
        </is>
      </c>
      <c r="F653" s="14" t="inlineStr">
        <is>
          <t>New York, NY</t>
        </is>
      </c>
      <c r="G653" s="15" t="inlineStr">
        <is>
          <t>Privately Held (backing)</t>
        </is>
      </c>
      <c r="H653" s="16" t="inlineStr">
        <is>
          <t>Venture Capital-Backed</t>
        </is>
      </c>
      <c r="I653" s="17" t="inlineStr">
        <is>
          <t>Associated Press, BlueRun Ventures, Crosscut Ventures, Elevate Innovation Partners, Fenox Venture Capital, Fraser McCombs Capital, Iron Capital Partners, Ludlow Ventures, Nokia Growth Partners, Plug and Play Tech Center, Qualcomm Ventures</t>
        </is>
      </c>
      <c r="J653" s="18" t="inlineStr">
        <is>
          <t>www.verve.com</t>
        </is>
      </c>
      <c r="K653" s="19" t="inlineStr">
        <is>
          <t/>
        </is>
      </c>
      <c r="L653" s="20" t="inlineStr">
        <is>
          <t/>
        </is>
      </c>
      <c r="M653" s="21" t="inlineStr">
        <is>
          <t>John Fitzgerald</t>
        </is>
      </c>
      <c r="N653" s="22" t="inlineStr">
        <is>
          <t>Chief Financial Officer &amp; Chief Operating Officer</t>
        </is>
      </c>
      <c r="O653" s="23" t="inlineStr">
        <is>
          <t>john.fitzgerald@vervemobile.com</t>
        </is>
      </c>
      <c r="P653" s="24" t="inlineStr">
        <is>
          <t/>
        </is>
      </c>
      <c r="Q653" s="25" t="n">
        <v>2005.0</v>
      </c>
      <c r="R653" s="113">
        <f>HYPERLINK("https://my.pitchbook.com?c=51037-57", "View company online")</f>
      </c>
    </row>
    <row r="654">
      <c r="A654" s="27" t="inlineStr">
        <is>
          <t>53954-20</t>
        </is>
      </c>
      <c r="B654" s="28" t="inlineStr">
        <is>
          <t>Vertos Medical</t>
        </is>
      </c>
      <c r="C654" s="29" t="inlineStr">
        <is>
          <t>92656</t>
        </is>
      </c>
      <c r="D654" s="30" t="inlineStr">
        <is>
          <t>Developer of medical devices used for the treatment of common spinal diseases. The company provides mild surgical instruments that are used to perform lumbar decompressive procedures for the treatment of various spinal conditions and interventional devices that are used in the treatment of lumbar spinal stenosis.</t>
        </is>
      </c>
      <c r="E654" s="31" t="inlineStr">
        <is>
          <t>Therapeutic Devices</t>
        </is>
      </c>
      <c r="F654" s="32" t="inlineStr">
        <is>
          <t>Aliso Viejo, CA</t>
        </is>
      </c>
      <c r="G654" s="33" t="inlineStr">
        <is>
          <t>Privately Held (backing)</t>
        </is>
      </c>
      <c r="H654" s="34" t="inlineStr">
        <is>
          <t>Venture Capital-Backed</t>
        </is>
      </c>
      <c r="I654" s="35" t="inlineStr">
        <is>
          <t>Aweida Venture Partners, CHL Medical Partners, Foundation Medical Management, Mercury Fund, ONSET Ventures, Pitango Venture Capital, Revelation Partners</t>
        </is>
      </c>
      <c r="J654" s="36" t="inlineStr">
        <is>
          <t>www.vertosmed.com</t>
        </is>
      </c>
      <c r="K654" s="37" t="inlineStr">
        <is>
          <t/>
        </is>
      </c>
      <c r="L654" s="38" t="inlineStr">
        <is>
          <t>+1 (877) 958-6227</t>
        </is>
      </c>
      <c r="M654" s="39" t="inlineStr">
        <is>
          <t>Rebecca Colbert</t>
        </is>
      </c>
      <c r="N654" s="40" t="inlineStr">
        <is>
          <t>Chief Financial Officer &amp; Vice President, Finance</t>
        </is>
      </c>
      <c r="O654" s="41" t="inlineStr">
        <is>
          <t>rcolbert@vertosmed.com</t>
        </is>
      </c>
      <c r="P654" s="42" t="inlineStr">
        <is>
          <t>+1 (877) 958-6227</t>
        </is>
      </c>
      <c r="Q654" s="43" t="n">
        <v>2005.0</v>
      </c>
      <c r="R654" s="114">
        <f>HYPERLINK("https://my.pitchbook.com?c=53954-20", "View company online")</f>
      </c>
    </row>
    <row r="655">
      <c r="A655" s="9" t="inlineStr">
        <is>
          <t>109240-39</t>
        </is>
      </c>
      <c r="B655" s="10" t="inlineStr">
        <is>
          <t>Vertigo (San Fransisco)</t>
        </is>
      </c>
      <c r="C655" s="11" t="inlineStr">
        <is>
          <t/>
        </is>
      </c>
      <c r="D655" s="12" t="inlineStr">
        <is>
          <t>The company is currently operating in Stealth mode.</t>
        </is>
      </c>
      <c r="E655" s="13" t="inlineStr">
        <is>
          <t>Other Business Products and Services</t>
        </is>
      </c>
      <c r="F655" s="14" t="inlineStr">
        <is>
          <t>San Francisco, CA</t>
        </is>
      </c>
      <c r="G655" s="15" t="inlineStr">
        <is>
          <t>Privately Held (backing)</t>
        </is>
      </c>
      <c r="H655" s="16" t="inlineStr">
        <is>
          <t>Venture Capital-Backed</t>
        </is>
      </c>
      <c r="I655" s="17" t="inlineStr">
        <is>
          <t>VoiVoda Ventures</t>
        </is>
      </c>
      <c r="J655" s="18" t="inlineStr">
        <is>
          <t/>
        </is>
      </c>
      <c r="K655" s="19" t="inlineStr">
        <is>
          <t/>
        </is>
      </c>
      <c r="L655" s="20" t="inlineStr">
        <is>
          <t/>
        </is>
      </c>
      <c r="M655" s="21" t="inlineStr">
        <is>
          <t/>
        </is>
      </c>
      <c r="N655" s="22" t="inlineStr">
        <is>
          <t/>
        </is>
      </c>
      <c r="O655" s="23" t="inlineStr">
        <is>
          <t/>
        </is>
      </c>
      <c r="P655" s="24" t="inlineStr">
        <is>
          <t/>
        </is>
      </c>
      <c r="Q655" s="25" t="inlineStr">
        <is>
          <t/>
        </is>
      </c>
      <c r="R655" s="113">
        <f>HYPERLINK("https://my.pitchbook.com?c=109240-39", "View company online")</f>
      </c>
    </row>
    <row r="656">
      <c r="A656" s="27" t="inlineStr">
        <is>
          <t>42159-97</t>
        </is>
      </c>
      <c r="B656" s="28" t="inlineStr">
        <is>
          <t>Vertiflex</t>
        </is>
      </c>
      <c r="C656" s="29" t="inlineStr">
        <is>
          <t>92010</t>
        </is>
      </c>
      <c r="D656" s="30" t="inlineStr">
        <is>
          <t>Developer of minimally invasive spinal surgery technologies designed to treat lumbar stenosis. The company's Superion technology offers an indirect decompression system for treating lumbar stenosis, whereas Totalis technology offers a direct decompression system, enabling patients to get access improved treatment for lumbar stenosis through minimal tissue trauma.</t>
        </is>
      </c>
      <c r="E656" s="31" t="inlineStr">
        <is>
          <t>Surgical Devices</t>
        </is>
      </c>
      <c r="F656" s="32" t="inlineStr">
        <is>
          <t>Carlsbad, CA</t>
        </is>
      </c>
      <c r="G656" s="33" t="inlineStr">
        <is>
          <t>Privately Held (backing)</t>
        </is>
      </c>
      <c r="H656" s="34" t="inlineStr">
        <is>
          <t>Venture Capital-Backed</t>
        </is>
      </c>
      <c r="I656" s="35" t="inlineStr">
        <is>
          <t>Aberdare Ventures, Alta Partners, Endeavour Vision, H.I.G. BioVentures, Morgenthaler, New Enterprise Associates, Thomas McNerney &amp; Partners</t>
        </is>
      </c>
      <c r="J656" s="36" t="inlineStr">
        <is>
          <t>www.vertiflexspine.com</t>
        </is>
      </c>
      <c r="K656" s="37" t="inlineStr">
        <is>
          <t>info@vertiflexspine.com</t>
        </is>
      </c>
      <c r="L656" s="38" t="inlineStr">
        <is>
          <t>+1 (866) 268-6486</t>
        </is>
      </c>
      <c r="M656" s="39" t="inlineStr">
        <is>
          <t>Jeffrey Swiecki</t>
        </is>
      </c>
      <c r="N656" s="40" t="inlineStr">
        <is>
          <t>Vice President &amp; Chief Financial Officer</t>
        </is>
      </c>
      <c r="O656" s="41" t="inlineStr">
        <is>
          <t>jswiecki@vertiflex.net</t>
        </is>
      </c>
      <c r="P656" s="42" t="inlineStr">
        <is>
          <t>+1 (866) 268-6486</t>
        </is>
      </c>
      <c r="Q656" s="43" t="n">
        <v>2004.0</v>
      </c>
      <c r="R656" s="114">
        <f>HYPERLINK("https://my.pitchbook.com?c=42159-97", "View company online")</f>
      </c>
    </row>
    <row r="657">
      <c r="A657" s="9" t="inlineStr">
        <is>
          <t>104365-54</t>
        </is>
      </c>
      <c r="B657" s="10" t="inlineStr">
        <is>
          <t>Vertical(Electronic Equipment)</t>
        </is>
      </c>
      <c r="C657" s="11" t="inlineStr">
        <is>
          <t>N2G 4Z2</t>
        </is>
      </c>
      <c r="D657" s="12" t="inlineStr">
        <is>
          <t>Provider of robotic motion control platforms for cinematic cameras designed to capture aerial shots. The company's robotic motion control platform offers computer vision guided robotics technology that can integrate with any drone and turn it into filming tools for film-makers and journalists, enabling budding photographers and videographers to capture aerial shots.</t>
        </is>
      </c>
      <c r="E657" s="13" t="inlineStr">
        <is>
          <t>Electronic Equipment and Instruments</t>
        </is>
      </c>
      <c r="F657" s="14" t="inlineStr">
        <is>
          <t>Kitchener, Canada</t>
        </is>
      </c>
      <c r="G657" s="15" t="inlineStr">
        <is>
          <t>Privately Held (backing)</t>
        </is>
      </c>
      <c r="H657" s="16" t="inlineStr">
        <is>
          <t>Venture Capital-Backed</t>
        </is>
      </c>
      <c r="I657" s="17" t="inlineStr">
        <is>
          <t>Communitech (Waterloo), Creative Destruction Lab, Devon Galloway, Eleven Two Capital, Eric Kwan, FundersClub, ideaBOOST, John Francis, Raymond Chan, Shelley Zhuang, Version One Ventures, Y Combinator</t>
        </is>
      </c>
      <c r="J657" s="18" t="inlineStr">
        <is>
          <t>www.vertical.ai</t>
        </is>
      </c>
      <c r="K657" s="19" t="inlineStr">
        <is>
          <t>hello@vertical.ai</t>
        </is>
      </c>
      <c r="L657" s="20" t="inlineStr">
        <is>
          <t>+1 (519) 616-1860</t>
        </is>
      </c>
      <c r="M657" s="21" t="inlineStr">
        <is>
          <t>Neil Mathew</t>
        </is>
      </c>
      <c r="N657" s="22" t="inlineStr">
        <is>
          <t>Chief Executive Officer, Board Member &amp; Co-Founder</t>
        </is>
      </c>
      <c r="O657" s="23" t="inlineStr">
        <is>
          <t>neil.mathew@perceptivlabs.com</t>
        </is>
      </c>
      <c r="P657" s="24" t="inlineStr">
        <is>
          <t>+1 (519) 616-1860</t>
        </is>
      </c>
      <c r="Q657" s="25" t="n">
        <v>2014.0</v>
      </c>
      <c r="R657" s="113">
        <f>HYPERLINK("https://my.pitchbook.com?c=104365-54", "View company online")</f>
      </c>
    </row>
    <row r="658">
      <c r="A658" s="27" t="inlineStr">
        <is>
          <t>122794-66</t>
        </is>
      </c>
      <c r="B658" s="28" t="inlineStr">
        <is>
          <t>Vertical Tank</t>
        </is>
      </c>
      <c r="C658" s="29" t="inlineStr">
        <is>
          <t>93308</t>
        </is>
      </c>
      <c r="D658" s="30" t="inlineStr">
        <is>
          <t>Manufacturer of vertical, steel, portable storage rental tanks designed to provide better process and circulation efficiency as well as very little cleaning efforts. The company's storage rental tanks are designed to provide reliable storage and process capabilities while eliminating the short comings of traditional horizontal storage tanks, enabling customers to use the portable storage rental tanks and experience its advantages.</t>
        </is>
      </c>
      <c r="E658" s="31" t="inlineStr">
        <is>
          <t>Other Commercial Products</t>
        </is>
      </c>
      <c r="F658" s="32" t="inlineStr">
        <is>
          <t>Bakersfield, CA</t>
        </is>
      </c>
      <c r="G658" s="33" t="inlineStr">
        <is>
          <t>Privately Held (backing)</t>
        </is>
      </c>
      <c r="H658" s="34" t="inlineStr">
        <is>
          <t>Venture Capital-Backed</t>
        </is>
      </c>
      <c r="I658" s="35" t="inlineStr">
        <is>
          <t>Ellis Energy Investments</t>
        </is>
      </c>
      <c r="J658" s="36" t="inlineStr">
        <is>
          <t>www.vertical-tanks.com</t>
        </is>
      </c>
      <c r="K658" s="37" t="inlineStr">
        <is>
          <t/>
        </is>
      </c>
      <c r="L658" s="38" t="inlineStr">
        <is>
          <t>+1 (844) 884-8265</t>
        </is>
      </c>
      <c r="M658" s="39" t="inlineStr">
        <is>
          <t/>
        </is>
      </c>
      <c r="N658" s="40" t="inlineStr">
        <is>
          <t/>
        </is>
      </c>
      <c r="O658" s="41" t="inlineStr">
        <is>
          <t/>
        </is>
      </c>
      <c r="P658" s="42" t="inlineStr">
        <is>
          <t/>
        </is>
      </c>
      <c r="Q658" s="43" t="n">
        <v>2012.0</v>
      </c>
      <c r="R658" s="114">
        <f>HYPERLINK("https://my.pitchbook.com?c=122794-66", "View company online")</f>
      </c>
    </row>
    <row r="659">
      <c r="A659" s="9" t="inlineStr">
        <is>
          <t>113232-16</t>
        </is>
      </c>
      <c r="B659" s="10" t="inlineStr">
        <is>
          <t>Vertical Mass</t>
        </is>
      </c>
      <c r="C659" s="11" t="inlineStr">
        <is>
          <t/>
        </is>
      </c>
      <c r="D659" s="12" t="inlineStr">
        <is>
          <t>Owner and operator of a digital data management platform that enables companies to collect and store information of their users. The company's software allows marketers to target their fans for their endorsements and sponsorships across social media websites, mobile applications, e-commerce and content streaming websites.</t>
        </is>
      </c>
      <c r="E659" s="13" t="inlineStr">
        <is>
          <t>Business/Productivity Software</t>
        </is>
      </c>
      <c r="F659" s="14" t="inlineStr">
        <is>
          <t>Los Angeles, CA</t>
        </is>
      </c>
      <c r="G659" s="15" t="inlineStr">
        <is>
          <t>Privately Held (backing)</t>
        </is>
      </c>
      <c r="H659" s="16" t="inlineStr">
        <is>
          <t>Venture Capital-Backed</t>
        </is>
      </c>
      <c r="I659" s="17" t="inlineStr">
        <is>
          <t>Canyon Creek Capital, Demarest Media, Formation 8, Greycroft Partners, Ken Hertz, Magnetar Capital, Michael Kassan, Sierra Wasatch Capital, Structure Fund, SV Angel, The San Francisco 49ers, Yello Mobile</t>
        </is>
      </c>
      <c r="J659" s="18" t="inlineStr">
        <is>
          <t>site.verticalmass.com</t>
        </is>
      </c>
      <c r="K659" s="19" t="inlineStr">
        <is>
          <t>info@verticalmass.com</t>
        </is>
      </c>
      <c r="L659" s="20" t="inlineStr">
        <is>
          <t/>
        </is>
      </c>
      <c r="M659" s="21" t="inlineStr">
        <is>
          <t>Mark Shedletsky</t>
        </is>
      </c>
      <c r="N659" s="22" t="inlineStr">
        <is>
          <t>Co-Founder &amp; Chief Executive Officer</t>
        </is>
      </c>
      <c r="O659" s="23" t="inlineStr">
        <is>
          <t>mark@tappedmobile.com</t>
        </is>
      </c>
      <c r="P659" s="24" t="inlineStr">
        <is>
          <t>+1 (416) 917-3403</t>
        </is>
      </c>
      <c r="Q659" s="25" t="n">
        <v>2013.0</v>
      </c>
      <c r="R659" s="113">
        <f>HYPERLINK("https://my.pitchbook.com?c=113232-16", "View company online")</f>
      </c>
    </row>
    <row r="660">
      <c r="A660" s="27" t="inlineStr">
        <is>
          <t>126228-43</t>
        </is>
      </c>
      <c r="B660" s="28" t="inlineStr">
        <is>
          <t>Verse</t>
        </is>
      </c>
      <c r="C660" s="29" t="inlineStr">
        <is>
          <t>94401</t>
        </is>
      </c>
      <c r="D660" s="30" t="inlineStr">
        <is>
          <t>Developer of a mobile payment application designed to make mobile payments easy. The company's mobile payment application helps to pay and request money from friends using phone contacts, enabling users to transfer money to anyone across the world via their phone instantly.</t>
        </is>
      </c>
      <c r="E660" s="31" t="inlineStr">
        <is>
          <t>Financial Software</t>
        </is>
      </c>
      <c r="F660" s="32" t="inlineStr">
        <is>
          <t>San Mateo, CA</t>
        </is>
      </c>
      <c r="G660" s="33" t="inlineStr">
        <is>
          <t>Privately Held (backing)</t>
        </is>
      </c>
      <c r="H660" s="34" t="inlineStr">
        <is>
          <t>Venture Capital-Backed</t>
        </is>
      </c>
      <c r="I660" s="35" t="inlineStr">
        <is>
          <t>Adam Draper, Antonio García-Urgelés, Bernardo Hernandez, Boost VC, DFJ DragonFund China, Draper Fisher Jurvetson, e.ventures, Gonzalo de la Peña Cifuentes, Greg Kidd, Greycroft Partners, Menorca Millennials, Michael Liou, Peter Pastewka, Spark Capital</t>
        </is>
      </c>
      <c r="J660" s="36" t="inlineStr">
        <is>
          <t>www.joinverse.com</t>
        </is>
      </c>
      <c r="K660" s="37" t="inlineStr">
        <is>
          <t>hello@joinverse.com</t>
        </is>
      </c>
      <c r="L660" s="38" t="inlineStr">
        <is>
          <t/>
        </is>
      </c>
      <c r="M660" s="39" t="inlineStr">
        <is>
          <t>Borja Rossell</t>
        </is>
      </c>
      <c r="N660" s="40" t="inlineStr">
        <is>
          <t>Co-Founder &amp; Chief Executive Officer</t>
        </is>
      </c>
      <c r="O660" s="41" t="inlineStr">
        <is>
          <t>borja@joinverse.com</t>
        </is>
      </c>
      <c r="P660" s="42" t="inlineStr">
        <is>
          <t/>
        </is>
      </c>
      <c r="Q660" s="43" t="n">
        <v>2015.0</v>
      </c>
      <c r="R660" s="114">
        <f>HYPERLINK("https://my.pitchbook.com?c=126228-43", "View company online")</f>
      </c>
    </row>
    <row r="661">
      <c r="A661" s="9" t="inlineStr">
        <is>
          <t>115487-47</t>
        </is>
      </c>
      <c r="B661" s="10" t="inlineStr">
        <is>
          <t>Versame</t>
        </is>
      </c>
      <c r="C661" s="11" t="inlineStr">
        <is>
          <t>94301</t>
        </is>
      </c>
      <c r="D661" s="12" t="inlineStr">
        <is>
          <t>Developer of technology for early childhood education and language development. The company has developed Starling, a word-tracking system and smart device that tracks the number of words a baby hears and says each day.</t>
        </is>
      </c>
      <c r="E661" s="13" t="inlineStr">
        <is>
          <t>Application Software</t>
        </is>
      </c>
      <c r="F661" s="14" t="inlineStr">
        <is>
          <t>Palo Alto, CA</t>
        </is>
      </c>
      <c r="G661" s="15" t="inlineStr">
        <is>
          <t>Privately Held (backing)</t>
        </is>
      </c>
      <c r="H661" s="16" t="inlineStr">
        <is>
          <t>Venture Capital-Backed</t>
        </is>
      </c>
      <c r="I661" s="17" t="inlineStr">
        <is>
          <t>Doug Cifu, Learn Capital, Richard Dai, StartX, Vincent Viola</t>
        </is>
      </c>
      <c r="J661" s="18" t="inlineStr">
        <is>
          <t>www.versame.com</t>
        </is>
      </c>
      <c r="K661" s="19" t="inlineStr">
        <is>
          <t>hello@versame.com</t>
        </is>
      </c>
      <c r="L661" s="20" t="inlineStr">
        <is>
          <t>+1 (650) 924-9673</t>
        </is>
      </c>
      <c r="M661" s="21" t="inlineStr">
        <is>
          <t>Jonathan Boggiano</t>
        </is>
      </c>
      <c r="N661" s="22" t="inlineStr">
        <is>
          <t>Chief Executive Officer &amp; Board Member</t>
        </is>
      </c>
      <c r="O661" s="23" t="inlineStr">
        <is>
          <t>jonathan@versame.com</t>
        </is>
      </c>
      <c r="P661" s="24" t="inlineStr">
        <is>
          <t>+1 (650) 924-9673</t>
        </is>
      </c>
      <c r="Q661" s="25" t="n">
        <v>2014.0</v>
      </c>
      <c r="R661" s="113">
        <f>HYPERLINK("https://my.pitchbook.com?c=115487-47", "View company online")</f>
      </c>
    </row>
    <row r="662">
      <c r="A662" s="27" t="inlineStr">
        <is>
          <t>55680-76</t>
        </is>
      </c>
      <c r="B662" s="28" t="inlineStr">
        <is>
          <t>Versa Networks</t>
        </is>
      </c>
      <c r="C662" s="29" t="inlineStr">
        <is>
          <t>95110</t>
        </is>
      </c>
      <c r="D662" s="30" t="inlineStr">
        <is>
          <t>Provider of software-defined networking (SDN) services. The company develops an architecture that leverages virtualization and distributed systems technology.</t>
        </is>
      </c>
      <c r="E662" s="31" t="inlineStr">
        <is>
          <t>Other Communications and Networking</t>
        </is>
      </c>
      <c r="F662" s="32" t="inlineStr">
        <is>
          <t>San Jose, CA</t>
        </is>
      </c>
      <c r="G662" s="33" t="inlineStr">
        <is>
          <t>Privately Held (backing)</t>
        </is>
      </c>
      <c r="H662" s="34" t="inlineStr">
        <is>
          <t>Venture Capital-Backed</t>
        </is>
      </c>
      <c r="I662" s="35" t="inlineStr">
        <is>
          <t>ARTIS Ventures, Mayfield Fund, Sequoia Capital, Stuart Peterson, Verizon Ventures</t>
        </is>
      </c>
      <c r="J662" s="36" t="inlineStr">
        <is>
          <t>www.versa-networks.com</t>
        </is>
      </c>
      <c r="K662" s="37" t="inlineStr">
        <is>
          <t/>
        </is>
      </c>
      <c r="L662" s="38" t="inlineStr">
        <is>
          <t>+1 (408) 385-7660</t>
        </is>
      </c>
      <c r="M662" s="39" t="inlineStr">
        <is>
          <t>Kumar Mehta</t>
        </is>
      </c>
      <c r="N662" s="40" t="inlineStr">
        <is>
          <t>Co-Founder &amp; Chief Development Officer</t>
        </is>
      </c>
      <c r="O662" s="41" t="inlineStr">
        <is>
          <t>kumar@versa-networks.com</t>
        </is>
      </c>
      <c r="P662" s="42" t="inlineStr">
        <is>
          <t>+1 (408) 385-7660</t>
        </is>
      </c>
      <c r="Q662" s="43" t="n">
        <v>2012.0</v>
      </c>
      <c r="R662" s="114">
        <f>HYPERLINK("https://my.pitchbook.com?c=55680-76", "View company online")</f>
      </c>
    </row>
    <row r="663">
      <c r="A663" s="9" t="inlineStr">
        <is>
          <t>127704-25</t>
        </is>
      </c>
      <c r="B663" s="10" t="inlineStr">
        <is>
          <t>Verrica Pharmaceuticals</t>
        </is>
      </c>
      <c r="C663" s="11" t="inlineStr">
        <is>
          <t/>
        </is>
      </c>
      <c r="D663" s="12" t="inlineStr">
        <is>
          <t>Developer of topical therapies intended to provide treatment for lesional skin diseases. The company's topical therapies provide relief from common warts, plantar warts and Molluscum contagiosum enabling users to have less painful and less time consuming treatment.</t>
        </is>
      </c>
      <c r="E663" s="13" t="inlineStr">
        <is>
          <t>Drug Discovery</t>
        </is>
      </c>
      <c r="F663" s="14" t="inlineStr">
        <is>
          <t>San Francisco, CA</t>
        </is>
      </c>
      <c r="G663" s="15" t="inlineStr">
        <is>
          <t>Privately Held (backing)</t>
        </is>
      </c>
      <c r="H663" s="16" t="inlineStr">
        <is>
          <t>Venture Capital-Backed</t>
        </is>
      </c>
      <c r="I663" s="17" t="inlineStr">
        <is>
          <t>PBM Capital Group</t>
        </is>
      </c>
      <c r="J663" s="18" t="inlineStr">
        <is>
          <t>www.verricapharmaceuticals.com</t>
        </is>
      </c>
      <c r="K663" s="19" t="inlineStr">
        <is>
          <t/>
        </is>
      </c>
      <c r="L663" s="20" t="inlineStr">
        <is>
          <t>+1 (510) 409-5791</t>
        </is>
      </c>
      <c r="M663" s="21" t="inlineStr">
        <is>
          <t>Matthew Davidson</t>
        </is>
      </c>
      <c r="N663" s="22" t="inlineStr">
        <is>
          <t>Founder &amp; Chief Executive Officer</t>
        </is>
      </c>
      <c r="O663" s="23" t="inlineStr">
        <is>
          <t>matt@verricapharmaceuticals.com</t>
        </is>
      </c>
      <c r="P663" s="24" t="inlineStr">
        <is>
          <t>+1 (510) 409-5791</t>
        </is>
      </c>
      <c r="Q663" s="25" t="n">
        <v>2013.0</v>
      </c>
      <c r="R663" s="113">
        <f>HYPERLINK("https://my.pitchbook.com?c=127704-25", "View company online")</f>
      </c>
    </row>
    <row r="664">
      <c r="A664" s="27" t="inlineStr">
        <is>
          <t>103448-53</t>
        </is>
      </c>
      <c r="B664" s="28" t="inlineStr">
        <is>
          <t>Verlocal</t>
        </is>
      </c>
      <c r="C664" s="29" t="inlineStr">
        <is>
          <t>94103</t>
        </is>
      </c>
      <c r="D664" s="30" t="inlineStr">
        <is>
          <t>Provider of an online social networking platform designed to help people to become a host and share exciting adventures with others. The company's online social networking platform connects people having similar passions and help in monetizing skills by sharing experiences, enabling users to discover local businesses.</t>
        </is>
      </c>
      <c r="E664" s="31" t="inlineStr">
        <is>
          <t>Social/Platform Software</t>
        </is>
      </c>
      <c r="F664" s="32" t="inlineStr">
        <is>
          <t>San Francisco, CA</t>
        </is>
      </c>
      <c r="G664" s="33" t="inlineStr">
        <is>
          <t>Privately Held (backing)</t>
        </is>
      </c>
      <c r="H664" s="34" t="inlineStr">
        <is>
          <t>Venture Capital-Backed</t>
        </is>
      </c>
      <c r="I664" s="35" t="inlineStr">
        <is>
          <t>Amidzad Partners, Big Basin Capital, D3 Jubilee, Gang Mai, Min Bang, Plug and Play Tech Center, Seven Seas Partners, Terry Li, VenturesLab</t>
        </is>
      </c>
      <c r="J664" s="36" t="inlineStr">
        <is>
          <t>www.verlocal.com</t>
        </is>
      </c>
      <c r="K664" s="37" t="inlineStr">
        <is>
          <t/>
        </is>
      </c>
      <c r="L664" s="38" t="inlineStr">
        <is>
          <t>+1 (800) 599-8869</t>
        </is>
      </c>
      <c r="M664" s="39" t="inlineStr">
        <is>
          <t>Will Lee</t>
        </is>
      </c>
      <c r="N664" s="40" t="inlineStr">
        <is>
          <t>Co-Founder &amp; Chief Executive Officer</t>
        </is>
      </c>
      <c r="O664" s="41" t="inlineStr">
        <is>
          <t>will@verlocal.com</t>
        </is>
      </c>
      <c r="P664" s="42" t="inlineStr">
        <is>
          <t>+1 (800) 599-8869</t>
        </is>
      </c>
      <c r="Q664" s="43" t="n">
        <v>2013.0</v>
      </c>
      <c r="R664" s="114">
        <f>HYPERLINK("https://my.pitchbook.com?c=103448-53", "View company online")</f>
      </c>
    </row>
    <row r="665">
      <c r="A665" s="9" t="inlineStr">
        <is>
          <t>167981-95</t>
        </is>
      </c>
      <c r="B665" s="10" t="inlineStr">
        <is>
          <t>Verkada</t>
        </is>
      </c>
      <c r="C665" s="11" t="inlineStr">
        <is>
          <t>94401</t>
        </is>
      </c>
      <c r="D665" s="12" t="inlineStr">
        <is>
          <t>Developer of a mobile application.</t>
        </is>
      </c>
      <c r="E665" s="13" t="inlineStr">
        <is>
          <t>Application Software</t>
        </is>
      </c>
      <c r="F665" s="14" t="inlineStr">
        <is>
          <t>San Mateo, CA</t>
        </is>
      </c>
      <c r="G665" s="15" t="inlineStr">
        <is>
          <t>Privately Held (backing)</t>
        </is>
      </c>
      <c r="H665" s="16" t="inlineStr">
        <is>
          <t>Venture Capital-Backed</t>
        </is>
      </c>
      <c r="I665" s="17" t="inlineStr">
        <is>
          <t/>
        </is>
      </c>
      <c r="J665" s="18" t="inlineStr">
        <is>
          <t>www.verkada.com</t>
        </is>
      </c>
      <c r="K665" s="19" t="inlineStr">
        <is>
          <t>info@verkada.com</t>
        </is>
      </c>
      <c r="L665" s="20" t="inlineStr">
        <is>
          <t>+1 (415) 841-3583</t>
        </is>
      </c>
      <c r="M665" s="21" t="inlineStr">
        <is>
          <t>Filip Kaliszan</t>
        </is>
      </c>
      <c r="N665" s="22" t="inlineStr">
        <is>
          <t>Co-Founder, Chief Executive Officer &amp; Board Member</t>
        </is>
      </c>
      <c r="O665" s="23" t="inlineStr">
        <is>
          <t>filip.kaliszan@verkada.com</t>
        </is>
      </c>
      <c r="P665" s="24" t="inlineStr">
        <is>
          <t>+1 (415) 841-3583</t>
        </is>
      </c>
      <c r="Q665" s="25" t="n">
        <v>2016.0</v>
      </c>
      <c r="R665" s="113">
        <f>HYPERLINK("https://my.pitchbook.com?c=167981-95", "View company online")</f>
      </c>
    </row>
    <row r="666">
      <c r="A666" s="27" t="inlineStr">
        <is>
          <t>54421-84</t>
        </is>
      </c>
      <c r="B666" s="28" t="inlineStr">
        <is>
          <t>Verix</t>
        </is>
      </c>
      <c r="C666" s="29" t="inlineStr">
        <is>
          <t>94022</t>
        </is>
      </c>
      <c r="D666" s="30" t="inlineStr">
        <is>
          <t>Developer of business intelligence and analytics software. The company develops cloud-based business analytical applications specifically for Pharma commercial operations.</t>
        </is>
      </c>
      <c r="E666" s="31" t="inlineStr">
        <is>
          <t>Business/Productivity Software</t>
        </is>
      </c>
      <c r="F666" s="32" t="inlineStr">
        <is>
          <t>Los Altos, CA</t>
        </is>
      </c>
      <c r="G666" s="33" t="inlineStr">
        <is>
          <t>Privately Held (backing)</t>
        </is>
      </c>
      <c r="H666" s="34" t="inlineStr">
        <is>
          <t>Venture Capital-Backed</t>
        </is>
      </c>
      <c r="I666" s="35" t="inlineStr">
        <is>
          <t>Carmel Ventures, Gemini Israel Ventures, HillsVen Capital, Western Technology Investment</t>
        </is>
      </c>
      <c r="J666" s="36" t="inlineStr">
        <is>
          <t>www.verix.com</t>
        </is>
      </c>
      <c r="K666" s="37" t="inlineStr">
        <is>
          <t>info@verix.com</t>
        </is>
      </c>
      <c r="L666" s="38" t="inlineStr">
        <is>
          <t>+1 (650) 949-2700</t>
        </is>
      </c>
      <c r="M666" s="39" t="inlineStr">
        <is>
          <t>Doron Aspitz</t>
        </is>
      </c>
      <c r="N666" s="40" t="inlineStr">
        <is>
          <t>Chief Executive Officer, President and Board Member</t>
        </is>
      </c>
      <c r="O666" s="41" t="inlineStr">
        <is>
          <t>doron.aspitz@verix.com</t>
        </is>
      </c>
      <c r="P666" s="42" t="inlineStr">
        <is>
          <t>+1 (650) 949-2700</t>
        </is>
      </c>
      <c r="Q666" s="43" t="n">
        <v>2004.0</v>
      </c>
      <c r="R666" s="114">
        <f>HYPERLINK("https://my.pitchbook.com?c=54421-84", "View company online")</f>
      </c>
    </row>
    <row r="667">
      <c r="A667" s="9" t="inlineStr">
        <is>
          <t>100342-81</t>
        </is>
      </c>
      <c r="B667" s="10" t="inlineStr">
        <is>
          <t>Veritas Investments</t>
        </is>
      </c>
      <c r="C667" s="11" t="inlineStr">
        <is>
          <t>94108</t>
        </is>
      </c>
      <c r="D667" s="12" t="inlineStr">
        <is>
          <t>Provider of real estate investment management services for mixed-use multifamily and retail properties. The company offers investors a vertically integrated platform that includes property acquisitions, finance, asset management and reporting, project management, leasing and property management.</t>
        </is>
      </c>
      <c r="E667" s="13" t="inlineStr">
        <is>
          <t>Real Estate Services (B2C)</t>
        </is>
      </c>
      <c r="F667" s="14" t="inlineStr">
        <is>
          <t>San Francisco, CA</t>
        </is>
      </c>
      <c r="G667" s="15" t="inlineStr">
        <is>
          <t>Privately Held (backing)</t>
        </is>
      </c>
      <c r="H667" s="16" t="inlineStr">
        <is>
          <t>Venture Capital-Backed</t>
        </is>
      </c>
      <c r="I667" s="17" t="inlineStr">
        <is>
          <t>Fifth Era</t>
        </is>
      </c>
      <c r="J667" s="18" t="inlineStr">
        <is>
          <t>www.veritasinvestments.com</t>
        </is>
      </c>
      <c r="K667" s="19" t="inlineStr">
        <is>
          <t>info@veritasinv.com</t>
        </is>
      </c>
      <c r="L667" s="20" t="inlineStr">
        <is>
          <t>+1 (415) 578-7610</t>
        </is>
      </c>
      <c r="M667" s="21" t="inlineStr">
        <is>
          <t>Yat-Pang Au</t>
        </is>
      </c>
      <c r="N667" s="22" t="inlineStr">
        <is>
          <t>Founder &amp; Chief Executive Officer</t>
        </is>
      </c>
      <c r="O667" s="23" t="inlineStr">
        <is>
          <t>yau@veritasinv.com</t>
        </is>
      </c>
      <c r="P667" s="24" t="inlineStr">
        <is>
          <t>+1 (415) 578-7610</t>
        </is>
      </c>
      <c r="Q667" s="25" t="n">
        <v>2007.0</v>
      </c>
      <c r="R667" s="113">
        <f>HYPERLINK("https://my.pitchbook.com?c=100342-81", "View company online")</f>
      </c>
    </row>
    <row r="668">
      <c r="A668" s="27" t="inlineStr">
        <is>
          <t>99119-89</t>
        </is>
      </c>
      <c r="B668" s="28" t="inlineStr">
        <is>
          <t>Veritamo</t>
        </is>
      </c>
      <c r="C668" s="29" t="inlineStr">
        <is>
          <t>94111</t>
        </is>
      </c>
      <c r="D668" s="30" t="inlineStr">
        <is>
          <t>Provider of a marketplace for high-end services. The company provides a marketplace for service providers offering luxury services to communicate and transact with clients through a mobile application.</t>
        </is>
      </c>
      <c r="E668" s="31" t="inlineStr">
        <is>
          <t>Social/Platform Software</t>
        </is>
      </c>
      <c r="F668" s="32" t="inlineStr">
        <is>
          <t>San Francisco, CA</t>
        </is>
      </c>
      <c r="G668" s="33" t="inlineStr">
        <is>
          <t>Privately Held (backing)</t>
        </is>
      </c>
      <c r="H668" s="34" t="inlineStr">
        <is>
          <t>Venture Capital-Backed</t>
        </is>
      </c>
      <c r="I668" s="35" t="inlineStr">
        <is>
          <t>IMI.VC, Startup Monthly</t>
        </is>
      </c>
      <c r="J668" s="36" t="inlineStr">
        <is>
          <t>www.veritamo.com</t>
        </is>
      </c>
      <c r="K668" s="37" t="inlineStr">
        <is>
          <t>info@veritamo.com</t>
        </is>
      </c>
      <c r="L668" s="38" t="inlineStr">
        <is>
          <t>+1 (408) 412-5967</t>
        </is>
      </c>
      <c r="M668" s="39" t="inlineStr">
        <is>
          <t>Yuri Rabinovich</t>
        </is>
      </c>
      <c r="N668" s="40" t="inlineStr">
        <is>
          <t>Co-Founder &amp; Chief Executive Officer</t>
        </is>
      </c>
      <c r="O668" s="41" t="inlineStr">
        <is>
          <t>yuri@veritamo.com</t>
        </is>
      </c>
      <c r="P668" s="42" t="inlineStr">
        <is>
          <t>+1 (408) 768-7844</t>
        </is>
      </c>
      <c r="Q668" s="43" t="n">
        <v>2014.0</v>
      </c>
      <c r="R668" s="114">
        <f>HYPERLINK("https://my.pitchbook.com?c=99119-89", "View company online")</f>
      </c>
    </row>
    <row r="669">
      <c r="A669" s="9" t="inlineStr">
        <is>
          <t>102991-33</t>
        </is>
      </c>
      <c r="B669" s="10" t="inlineStr">
        <is>
          <t>Veristorm</t>
        </is>
      </c>
      <c r="C669" s="11" t="inlineStr">
        <is>
          <t>95054</t>
        </is>
      </c>
      <c r="D669" s="12" t="inlineStr">
        <is>
          <t>Provider of a big data management platform. The company enables clients to leverage all of their data, including mainframe and unstructured, and allows them to utilize the analytics platform of their choice.</t>
        </is>
      </c>
      <c r="E669" s="13" t="inlineStr">
        <is>
          <t>Database Software</t>
        </is>
      </c>
      <c r="F669" s="14" t="inlineStr">
        <is>
          <t>Santa Clara, CA</t>
        </is>
      </c>
      <c r="G669" s="15" t="inlineStr">
        <is>
          <t>Privately Held (backing)</t>
        </is>
      </c>
      <c r="H669" s="16" t="inlineStr">
        <is>
          <t>Venture Capital-Backed</t>
        </is>
      </c>
      <c r="I669" s="17" t="inlineStr">
        <is>
          <t/>
        </is>
      </c>
      <c r="J669" s="18" t="inlineStr">
        <is>
          <t>www.veristorm.com</t>
        </is>
      </c>
      <c r="K669" s="19" t="inlineStr">
        <is>
          <t>avarkhedi@veristorm.com</t>
        </is>
      </c>
      <c r="L669" s="20" t="inlineStr">
        <is>
          <t/>
        </is>
      </c>
      <c r="M669" s="21" t="inlineStr">
        <is>
          <t>Sanjay Mazumder</t>
        </is>
      </c>
      <c r="N669" s="22" t="inlineStr">
        <is>
          <t>Co-Founder &amp; Chief Executive Officer</t>
        </is>
      </c>
      <c r="O669" s="23" t="inlineStr">
        <is>
          <t>smazumder@veristorm.com</t>
        </is>
      </c>
      <c r="P669" s="24" t="inlineStr">
        <is>
          <t/>
        </is>
      </c>
      <c r="Q669" s="25" t="n">
        <v>2013.0</v>
      </c>
      <c r="R669" s="113">
        <f>HYPERLINK("https://my.pitchbook.com?c=102991-33", "View company online")</f>
      </c>
    </row>
    <row r="670">
      <c r="A670" s="27" t="inlineStr">
        <is>
          <t>51275-53</t>
        </is>
      </c>
      <c r="B670" s="28" t="inlineStr">
        <is>
          <t>Verismo Networks</t>
        </is>
      </c>
      <c r="C670" s="29" t="inlineStr">
        <is>
          <t>95054</t>
        </is>
      </c>
      <c r="D670" s="30" t="inlineStr">
        <is>
          <t>Operator of an Internet media company. The company provides a platform that facilitates content distribution over the Internet for television consumption. Its platform enables multi system operators, Internet service providers, content providers, and telecommunication companies to offer linear channels, over the top Internet videos, video-on-demand, and live channels; and various social networking applications, as well as to stream their content directly to the television.</t>
        </is>
      </c>
      <c r="E670" s="31" t="inlineStr">
        <is>
          <t>Internet Software</t>
        </is>
      </c>
      <c r="F670" s="32" t="inlineStr">
        <is>
          <t>Santa Clara, CA</t>
        </is>
      </c>
      <c r="G670" s="33" t="inlineStr">
        <is>
          <t>Privately Held (backing)</t>
        </is>
      </c>
      <c r="H670" s="34" t="inlineStr">
        <is>
          <t>Venture Capital-Backed</t>
        </is>
      </c>
      <c r="I670" s="35" t="inlineStr">
        <is>
          <t>Individual Investor, Intel Capital</t>
        </is>
      </c>
      <c r="J670" s="36" t="inlineStr">
        <is>
          <t>www.verismonetworks.com</t>
        </is>
      </c>
      <c r="K670" s="37" t="inlineStr">
        <is>
          <t>info@verismonetworks.com</t>
        </is>
      </c>
      <c r="L670" s="38" t="inlineStr">
        <is>
          <t>+1 (408) 598-3661</t>
        </is>
      </c>
      <c r="M670" s="39" t="inlineStr">
        <is>
          <t>Prakash Bhalerao</t>
        </is>
      </c>
      <c r="N670" s="40" t="inlineStr">
        <is>
          <t>Chairman &amp; Chief Executive Officer</t>
        </is>
      </c>
      <c r="O670" s="41" t="inlineStr">
        <is>
          <t/>
        </is>
      </c>
      <c r="P670" s="42" t="inlineStr">
        <is>
          <t>+1 (408) 598-3661</t>
        </is>
      </c>
      <c r="Q670" s="43" t="n">
        <v>2003.0</v>
      </c>
      <c r="R670" s="114">
        <f>HYPERLINK("https://my.pitchbook.com?c=51275-53", "View company online")</f>
      </c>
    </row>
    <row r="671">
      <c r="A671" s="9" t="inlineStr">
        <is>
          <t>55915-84</t>
        </is>
      </c>
      <c r="B671" s="10" t="inlineStr">
        <is>
          <t>Verismic Software</t>
        </is>
      </c>
      <c r="C671" s="11" t="inlineStr">
        <is>
          <t>92656</t>
        </is>
      </c>
      <c r="D671" s="12" t="inlineStr">
        <is>
          <t>Provider of cloud-based IT endpoint management and green technology services. The company develops products which allows organizations to reduce their energy costs and helps in managing IT infrastructure from the cloud.</t>
        </is>
      </c>
      <c r="E671" s="13" t="inlineStr">
        <is>
          <t>Application Software</t>
        </is>
      </c>
      <c r="F671" s="14" t="inlineStr">
        <is>
          <t>Aliso Viejo, CA</t>
        </is>
      </c>
      <c r="G671" s="15" t="inlineStr">
        <is>
          <t>Privately Held (backing)</t>
        </is>
      </c>
      <c r="H671" s="16" t="inlineStr">
        <is>
          <t>Venture Capital-Backed</t>
        </is>
      </c>
      <c r="I671" s="17" t="inlineStr">
        <is>
          <t>Signal Peak Ventures</t>
        </is>
      </c>
      <c r="J671" s="18" t="inlineStr">
        <is>
          <t>www.verismic.com</t>
        </is>
      </c>
      <c r="K671" s="19" t="inlineStr">
        <is>
          <t>info@verismic.com</t>
        </is>
      </c>
      <c r="L671" s="20" t="inlineStr">
        <is>
          <t>+1 (949) 270-1903</t>
        </is>
      </c>
      <c r="M671" s="21" t="inlineStr">
        <is>
          <t>Jim Loofbourrow</t>
        </is>
      </c>
      <c r="N671" s="22" t="inlineStr">
        <is>
          <t>Chief Financial Officer</t>
        </is>
      </c>
      <c r="O671" s="23" t="inlineStr">
        <is>
          <t>jloofbourrow@verismic.com</t>
        </is>
      </c>
      <c r="P671" s="24" t="inlineStr">
        <is>
          <t>+1 (949) 270-1903</t>
        </is>
      </c>
      <c r="Q671" s="25" t="n">
        <v>2012.0</v>
      </c>
      <c r="R671" s="113">
        <f>HYPERLINK("https://my.pitchbook.com?c=55915-84", "View company online")</f>
      </c>
    </row>
    <row r="672">
      <c r="A672" s="27" t="inlineStr">
        <is>
          <t>117698-59</t>
        </is>
      </c>
      <c r="B672" s="28" t="inlineStr">
        <is>
          <t>Verisart</t>
        </is>
      </c>
      <c r="C672" s="29" t="inlineStr">
        <is>
          <t>91502</t>
        </is>
      </c>
      <c r="D672" s="30" t="inlineStr">
        <is>
          <t>Provider of a mobile application designed to certify and verify artworks and collectables in real time. The company's distributed ledger technology provided by the blockchain aims to build a permanent, decentralized and anonymous ledger for the world's art and collectables, enabling artists and collectors to generate certificates of authenticity.</t>
        </is>
      </c>
      <c r="E672" s="31" t="inlineStr">
        <is>
          <t>Application Software</t>
        </is>
      </c>
      <c r="F672" s="32" t="inlineStr">
        <is>
          <t>Burbank, CA</t>
        </is>
      </c>
      <c r="G672" s="33" t="inlineStr">
        <is>
          <t>Privately Held (backing)</t>
        </is>
      </c>
      <c r="H672" s="34" t="inlineStr">
        <is>
          <t>Venture Capital-Backed</t>
        </is>
      </c>
      <c r="I672" s="35" t="inlineStr">
        <is>
          <t>Earlybird Venture Capital, Freelands Ventures, Rhodium</t>
        </is>
      </c>
      <c r="J672" s="36" t="inlineStr">
        <is>
          <t>www.verisart.com</t>
        </is>
      </c>
      <c r="K672" s="37" t="inlineStr">
        <is>
          <t>info@verisart.com</t>
        </is>
      </c>
      <c r="L672" s="38" t="inlineStr">
        <is>
          <t/>
        </is>
      </c>
      <c r="M672" s="39" t="inlineStr">
        <is>
          <t>Robert Norton</t>
        </is>
      </c>
      <c r="N672" s="40" t="inlineStr">
        <is>
          <t>Chief Executive Officer &amp; Co-Founder</t>
        </is>
      </c>
      <c r="O672" s="41" t="inlineStr">
        <is>
          <t>robert@verisart.com</t>
        </is>
      </c>
      <c r="P672" s="42" t="inlineStr">
        <is>
          <t/>
        </is>
      </c>
      <c r="Q672" s="43" t="n">
        <v>2015.0</v>
      </c>
      <c r="R672" s="114">
        <f>HYPERLINK("https://my.pitchbook.com?c=117698-59", "View company online")</f>
      </c>
    </row>
    <row r="673">
      <c r="A673" s="9" t="inlineStr">
        <is>
          <t>53365-60</t>
        </is>
      </c>
      <c r="B673" s="10" t="inlineStr">
        <is>
          <t>Verimatrix</t>
        </is>
      </c>
      <c r="C673" s="11" t="inlineStr">
        <is>
          <t>92121</t>
        </is>
      </c>
      <c r="D673" s="12" t="inlineStr">
        <is>
          <t>Provider of revenue security services for connected video devices. The company secures revenue for multi-network, multi-screen video services and pay-TV operators through automated system optimization and data analytic.</t>
        </is>
      </c>
      <c r="E673" s="13" t="inlineStr">
        <is>
          <t>Business/Productivity Software</t>
        </is>
      </c>
      <c r="F673" s="14" t="inlineStr">
        <is>
          <t>San Diego, CA</t>
        </is>
      </c>
      <c r="G673" s="15" t="inlineStr">
        <is>
          <t>Privately Held (backing)</t>
        </is>
      </c>
      <c r="H673" s="16" t="inlineStr">
        <is>
          <t>Venture Capital-Backed</t>
        </is>
      </c>
      <c r="I673" s="17" t="inlineStr">
        <is>
          <t>Cipio Partners, Crescendo Ventures Management, Industry Ventures, JAIC America, JK&amp;B Capital, Serome Ventures, Solborn Venture Investment, SunAmerica Ventures, The Goldman Sachs Group</t>
        </is>
      </c>
      <c r="J673" s="18" t="inlineStr">
        <is>
          <t>www.verimatrix.com</t>
        </is>
      </c>
      <c r="K673" s="19" t="inlineStr">
        <is>
          <t>info@verimatrix.com</t>
        </is>
      </c>
      <c r="L673" s="20" t="inlineStr">
        <is>
          <t>+1 (858) 677-7800</t>
        </is>
      </c>
      <c r="M673" s="21" t="inlineStr">
        <is>
          <t>Charles Padgett</t>
        </is>
      </c>
      <c r="N673" s="22" t="inlineStr">
        <is>
          <t>Chief Financial Officer</t>
        </is>
      </c>
      <c r="O673" s="23" t="inlineStr">
        <is>
          <t>cpadgett@verimatrix.com</t>
        </is>
      </c>
      <c r="P673" s="24" t="inlineStr">
        <is>
          <t>+86 (0)10 5867 3818</t>
        </is>
      </c>
      <c r="Q673" s="25" t="n">
        <v>1999.0</v>
      </c>
      <c r="R673" s="113">
        <f>HYPERLINK("https://my.pitchbook.com?c=53365-60", "View company online")</f>
      </c>
    </row>
    <row r="674">
      <c r="A674" s="27" t="inlineStr">
        <is>
          <t>100395-55</t>
        </is>
      </c>
      <c r="B674" s="28" t="inlineStr">
        <is>
          <t>Verifyter</t>
        </is>
      </c>
      <c r="C674" s="29" t="inlineStr">
        <is>
          <t>223 70</t>
        </is>
      </c>
      <c r="D674" s="30" t="inlineStr">
        <is>
          <t>Developer of software diagnosis automation technologies. The company offers an automatic de-bugging tool for the detection and analysis of software and hardware failures.</t>
        </is>
      </c>
      <c r="E674" s="31" t="inlineStr">
        <is>
          <t>Application Software</t>
        </is>
      </c>
      <c r="F674" s="32" t="inlineStr">
        <is>
          <t>Lund, Sweden</t>
        </is>
      </c>
      <c r="G674" s="33" t="inlineStr">
        <is>
          <t>Privately Held (backing)</t>
        </is>
      </c>
      <c r="H674" s="34" t="inlineStr">
        <is>
          <t>Venture Capital-Backed</t>
        </is>
      </c>
      <c r="I674" s="35" t="inlineStr">
        <is>
          <t>Almi Invest, Ideon Innovation, Lars-Eric Lundgren, Mobile Heights Business Center, Spintop Ventures</t>
        </is>
      </c>
      <c r="J674" s="36" t="inlineStr">
        <is>
          <t>www.verifyter.com</t>
        </is>
      </c>
      <c r="K674" s="37" t="inlineStr">
        <is>
          <t>info@verifyter.com</t>
        </is>
      </c>
      <c r="L674" s="38" t="inlineStr">
        <is>
          <t>+46 (0)7 365 17 57 6</t>
        </is>
      </c>
      <c r="M674" s="39" t="inlineStr">
        <is>
          <t>Daniel Hansson</t>
        </is>
      </c>
      <c r="N674" s="40" t="inlineStr">
        <is>
          <t>Chief Executive Officer, Board Member &amp; Co-Founder</t>
        </is>
      </c>
      <c r="O674" s="41" t="inlineStr">
        <is>
          <t>daniel.hansson@verifyter.com</t>
        </is>
      </c>
      <c r="P674" s="42" t="inlineStr">
        <is>
          <t>+46 (0)7 365 17 57 6</t>
        </is>
      </c>
      <c r="Q674" s="43" t="n">
        <v>2010.0</v>
      </c>
      <c r="R674" s="114">
        <f>HYPERLINK("https://my.pitchbook.com?c=100395-55", "View company online")</f>
      </c>
    </row>
    <row r="675">
      <c r="A675" s="9" t="inlineStr">
        <is>
          <t>98938-27</t>
        </is>
      </c>
      <c r="B675" s="10" t="inlineStr">
        <is>
          <t>Veriflow</t>
        </is>
      </c>
      <c r="C675" s="11" t="inlineStr">
        <is>
          <t>94612</t>
        </is>
      </c>
      <c r="D675" s="12" t="inlineStr">
        <is>
          <t>Provider of network security systems. The company offers a network management software for network architects, engineers and operators that uses formal verification to eliminate change-induced network outages and breaches.</t>
        </is>
      </c>
      <c r="E675" s="13" t="inlineStr">
        <is>
          <t>Network Management Software</t>
        </is>
      </c>
      <c r="F675" s="14" t="inlineStr">
        <is>
          <t>Oakland, CA</t>
        </is>
      </c>
      <c r="G675" s="15" t="inlineStr">
        <is>
          <t>Privately Held (backing)</t>
        </is>
      </c>
      <c r="H675" s="16" t="inlineStr">
        <is>
          <t>Venture Capital-Backed</t>
        </is>
      </c>
      <c r="I675" s="17" t="inlineStr">
        <is>
          <t>Menlo Ventures, National Science Foundation, New Enterprise Associates, Research Park, United States Department of Defense</t>
        </is>
      </c>
      <c r="J675" s="18" t="inlineStr">
        <is>
          <t>www.veriflow.net</t>
        </is>
      </c>
      <c r="K675" s="19" t="inlineStr">
        <is>
          <t/>
        </is>
      </c>
      <c r="L675" s="20" t="inlineStr">
        <is>
          <t>+1 (510) 844-7744</t>
        </is>
      </c>
      <c r="M675" s="21" t="inlineStr">
        <is>
          <t>Brighten Godfrey</t>
        </is>
      </c>
      <c r="N675" s="22" t="inlineStr">
        <is>
          <t>Co-Founder &amp; Chief Technology Officer</t>
        </is>
      </c>
      <c r="O675" s="23" t="inlineStr">
        <is>
          <t/>
        </is>
      </c>
      <c r="P675" s="24" t="inlineStr">
        <is>
          <t>+1 (510) 844-7744</t>
        </is>
      </c>
      <c r="Q675" s="25" t="n">
        <v>2012.0</v>
      </c>
      <c r="R675" s="113">
        <f>HYPERLINK("https://my.pitchbook.com?c=98938-27", "View company online")</f>
      </c>
    </row>
    <row r="676">
      <c r="A676" s="27" t="inlineStr">
        <is>
          <t>54751-06</t>
        </is>
      </c>
      <c r="B676" s="28" t="inlineStr">
        <is>
          <t>Verifaya</t>
        </is>
      </c>
      <c r="C676" s="29" t="inlineStr">
        <is>
          <t>560085</t>
        </is>
      </c>
      <c r="D676" s="30" t="inlineStr">
        <is>
          <t>Provider of online and on-demand automated functional testing services. The company provides automated testing for Web and mobile applications. The company also offers various other testing services, including performance and load testing, localization testing, security testing, compliance testing, and usability testing.</t>
        </is>
      </c>
      <c r="E676" s="31" t="inlineStr">
        <is>
          <t>Automation/Workflow Software</t>
        </is>
      </c>
      <c r="F676" s="32" t="inlineStr">
        <is>
          <t>Bangalore, India</t>
        </is>
      </c>
      <c r="G676" s="33" t="inlineStr">
        <is>
          <t>Privately Held (backing)</t>
        </is>
      </c>
      <c r="H676" s="34" t="inlineStr">
        <is>
          <t>Venture Capital-Backed</t>
        </is>
      </c>
      <c r="I676" s="35" t="inlineStr">
        <is>
          <t>Intel Capital</t>
        </is>
      </c>
      <c r="J676" s="36" t="inlineStr">
        <is>
          <t>www.verifaya.com</t>
        </is>
      </c>
      <c r="K676" s="37" t="inlineStr">
        <is>
          <t/>
        </is>
      </c>
      <c r="L676" s="38" t="inlineStr">
        <is>
          <t>+91 (0)80 6736 3700</t>
        </is>
      </c>
      <c r="M676" s="39" t="inlineStr">
        <is>
          <t>Girish Basidoni</t>
        </is>
      </c>
      <c r="N676" s="40" t="inlineStr">
        <is>
          <t>Co-Founder &amp; President</t>
        </is>
      </c>
      <c r="O676" s="41" t="inlineStr">
        <is>
          <t>basidoni@verifaya.com</t>
        </is>
      </c>
      <c r="P676" s="42" t="inlineStr">
        <is>
          <t>+91 (0)80 6736 3700</t>
        </is>
      </c>
      <c r="Q676" s="43" t="n">
        <v>2005.0</v>
      </c>
      <c r="R676" s="114">
        <f>HYPERLINK("https://my.pitchbook.com?c=54751-06", "View company online")</f>
      </c>
    </row>
    <row r="677">
      <c r="A677" s="9" t="inlineStr">
        <is>
          <t>48543-04</t>
        </is>
      </c>
      <c r="B677" s="10" t="inlineStr">
        <is>
          <t>Verient</t>
        </is>
      </c>
      <c r="C677" s="11" t="inlineStr">
        <is>
          <t>95129</t>
        </is>
      </c>
      <c r="D677" s="12" t="inlineStr">
        <is>
          <t>Provider of payment customization services to financial institutions and merchants to customize payment choices for their customers. The company’s services include ATM/Debit on the Internet, which enables its clients’ customers to pay for online purchases directly from their bank account, Pay My Way Card, that provides online retail and small business customers with the capability of creating made-to-order payment instruments and Payment Capture, which enables financial institutions to detect their customers’ online payment activities.</t>
        </is>
      </c>
      <c r="E677" s="13" t="inlineStr">
        <is>
          <t>Application Software</t>
        </is>
      </c>
      <c r="F677" s="14" t="inlineStr">
        <is>
          <t>San Jose, CA</t>
        </is>
      </c>
      <c r="G677" s="15" t="inlineStr">
        <is>
          <t>Privately Held (backing)</t>
        </is>
      </c>
      <c r="H677" s="16" t="inlineStr">
        <is>
          <t>Venture Capital-Backed</t>
        </is>
      </c>
      <c r="I677" s="17" t="inlineStr">
        <is>
          <t>Docomo Innovation, Global Catalyst Partners, Individual Investor, John McCoy</t>
        </is>
      </c>
      <c r="J677" s="18" t="inlineStr">
        <is>
          <t>www.verient.com</t>
        </is>
      </c>
      <c r="K677" s="19" t="inlineStr">
        <is>
          <t>information@verient.com</t>
        </is>
      </c>
      <c r="L677" s="20" t="inlineStr">
        <is>
          <t>+1 (408) 521-1660</t>
        </is>
      </c>
      <c r="M677" s="21" t="inlineStr">
        <is>
          <t>Rajesh Shakkarwar</t>
        </is>
      </c>
      <c r="N677" s="22" t="inlineStr">
        <is>
          <t>Founder, President, Chief Executive Officer &amp; Board Member</t>
        </is>
      </c>
      <c r="O677" s="23" t="inlineStr">
        <is>
          <t>rshakkarwar@verient.com</t>
        </is>
      </c>
      <c r="P677" s="24" t="inlineStr">
        <is>
          <t>+1 (408) 521-1660</t>
        </is>
      </c>
      <c r="Q677" s="25" t="n">
        <v>2006.0</v>
      </c>
      <c r="R677" s="113">
        <f>HYPERLINK("https://my.pitchbook.com?c=48543-04", "View company online")</f>
      </c>
    </row>
    <row r="678">
      <c r="A678" s="27" t="inlineStr">
        <is>
          <t>102975-85</t>
        </is>
      </c>
      <c r="B678" s="28" t="inlineStr">
        <is>
          <t>Verican</t>
        </is>
      </c>
      <c r="C678" s="29" t="inlineStr">
        <is>
          <t>92543</t>
        </is>
      </c>
      <c r="D678" s="30" t="inlineStr">
        <is>
          <t>Provider of printing and Internet services to newspapers. The company provides Internet products that helps in the advertising services of newspaper industry.</t>
        </is>
      </c>
      <c r="E678" s="31" t="inlineStr">
        <is>
          <t>Publishing</t>
        </is>
      </c>
      <c r="F678" s="32" t="inlineStr">
        <is>
          <t>Hemet, CA</t>
        </is>
      </c>
      <c r="G678" s="33" t="inlineStr">
        <is>
          <t>Privately Held (backing)</t>
        </is>
      </c>
      <c r="H678" s="34" t="inlineStr">
        <is>
          <t>Venture Capital-Backed</t>
        </is>
      </c>
      <c r="I678" s="35" t="inlineStr">
        <is>
          <t>Keiretsu Forum</t>
        </is>
      </c>
      <c r="J678" s="36" t="inlineStr">
        <is>
          <t>www.verican.com</t>
        </is>
      </c>
      <c r="K678" s="37" t="inlineStr">
        <is>
          <t>info@verican.com</t>
        </is>
      </c>
      <c r="L678" s="38" t="inlineStr">
        <is>
          <t>+1 (415) 296-7300</t>
        </is>
      </c>
      <c r="M678" s="39" t="inlineStr">
        <is>
          <t>Eric Buskirk</t>
        </is>
      </c>
      <c r="N678" s="40" t="inlineStr">
        <is>
          <t>Founder &amp; Chief Executive Officer</t>
        </is>
      </c>
      <c r="O678" s="41" t="inlineStr">
        <is>
          <t>ebuskirk@verican.com</t>
        </is>
      </c>
      <c r="P678" s="42" t="inlineStr">
        <is>
          <t>+1 (415) 296-7300</t>
        </is>
      </c>
      <c r="Q678" s="43" t="n">
        <v>2001.0</v>
      </c>
      <c r="R678" s="114">
        <f>HYPERLINK("https://my.pitchbook.com?c=102975-85", "View company online")</f>
      </c>
    </row>
    <row r="679">
      <c r="A679" s="9" t="inlineStr">
        <is>
          <t>174108-88</t>
        </is>
      </c>
      <c r="B679" s="10" t="inlineStr">
        <is>
          <t>VeriCampus</t>
        </is>
      </c>
      <c r="C679" s="11" t="inlineStr">
        <is>
          <t/>
        </is>
      </c>
      <c r="D679" s="12" t="inlineStr">
        <is>
          <t>Provider of a school management application intended to bridge the communication gap among students, teachers, administration and parents. The company's school management application offers VeriCampus Live, a twice monthly session delivered over Facebook Live, which invites leaders in the education sector to share their learning, insight and best practices with other members of the education community across the world enabling educational institutions serve their stakeholders faster way.</t>
        </is>
      </c>
      <c r="E679" s="13" t="inlineStr">
        <is>
          <t>Application Software</t>
        </is>
      </c>
      <c r="F679" s="14" t="inlineStr">
        <is>
          <t>San Mateo, CA</t>
        </is>
      </c>
      <c r="G679" s="15" t="inlineStr">
        <is>
          <t>Privately Held (backing)</t>
        </is>
      </c>
      <c r="H679" s="16" t="inlineStr">
        <is>
          <t>Venture Capital-Backed</t>
        </is>
      </c>
      <c r="I679" s="17" t="inlineStr">
        <is>
          <t>Bpifrance, EMLYON Incubateur, SpeedUPAfrica</t>
        </is>
      </c>
      <c r="J679" s="18" t="inlineStr">
        <is>
          <t>www.vericampus.com</t>
        </is>
      </c>
      <c r="K679" s="19" t="inlineStr">
        <is>
          <t>hello@vericampus.com</t>
        </is>
      </c>
      <c r="L679" s="20" t="inlineStr">
        <is>
          <t>+1 (628) 225-9816</t>
        </is>
      </c>
      <c r="M679" s="21" t="inlineStr">
        <is>
          <t>Seun Owolabi</t>
        </is>
      </c>
      <c r="N679" s="22" t="inlineStr">
        <is>
          <t>Founder and Strategist</t>
        </is>
      </c>
      <c r="O679" s="23" t="inlineStr">
        <is>
          <t/>
        </is>
      </c>
      <c r="P679" s="24" t="inlineStr">
        <is>
          <t>+1 (628) 225-9816</t>
        </is>
      </c>
      <c r="Q679" s="25" t="n">
        <v>2015.0</v>
      </c>
      <c r="R679" s="113">
        <f>HYPERLINK("https://my.pitchbook.com?c=174108-88", "View company online")</f>
      </c>
    </row>
    <row r="680">
      <c r="A680" s="27" t="inlineStr">
        <is>
          <t>120581-74</t>
        </is>
      </c>
      <c r="B680" s="28" t="inlineStr">
        <is>
          <t>Verge Genomics</t>
        </is>
      </c>
      <c r="C680" s="29" t="inlineStr">
        <is>
          <t>94105</t>
        </is>
      </c>
      <c r="D680" s="30" t="inlineStr">
        <is>
          <t>Developer of an advanced algorithm platform intended to cure neurodegenerative diseases. The company's advanced algorithm platform develops new treatments for brain diseases using human genomic data, provides a way to map out various genes that cause a disease and find drugs that target all the genes at once, providing the healthcare industry with cures for brain diseases including Alzheimers, ALS, and Parkinsons.</t>
        </is>
      </c>
      <c r="E680" s="31" t="inlineStr">
        <is>
          <t>Other Healthcare Technology Systems</t>
        </is>
      </c>
      <c r="F680" s="32" t="inlineStr">
        <is>
          <t>San Francisco, CA</t>
        </is>
      </c>
      <c r="G680" s="33" t="inlineStr">
        <is>
          <t>Privately Held (backing)</t>
        </is>
      </c>
      <c r="H680" s="34" t="inlineStr">
        <is>
          <t>Venture Capital-Backed</t>
        </is>
      </c>
      <c r="I680" s="35" t="inlineStr">
        <is>
          <t>David Lee, Draper Associates, Elad Gil, Great Oaks Venture Capital, IA Ventures, Individual Investor, Karlin Ventures, Refactor Capital, Slow Ventures, Two Sigma Investments, Y Combinator</t>
        </is>
      </c>
      <c r="J680" s="36" t="inlineStr">
        <is>
          <t>www.vergegenomics.com</t>
        </is>
      </c>
      <c r="K680" s="37" t="inlineStr">
        <is>
          <t>hello@vergegenomics.com</t>
        </is>
      </c>
      <c r="L680" s="38" t="inlineStr">
        <is>
          <t/>
        </is>
      </c>
      <c r="M680" s="39" t="inlineStr">
        <is>
          <t>Alice Zhang</t>
        </is>
      </c>
      <c r="N680" s="40" t="inlineStr">
        <is>
          <t>Co-Founder, President &amp; Chief Executive Officer</t>
        </is>
      </c>
      <c r="O680" s="41" t="inlineStr">
        <is>
          <t>alice@vergegenomics.com</t>
        </is>
      </c>
      <c r="P680" s="42" t="inlineStr">
        <is>
          <t/>
        </is>
      </c>
      <c r="Q680" s="43" t="n">
        <v>2015.0</v>
      </c>
      <c r="R680" s="114">
        <f>HYPERLINK("https://my.pitchbook.com?c=120581-74", "View company online")</f>
      </c>
    </row>
    <row r="681">
      <c r="A681" s="9" t="inlineStr">
        <is>
          <t>117601-75</t>
        </is>
      </c>
      <c r="B681" s="10" t="inlineStr">
        <is>
          <t>Verecho</t>
        </is>
      </c>
      <c r="C681" s="11" t="inlineStr">
        <is>
          <t>94304</t>
        </is>
      </c>
      <c r="D681" s="12" t="inlineStr">
        <is>
          <t>Developer of a mobile enterprise software. The company provides a mobile software platform that enables companies to deploy information to their employees on their mobile devices to increase productivity and engagement.</t>
        </is>
      </c>
      <c r="E681" s="13" t="inlineStr">
        <is>
          <t>Application Software</t>
        </is>
      </c>
      <c r="F681" s="14" t="inlineStr">
        <is>
          <t>Palo Alto, CA</t>
        </is>
      </c>
      <c r="G681" s="15" t="inlineStr">
        <is>
          <t>Privately Held (backing)</t>
        </is>
      </c>
      <c r="H681" s="16" t="inlineStr">
        <is>
          <t>Venture Capital-Backed</t>
        </is>
      </c>
      <c r="I681" s="17" t="inlineStr">
        <is>
          <t>Alchemist Accelerator, Marco Wirasinghe, Monta Vista Capital, Prabhu Goel</t>
        </is>
      </c>
      <c r="J681" s="18" t="inlineStr">
        <is>
          <t>www.verecho.com</t>
        </is>
      </c>
      <c r="K681" s="19" t="inlineStr">
        <is>
          <t>info@verecho.com</t>
        </is>
      </c>
      <c r="L681" s="20" t="inlineStr">
        <is>
          <t>+1 (650) 206-8054</t>
        </is>
      </c>
      <c r="M681" s="21" t="inlineStr">
        <is>
          <t>Pooneet Goel</t>
        </is>
      </c>
      <c r="N681" s="22" t="inlineStr">
        <is>
          <t>Co-Founder &amp; Chief Executive Officer</t>
        </is>
      </c>
      <c r="O681" s="23" t="inlineStr">
        <is>
          <t/>
        </is>
      </c>
      <c r="P681" s="24" t="inlineStr">
        <is>
          <t>+1 (650) 206-8054</t>
        </is>
      </c>
      <c r="Q681" s="25" t="n">
        <v>2015.0</v>
      </c>
      <c r="R681" s="113">
        <f>HYPERLINK("https://my.pitchbook.com?c=117601-75", "View company online")</f>
      </c>
    </row>
    <row r="682">
      <c r="A682" s="27" t="inlineStr">
        <is>
          <t>58696-39</t>
        </is>
      </c>
      <c r="B682" s="28" t="inlineStr">
        <is>
          <t>Verdigris</t>
        </is>
      </c>
      <c r="C682" s="29" t="inlineStr">
        <is>
          <t>94035</t>
        </is>
      </c>
      <c r="D682" s="30" t="inlineStr">
        <is>
          <t>Provider of energy monitoring platform and analytics software. The company has developed an IoT technology to target large commercial building energy analytics. It also provides energy management tools for energy reduction, demand management and monitoring mission-critical equipment.</t>
        </is>
      </c>
      <c r="E682" s="31" t="inlineStr">
        <is>
          <t>Electrical Equipment</t>
        </is>
      </c>
      <c r="F682" s="32" t="inlineStr">
        <is>
          <t>Mountain View, CA</t>
        </is>
      </c>
      <c r="G682" s="33" t="inlineStr">
        <is>
          <t>Privately Held (backing)</t>
        </is>
      </c>
      <c r="H682" s="34" t="inlineStr">
        <is>
          <t>Venture Capital-Backed</t>
        </is>
      </c>
      <c r="I682" s="35" t="inlineStr">
        <is>
          <t>Amos Ben-Meir, Data Collective, Founder.org, Jabil Circuit, StartX, Verizon Ventures</t>
        </is>
      </c>
      <c r="J682" s="36" t="inlineStr">
        <is>
          <t>verdigris.co</t>
        </is>
      </c>
      <c r="K682" s="37" t="inlineStr">
        <is>
          <t>info@verdigris.co</t>
        </is>
      </c>
      <c r="L682" s="38" t="inlineStr">
        <is>
          <t>+1 (844) 837-3447</t>
        </is>
      </c>
      <c r="M682" s="39" t="inlineStr">
        <is>
          <t>Mark Chung</t>
        </is>
      </c>
      <c r="N682" s="40" t="inlineStr">
        <is>
          <t>Co-Founder, Chief Executive Officer and Board Member</t>
        </is>
      </c>
      <c r="O682" s="41" t="inlineStr">
        <is>
          <t>mark@verdigris.co</t>
        </is>
      </c>
      <c r="P682" s="42" t="inlineStr">
        <is>
          <t>+1 (844) 837-3447</t>
        </is>
      </c>
      <c r="Q682" s="43" t="n">
        <v>2012.0</v>
      </c>
      <c r="R682" s="114">
        <f>HYPERLINK("https://my.pitchbook.com?c=58696-39", "View company online")</f>
      </c>
    </row>
    <row r="683">
      <c r="A683" s="9" t="inlineStr">
        <is>
          <t>51346-99</t>
        </is>
      </c>
      <c r="B683" s="10" t="inlineStr">
        <is>
          <t>Verdezyne</t>
        </is>
      </c>
      <c r="C683" s="11" t="inlineStr">
        <is>
          <t>92010</t>
        </is>
      </c>
      <c r="D683" s="12" t="inlineStr">
        <is>
          <t>Developer of bio-based processes for the production of renewable fuels and chemicals. The company uses proven and metabolic pathway engineering tools to create yeast strains for production of bio-based fuels and chemicals.</t>
        </is>
      </c>
      <c r="E683" s="13" t="inlineStr">
        <is>
          <t>Energy Production</t>
        </is>
      </c>
      <c r="F683" s="14" t="inlineStr">
        <is>
          <t>Carlsbad, CA</t>
        </is>
      </c>
      <c r="G683" s="15" t="inlineStr">
        <is>
          <t>Privately Held (backing)</t>
        </is>
      </c>
      <c r="H683" s="16" t="inlineStr">
        <is>
          <t>Venture Capital-Backed</t>
        </is>
      </c>
      <c r="I683" s="17" t="inlineStr">
        <is>
          <t>BP Ventures, DSM Venturing, Enterprise Partners Venture Capital, Hercules Capital, Individual Investor, Life Science Angels, Monitor Ventures, OVP Venture Partners, Sime Darby, Tech Coast Angels, William Radany</t>
        </is>
      </c>
      <c r="J683" s="18" t="inlineStr">
        <is>
          <t>www.verdezyne.com</t>
        </is>
      </c>
      <c r="K683" s="19" t="inlineStr">
        <is>
          <t>info@verdezyne.com</t>
        </is>
      </c>
      <c r="L683" s="20" t="inlineStr">
        <is>
          <t>+1 (760) 707-5200</t>
        </is>
      </c>
      <c r="M683" s="21" t="inlineStr">
        <is>
          <t>David Kelsey</t>
        </is>
      </c>
      <c r="N683" s="22" t="inlineStr">
        <is>
          <t>Chief Financial Officer</t>
        </is>
      </c>
      <c r="O683" s="23" t="inlineStr">
        <is>
          <t>dkelsey@verdezyne.com</t>
        </is>
      </c>
      <c r="P683" s="24" t="inlineStr">
        <is>
          <t>+1 (760) 707-5200</t>
        </is>
      </c>
      <c r="Q683" s="25" t="n">
        <v>2005.0</v>
      </c>
      <c r="R683" s="113">
        <f>HYPERLINK("https://my.pitchbook.com?c=51346-99", "View company online")</f>
      </c>
    </row>
    <row r="684">
      <c r="A684" s="27" t="inlineStr">
        <is>
          <t>53863-39</t>
        </is>
      </c>
      <c r="B684" s="28" t="inlineStr">
        <is>
          <t>Verbling</t>
        </is>
      </c>
      <c r="C684" s="29" t="inlineStr">
        <is>
          <t>94110</t>
        </is>
      </c>
      <c r="D684" s="30" t="inlineStr">
        <is>
          <t>Provider of an online language learning platform. The company offers an online platform where language learners can take lessons with professional teachers through video chat technology to learn new languages.</t>
        </is>
      </c>
      <c r="E684" s="31" t="inlineStr">
        <is>
          <t>Social/Platform Software</t>
        </is>
      </c>
      <c r="F684" s="32" t="inlineStr">
        <is>
          <t>San Francisco, CA</t>
        </is>
      </c>
      <c r="G684" s="33" t="inlineStr">
        <is>
          <t>Privately Held (backing)</t>
        </is>
      </c>
      <c r="H684" s="34" t="inlineStr">
        <is>
          <t>Venture Capital-Backed</t>
        </is>
      </c>
      <c r="I684" s="35" t="inlineStr">
        <is>
          <t>ACE &amp; Company, Adam Sharp, Amir Banifatemi, Andrew Crichton, Bullpen Capital, Canyon Creek Capital, Chintaka Ranatunga, Draper Fisher Jurvetson, FundersClub, Hubrix Ventures, Hydrazine Capital, Individual Investor, Inspovation Ventures, J.D. Fagan, Jim Brandt, John Stockdale, Joshua Schachter, Justin Darcy, K5 Ventures, Kevin Moore, Learn Capital, Maiden Lane, Mark Friedgan, MD Pham, Meck Investments, Meyer Malka, Oliver Thylmann, One Planet Ops, Paul Holliman, Payam Zamani, Peter Livingston, Rich Nelson, Robert Kunz, Ronald Conway, Rothenberg Ventures, Saad AlSogair, Start Fund, SV Angel, Timothy Draper, Walker Williams, Wei Guo, Y Combinator, Yun-Fang Juan, Yuri Milner</t>
        </is>
      </c>
      <c r="J684" s="36" t="inlineStr">
        <is>
          <t>www.verbling.com</t>
        </is>
      </c>
      <c r="K684" s="37" t="inlineStr">
        <is>
          <t>info@verbling.com</t>
        </is>
      </c>
      <c r="L684" s="38" t="inlineStr">
        <is>
          <t>+1 (650) 388-9923</t>
        </is>
      </c>
      <c r="M684" s="39" t="inlineStr">
        <is>
          <t>Mikael Bernstein</t>
        </is>
      </c>
      <c r="N684" s="40" t="inlineStr">
        <is>
          <t>Co-Founder &amp; Chief of Product</t>
        </is>
      </c>
      <c r="O684" s="41" t="inlineStr">
        <is>
          <t>mikael@verbling.com</t>
        </is>
      </c>
      <c r="P684" s="42" t="inlineStr">
        <is>
          <t>+1 (650) 388-9923</t>
        </is>
      </c>
      <c r="Q684" s="43" t="n">
        <v>2011.0</v>
      </c>
      <c r="R684" s="114">
        <f>HYPERLINK("https://my.pitchbook.com?c=53863-39", "View company online")</f>
      </c>
    </row>
    <row r="685">
      <c r="A685" s="9" t="inlineStr">
        <is>
          <t>168194-71</t>
        </is>
      </c>
      <c r="B685" s="10" t="inlineStr">
        <is>
          <t>Verb Surgical</t>
        </is>
      </c>
      <c r="C685" s="11" t="inlineStr">
        <is>
          <t>94043</t>
        </is>
      </c>
      <c r="D685" s="12" t="inlineStr">
        <is>
          <t>Developer of a digital surgery platform designed to democratize surgery. The company's digital surgery platform includes robotics, visualization, advanced instrumentation, data analytics and connectivity, enabling patients to experience improved outcomes and reduced overall cost of care.</t>
        </is>
      </c>
      <c r="E685" s="13" t="inlineStr">
        <is>
          <t>Clinics/Outpatient Services</t>
        </is>
      </c>
      <c r="F685" s="14" t="inlineStr">
        <is>
          <t>Mountain View, CA</t>
        </is>
      </c>
      <c r="G685" s="15" t="inlineStr">
        <is>
          <t>Privately Held (backing)</t>
        </is>
      </c>
      <c r="H685" s="16" t="inlineStr">
        <is>
          <t>Venture Capital-Backed</t>
        </is>
      </c>
      <c r="I685" s="17" t="inlineStr">
        <is>
          <t>Ethicon, Johnson &amp; Johnson Innovation - JJDC, Verily Life Sciences</t>
        </is>
      </c>
      <c r="J685" s="18" t="inlineStr">
        <is>
          <t>www.verbsurgical.com</t>
        </is>
      </c>
      <c r="K685" s="19" t="inlineStr">
        <is>
          <t/>
        </is>
      </c>
      <c r="L685" s="20" t="inlineStr">
        <is>
          <t/>
        </is>
      </c>
      <c r="M685" s="21" t="inlineStr">
        <is>
          <t>Scott Huennekens</t>
        </is>
      </c>
      <c r="N685" s="22" t="inlineStr">
        <is>
          <t>Chairman, Chief Executive Officer &amp; President</t>
        </is>
      </c>
      <c r="O685" s="23" t="inlineStr">
        <is>
          <t>scotthuennekens@verbsurgical.com</t>
        </is>
      </c>
      <c r="P685" s="24" t="inlineStr">
        <is>
          <t/>
        </is>
      </c>
      <c r="Q685" s="25" t="n">
        <v>2015.0</v>
      </c>
      <c r="R685" s="113">
        <f>HYPERLINK("https://my.pitchbook.com?c=168194-71", "View company online")</f>
      </c>
    </row>
    <row r="686">
      <c r="A686" s="27" t="inlineStr">
        <is>
          <t>55111-87</t>
        </is>
      </c>
      <c r="B686" s="28" t="inlineStr">
        <is>
          <t>Verayo</t>
        </is>
      </c>
      <c r="C686" s="29" t="inlineStr">
        <is>
          <t>95129</t>
        </is>
      </c>
      <c r="D686" s="30" t="inlineStr">
        <is>
          <t>Provider of security products for mobile and connected devices. The company develops commercial products for mobile and other connected devices such as unclonable chips, authentication software, consumer engagement, back-end data analysis enabling platforms and key generation.</t>
        </is>
      </c>
      <c r="E686" s="31" t="inlineStr">
        <is>
          <t>Electronic Components</t>
        </is>
      </c>
      <c r="F686" s="32" t="inlineStr">
        <is>
          <t>San Jose, CA</t>
        </is>
      </c>
      <c r="G686" s="33" t="inlineStr">
        <is>
          <t>Privately Held (backing)</t>
        </is>
      </c>
      <c r="H686" s="34" t="inlineStr">
        <is>
          <t>Venture Capital-Backed</t>
        </is>
      </c>
      <c r="I686" s="35" t="inlineStr">
        <is>
          <t>Khosla Ventures</t>
        </is>
      </c>
      <c r="J686" s="36" t="inlineStr">
        <is>
          <t>www.verayo.com</t>
        </is>
      </c>
      <c r="K686" s="37" t="inlineStr">
        <is>
          <t>contact@verayo.com</t>
        </is>
      </c>
      <c r="L686" s="38" t="inlineStr">
        <is>
          <t>+1 (408) 996-0352</t>
        </is>
      </c>
      <c r="M686" s="39" t="inlineStr">
        <is>
          <t>Patrizia Owen</t>
        </is>
      </c>
      <c r="N686" s="40" t="inlineStr">
        <is>
          <t>Chief Financial Officer</t>
        </is>
      </c>
      <c r="O686" s="41" t="inlineStr">
        <is>
          <t/>
        </is>
      </c>
      <c r="P686" s="42" t="inlineStr">
        <is>
          <t>+1 (408) 996-0352</t>
        </is>
      </c>
      <c r="Q686" s="43" t="n">
        <v>2005.0</v>
      </c>
      <c r="R686" s="114">
        <f>HYPERLINK("https://my.pitchbook.com?c=55111-87", "View company online")</f>
      </c>
    </row>
    <row r="687">
      <c r="A687" s="9" t="inlineStr">
        <is>
          <t>52979-86</t>
        </is>
      </c>
      <c r="B687" s="10" t="inlineStr">
        <is>
          <t>Verance</t>
        </is>
      </c>
      <c r="C687" s="11" t="inlineStr">
        <is>
          <t>92131</t>
        </is>
      </c>
      <c r="D687" s="12" t="inlineStr">
        <is>
          <t>Provider of watermarking services. The company is a developer of technologies and services that protect, manage, and enhance the use of premium entertainment content.</t>
        </is>
      </c>
      <c r="E687" s="13" t="inlineStr">
        <is>
          <t>Security Services (B2B)</t>
        </is>
      </c>
      <c r="F687" s="14" t="inlineStr">
        <is>
          <t>San Diego, CA</t>
        </is>
      </c>
      <c r="G687" s="15" t="inlineStr">
        <is>
          <t>Privately Held (backing)</t>
        </is>
      </c>
      <c r="H687" s="16" t="inlineStr">
        <is>
          <t>Venture Capital-Backed</t>
        </is>
      </c>
      <c r="I687" s="17" t="inlineStr">
        <is>
          <t>Blue Chip Venture, Canaan Partners, Consor Capital, Court Square Ventures, Digital Generation, HPS Investment Partners, Qualcomm Ventures, Stone Point Capital, Video Research</t>
        </is>
      </c>
      <c r="J687" s="18" t="inlineStr">
        <is>
          <t>www.verance.com</t>
        </is>
      </c>
      <c r="K687" s="19" t="inlineStr">
        <is>
          <t/>
        </is>
      </c>
      <c r="L687" s="20" t="inlineStr">
        <is>
          <t>+1 (858) 202-2800</t>
        </is>
      </c>
      <c r="M687" s="21" t="inlineStr">
        <is>
          <t>Mario Petrocco</t>
        </is>
      </c>
      <c r="N687" s="22" t="inlineStr">
        <is>
          <t>Chief Financial Officer &amp; Senior Vice President</t>
        </is>
      </c>
      <c r="O687" s="23" t="inlineStr">
        <is>
          <t>mpetrocco@verance.com</t>
        </is>
      </c>
      <c r="P687" s="24" t="inlineStr">
        <is>
          <t>+1 (858) 202-2800</t>
        </is>
      </c>
      <c r="Q687" s="25" t="n">
        <v>1999.0</v>
      </c>
      <c r="R687" s="113">
        <f>HYPERLINK("https://my.pitchbook.com?c=52979-86", "View company online")</f>
      </c>
    </row>
    <row r="688">
      <c r="A688" s="27" t="inlineStr">
        <is>
          <t>113119-21</t>
        </is>
      </c>
      <c r="B688" s="28" t="inlineStr">
        <is>
          <t>Veracity</t>
        </is>
      </c>
      <c r="C688" s="29" t="inlineStr">
        <is>
          <t>92656</t>
        </is>
      </c>
      <c r="D688" s="30" t="inlineStr">
        <is>
          <t>Provider of enterprise class security platform for operational technology (OT) networks intended to offer complete network visibility. The company's enterprise class security platform monitors the integrity of critical assets by tracking their communications and risk behaviors, enabling analysts to detect suspicious activity or access to the network.</t>
        </is>
      </c>
      <c r="E688" s="31" t="inlineStr">
        <is>
          <t>Network Management Software</t>
        </is>
      </c>
      <c r="F688" s="32" t="inlineStr">
        <is>
          <t>Aliso Viejo, CA</t>
        </is>
      </c>
      <c r="G688" s="33" t="inlineStr">
        <is>
          <t>Privately Held (backing)</t>
        </is>
      </c>
      <c r="H688" s="34" t="inlineStr">
        <is>
          <t>Venture Capital-Backed</t>
        </is>
      </c>
      <c r="I688" s="35" t="inlineStr">
        <is>
          <t>Frost Data Capital, Microsemi</t>
        </is>
      </c>
      <c r="J688" s="36" t="inlineStr">
        <is>
          <t>www.veracitysi.com</t>
        </is>
      </c>
      <c r="K688" s="37" t="inlineStr">
        <is>
          <t>info@veracitysi.com</t>
        </is>
      </c>
      <c r="L688" s="38" t="inlineStr">
        <is>
          <t>+1 (888) 383-2397</t>
        </is>
      </c>
      <c r="M688" s="39" t="inlineStr">
        <is>
          <t>Paul Myer</t>
        </is>
      </c>
      <c r="N688" s="40" t="inlineStr">
        <is>
          <t>Chief Executive Officer &amp; Board Member</t>
        </is>
      </c>
      <c r="O688" s="41" t="inlineStr">
        <is>
          <t>paul@veracitysi.com</t>
        </is>
      </c>
      <c r="P688" s="42" t="inlineStr">
        <is>
          <t>+1 (949) 373-9640 x173</t>
        </is>
      </c>
      <c r="Q688" s="43" t="n">
        <v>2014.0</v>
      </c>
      <c r="R688" s="114">
        <f>HYPERLINK("https://my.pitchbook.com?c=113119-21", "View company online")</f>
      </c>
    </row>
    <row r="689">
      <c r="A689" s="9" t="inlineStr">
        <is>
          <t>99583-39</t>
        </is>
      </c>
      <c r="B689" s="10" t="inlineStr">
        <is>
          <t>Vera</t>
        </is>
      </c>
      <c r="C689" s="11" t="inlineStr">
        <is>
          <t>94306</t>
        </is>
      </c>
      <c r="D689" s="12" t="inlineStr">
        <is>
          <t>Provider of a next-generation data security platform designed to secure, track and share any kind of data, no matter where it's stored or how it's shared. The company's next-generation data security platform is a robust policy enforcement, with encryption and strict access controls, enabling businesses to collaborate freely while ensuring the highest levels of security, visibility and control to confidential data, across any platform or device.</t>
        </is>
      </c>
      <c r="E689" s="13" t="inlineStr">
        <is>
          <t>Network Management Software</t>
        </is>
      </c>
      <c r="F689" s="14" t="inlineStr">
        <is>
          <t>Palo Alto, CA</t>
        </is>
      </c>
      <c r="G689" s="15" t="inlineStr">
        <is>
          <t>Privately Held (backing)</t>
        </is>
      </c>
      <c r="H689" s="16" t="inlineStr">
        <is>
          <t>Venture Capital-Backed</t>
        </is>
      </c>
      <c r="I689" s="17" t="inlineStr">
        <is>
          <t>Amplify Partners, Ashok Krishnamurthi, Battery Ventures, Capital One Growth Ventures, Christopher Rust, Clear Ventures, Hasso Plattner Ventures, Leslie Ventures, Nick Mehta, Sutter Hill Ventures</t>
        </is>
      </c>
      <c r="J689" s="18" t="inlineStr">
        <is>
          <t>www.vera.com</t>
        </is>
      </c>
      <c r="K689" s="19" t="inlineStr">
        <is>
          <t>info@vera.com</t>
        </is>
      </c>
      <c r="L689" s="20" t="inlineStr">
        <is>
          <t>+1 (650) 772-4050</t>
        </is>
      </c>
      <c r="M689" s="21" t="inlineStr">
        <is>
          <t>Ajay Arora</t>
        </is>
      </c>
      <c r="N689" s="22" t="inlineStr">
        <is>
          <t>Co-Founder, Chief Executive Officer &amp; Board Member</t>
        </is>
      </c>
      <c r="O689" s="23" t="inlineStr">
        <is>
          <t>ajay.arora@vera.com</t>
        </is>
      </c>
      <c r="P689" s="24" t="inlineStr">
        <is>
          <t>+1 (650) 772-4050</t>
        </is>
      </c>
      <c r="Q689" s="25" t="n">
        <v>2014.0</v>
      </c>
      <c r="R689" s="113">
        <f>HYPERLINK("https://my.pitchbook.com?c=99583-39", "View company online")</f>
      </c>
    </row>
    <row r="690">
      <c r="A690" s="27" t="inlineStr">
        <is>
          <t>103383-73</t>
        </is>
      </c>
      <c r="B690" s="28" t="inlineStr">
        <is>
          <t>VenueNext</t>
        </is>
      </c>
      <c r="C690" s="29" t="inlineStr">
        <is>
          <t>95054</t>
        </is>
      </c>
      <c r="D690" s="30" t="inlineStr">
        <is>
          <t>Provider of a mobile application software for stadium operations. The company provides a platform enabling stadium visitor to access their mobile tickets, parking passes, food and beverage, merchandise and way-finding, as well as watching live and instant replay content through their mobile devices.</t>
        </is>
      </c>
      <c r="E690" s="31" t="inlineStr">
        <is>
          <t>Vertical Market Software</t>
        </is>
      </c>
      <c r="F690" s="32" t="inlineStr">
        <is>
          <t>Santa Clara, CA</t>
        </is>
      </c>
      <c r="G690" s="33" t="inlineStr">
        <is>
          <t>Privately Held (backing)</t>
        </is>
      </c>
      <c r="H690" s="34" t="inlineStr">
        <is>
          <t>Venture Capital-Backed</t>
        </is>
      </c>
      <c r="I690" s="35" t="inlineStr">
        <is>
          <t>Aruba Networks, Aurum Partners, Causeway Media Partners, Compass Group USA, Live Nation Entertainment, Sharks Sports &amp; Entertainment, Twitter Ventures</t>
        </is>
      </c>
      <c r="J690" s="36" t="inlineStr">
        <is>
          <t>www.venuenext.com</t>
        </is>
      </c>
      <c r="K690" s="37" t="inlineStr">
        <is>
          <t/>
        </is>
      </c>
      <c r="L690" s="38" t="inlineStr">
        <is>
          <t>+1 (408) 562-4949</t>
        </is>
      </c>
      <c r="M690" s="39" t="inlineStr">
        <is>
          <t>John Paul</t>
        </is>
      </c>
      <c r="N690" s="40" t="inlineStr">
        <is>
          <t>Co-Founder, Chief Executive Officer &amp; Board Member</t>
        </is>
      </c>
      <c r="O690" s="41" t="inlineStr">
        <is>
          <t>jp@venuenext.com</t>
        </is>
      </c>
      <c r="P690" s="42" t="inlineStr">
        <is>
          <t>+1 (408) 562-4949</t>
        </is>
      </c>
      <c r="Q690" s="43" t="n">
        <v>2013.0</v>
      </c>
      <c r="R690" s="114">
        <f>HYPERLINK("https://my.pitchbook.com?c=103383-73", "View company online")</f>
      </c>
    </row>
    <row r="691">
      <c r="A691" s="9" t="inlineStr">
        <is>
          <t>52861-96</t>
        </is>
      </c>
      <c r="B691" s="10" t="inlineStr">
        <is>
          <t>Venturi Wireless</t>
        </is>
      </c>
      <c r="C691" s="11" t="inlineStr">
        <is>
          <t>95112</t>
        </is>
      </c>
      <c r="D691" s="12" t="inlineStr">
        <is>
          <t>Provider of mobile broadband optimization services for mobile and wireless operators. The company offers delivery of TCP-based applications and optimization engine, a capacity optimization server, which is designed to enhance data and multimedia service experience over wireless data networks for subscribers using desktops, laptops, smartphones and feature phones.</t>
        </is>
      </c>
      <c r="E691" s="13" t="inlineStr">
        <is>
          <t>Wireless Service Providers</t>
        </is>
      </c>
      <c r="F691" s="14" t="inlineStr">
        <is>
          <t>San Jose, CA</t>
        </is>
      </c>
      <c r="G691" s="15" t="inlineStr">
        <is>
          <t>Privately Held (backing)</t>
        </is>
      </c>
      <c r="H691" s="16" t="inlineStr">
        <is>
          <t>Venture Capital-Backed</t>
        </is>
      </c>
      <c r="I691" s="17" t="inlineStr">
        <is>
          <t>Granite Ventures, Horizon Ventures, Intel Capital, InterWest Partners, Novus Ventures, RG Capital, Storm Ventures</t>
        </is>
      </c>
      <c r="J691" s="18" t="inlineStr">
        <is>
          <t>www.venturiwireless.com</t>
        </is>
      </c>
      <c r="K691" s="19" t="inlineStr">
        <is>
          <t/>
        </is>
      </c>
      <c r="L691" s="20" t="inlineStr">
        <is>
          <t>+1 (408) 982-1130</t>
        </is>
      </c>
      <c r="M691" s="21" t="inlineStr">
        <is>
          <t>Uday Nagendran</t>
        </is>
      </c>
      <c r="N691" s="22" t="inlineStr">
        <is>
          <t>President, Chief Executive Officer &amp; Board Member</t>
        </is>
      </c>
      <c r="O691" s="23" t="inlineStr">
        <is>
          <t>unagendran@venturiwireless.com</t>
        </is>
      </c>
      <c r="P691" s="24" t="inlineStr">
        <is>
          <t>+1 (408) 982-1130</t>
        </is>
      </c>
      <c r="Q691" s="25" t="n">
        <v>1993.0</v>
      </c>
      <c r="R691" s="113">
        <f>HYPERLINK("https://my.pitchbook.com?c=52861-96", "View company online")</f>
      </c>
    </row>
    <row r="692">
      <c r="A692" s="27" t="inlineStr">
        <is>
          <t>53537-68</t>
        </is>
      </c>
      <c r="B692" s="28" t="inlineStr">
        <is>
          <t>VentureBeat</t>
        </is>
      </c>
      <c r="C692" s="29" t="inlineStr">
        <is>
          <t>94111</t>
        </is>
      </c>
      <c r="D692" s="30" t="inlineStr">
        <is>
          <t>Operator of an online innovation and technology news website intended to publish news, analysis, long-form features, interviews and videos. The company's online innovation and technology news website provides a source for news related to software, Internet, mobile and green-technology industries and offers an overview of technology trends, from social media to mobile, clean technology, games and computer chips, enabling individuals and companies to get news updates.</t>
        </is>
      </c>
      <c r="E692" s="31" t="inlineStr">
        <is>
          <t>Information Services (B2C)</t>
        </is>
      </c>
      <c r="F692" s="32" t="inlineStr">
        <is>
          <t>San Francisco, CA</t>
        </is>
      </c>
      <c r="G692" s="33" t="inlineStr">
        <is>
          <t>Privately Held (backing)</t>
        </is>
      </c>
      <c r="H692" s="34" t="inlineStr">
        <is>
          <t>Venture Capital-Backed</t>
        </is>
      </c>
      <c r="I692" s="35" t="inlineStr">
        <is>
          <t>Amidzad Partners, Aydin Senkut, Bodley Group, Crosslink Capital, Felicis Ventures, Foley Ventures, Formation 8, Georges Harik, Global Brain, Lightbank, MHS Capital, Mike Brown, Pankaj Shah, Philippe Cases, Plug and Play Tech Center, Rally Ventures, Walden Venture Capital</t>
        </is>
      </c>
      <c r="J692" s="36" t="inlineStr">
        <is>
          <t>www.venturebeat.com</t>
        </is>
      </c>
      <c r="K692" s="37" t="inlineStr">
        <is>
          <t>tips@venturebeat.com</t>
        </is>
      </c>
      <c r="L692" s="38" t="inlineStr">
        <is>
          <t/>
        </is>
      </c>
      <c r="M692" s="39" t="inlineStr">
        <is>
          <t>Matthew Marshall</t>
        </is>
      </c>
      <c r="N692" s="40" t="inlineStr">
        <is>
          <t>Founder, President, Chief Executive Officer &amp; Board Member</t>
        </is>
      </c>
      <c r="O692" s="41" t="inlineStr">
        <is>
          <t>mmarshall@venturebeat.com</t>
        </is>
      </c>
      <c r="P692" s="42" t="inlineStr">
        <is>
          <t/>
        </is>
      </c>
      <c r="Q692" s="43" t="n">
        <v>2006.0</v>
      </c>
      <c r="R692" s="114">
        <f>HYPERLINK("https://my.pitchbook.com?c=53537-68", "View company online")</f>
      </c>
    </row>
    <row r="693">
      <c r="A693" s="9" t="inlineStr">
        <is>
          <t>102574-18</t>
        </is>
      </c>
      <c r="B693" s="10" t="inlineStr">
        <is>
          <t>Venture Scanner</t>
        </is>
      </c>
      <c r="C693" s="11" t="inlineStr">
        <is>
          <t>94105</t>
        </is>
      </c>
      <c r="D693" s="12" t="inlineStr">
        <is>
          <t>Developer of a business-intelligence platform designed to provide continuous data on emerging technology companies. The company's BI platform offers proprietary scanning technology which combines analyst insights with program-derived data, enabling clients to learn and analyze funding and operational data, specific to early technology verticals.</t>
        </is>
      </c>
      <c r="E693" s="13" t="inlineStr">
        <is>
          <t>Financial Software</t>
        </is>
      </c>
      <c r="F693" s="14" t="inlineStr">
        <is>
          <t>San Francisco, CA</t>
        </is>
      </c>
      <c r="G693" s="15" t="inlineStr">
        <is>
          <t>Privately Held (backing)</t>
        </is>
      </c>
      <c r="H693" s="16" t="inlineStr">
        <is>
          <t>Venture Capital-Backed</t>
        </is>
      </c>
      <c r="I693" s="17" t="inlineStr">
        <is>
          <t>Bee Partners</t>
        </is>
      </c>
      <c r="J693" s="18" t="inlineStr">
        <is>
          <t>www.venturescanner.com</t>
        </is>
      </c>
      <c r="K693" s="19" t="inlineStr">
        <is>
          <t>info@venturescanner.com</t>
        </is>
      </c>
      <c r="L693" s="20" t="inlineStr">
        <is>
          <t/>
        </is>
      </c>
      <c r="M693" s="21" t="inlineStr">
        <is>
          <t>Nader Ghaffari</t>
        </is>
      </c>
      <c r="N693" s="22" t="inlineStr">
        <is>
          <t>Co-Founder &amp; Chief Executive Officer</t>
        </is>
      </c>
      <c r="O693" s="23" t="inlineStr">
        <is>
          <t>nader@venturescanner.com</t>
        </is>
      </c>
      <c r="P693" s="24" t="inlineStr">
        <is>
          <t/>
        </is>
      </c>
      <c r="Q693" s="25" t="n">
        <v>2014.0</v>
      </c>
      <c r="R693" s="113">
        <f>HYPERLINK("https://my.pitchbook.com?c=102574-18", "View company online")</f>
      </c>
    </row>
    <row r="694">
      <c r="A694" s="27" t="inlineStr">
        <is>
          <t>113819-32</t>
        </is>
      </c>
      <c r="B694" s="28" t="inlineStr">
        <is>
          <t>Venture Grove</t>
        </is>
      </c>
      <c r="C694" s="29" t="inlineStr">
        <is>
          <t>37203</t>
        </is>
      </c>
      <c r="D694" s="30" t="inlineStr">
        <is>
          <t>Provider of a strategic development platform for startup companies. The company offers an online analytics based platform which helps startup companies to create a dashboard by aggregating and normalizing innovation and entrepreneurial data of the companies. The dashboard helps them to connect with the required corporate needs.</t>
        </is>
      </c>
      <c r="E694" s="31" t="inlineStr">
        <is>
          <t>Social/Platform Software</t>
        </is>
      </c>
      <c r="F694" s="32" t="inlineStr">
        <is>
          <t>Nashville, TN</t>
        </is>
      </c>
      <c r="G694" s="33" t="inlineStr">
        <is>
          <t>Privately Held (backing)</t>
        </is>
      </c>
      <c r="H694" s="34" t="inlineStr">
        <is>
          <t>Venture Capital-Backed</t>
        </is>
      </c>
      <c r="I694" s="35" t="inlineStr">
        <is>
          <t>Ramp Equity Partners</t>
        </is>
      </c>
      <c r="J694" s="36" t="inlineStr">
        <is>
          <t>www.venturegrove.com</t>
        </is>
      </c>
      <c r="K694" s="37" t="inlineStr">
        <is>
          <t>contact@venturegrove.com</t>
        </is>
      </c>
      <c r="L694" s="38" t="inlineStr">
        <is>
          <t/>
        </is>
      </c>
      <c r="M694" s="39" t="inlineStr">
        <is>
          <t>Brad Edmonson</t>
        </is>
      </c>
      <c r="N694" s="40" t="inlineStr">
        <is>
          <t>Co-Founder</t>
        </is>
      </c>
      <c r="O694" s="41" t="inlineStr">
        <is>
          <t>brad@venturegrove.com</t>
        </is>
      </c>
      <c r="P694" s="42" t="inlineStr">
        <is>
          <t/>
        </is>
      </c>
      <c r="Q694" s="43" t="n">
        <v>2015.0</v>
      </c>
      <c r="R694" s="114">
        <f>HYPERLINK("https://my.pitchbook.com?c=113819-32", "View company online")</f>
      </c>
    </row>
    <row r="695">
      <c r="A695" s="9" t="inlineStr">
        <is>
          <t>58391-38</t>
        </is>
      </c>
      <c r="B695" s="10" t="inlineStr">
        <is>
          <t>Ventrix</t>
        </is>
      </c>
      <c r="C695" s="11" t="inlineStr">
        <is>
          <t>92109</t>
        </is>
      </c>
      <c r="D695" s="12" t="inlineStr">
        <is>
          <t>Provider of a biomaterial scaffold for cardiac repair. The company is focused on delivering a biomaterial scaffold for cardiac repair of heart failure patients having limited treatment options.</t>
        </is>
      </c>
      <c r="E695" s="13" t="inlineStr">
        <is>
          <t>Surgical Devices</t>
        </is>
      </c>
      <c r="F695" s="14" t="inlineStr">
        <is>
          <t>San Diego, CA</t>
        </is>
      </c>
      <c r="G695" s="15" t="inlineStr">
        <is>
          <t>Privately Held (backing)</t>
        </is>
      </c>
      <c r="H695" s="16" t="inlineStr">
        <is>
          <t>Venture Capital-Backed</t>
        </is>
      </c>
      <c r="I695" s="17" t="inlineStr">
        <is>
          <t>National Institutes of Health, National Science Foundation</t>
        </is>
      </c>
      <c r="J695" s="18" t="inlineStr">
        <is>
          <t>www.ventrixheart.com</t>
        </is>
      </c>
      <c r="K695" s="19" t="inlineStr">
        <is>
          <t>info@ventrixheart.com</t>
        </is>
      </c>
      <c r="L695" s="20" t="inlineStr">
        <is>
          <t>+1 (858) 227-3030</t>
        </is>
      </c>
      <c r="M695" s="21" t="inlineStr">
        <is>
          <t>Adam Kinsey</t>
        </is>
      </c>
      <c r="N695" s="22" t="inlineStr">
        <is>
          <t>Co-Founder &amp; Chief Executive Officer</t>
        </is>
      </c>
      <c r="O695" s="23" t="inlineStr">
        <is>
          <t>adamkinsey@ventrixheart.com</t>
        </is>
      </c>
      <c r="P695" s="24" t="inlineStr">
        <is>
          <t>+1 (619) 800-0810</t>
        </is>
      </c>
      <c r="Q695" s="25" t="n">
        <v>2009.0</v>
      </c>
      <c r="R695" s="113">
        <f>HYPERLINK("https://my.pitchbook.com?c=58391-38", "View company online")</f>
      </c>
    </row>
    <row r="696">
      <c r="A696" s="27" t="inlineStr">
        <is>
          <t>52828-75</t>
        </is>
      </c>
      <c r="B696" s="28" t="inlineStr">
        <is>
          <t>Ventiva</t>
        </is>
      </c>
      <c r="C696" s="29" t="inlineStr">
        <is>
          <t>95054</t>
        </is>
      </c>
      <c r="D696" s="30" t="inlineStr">
        <is>
          <t>Provider of thermal management services for LED bulbs. The company provides electronic designers with ways to reimagine products such as
laptops, smartphones, gaming devices and smart cameras.</t>
        </is>
      </c>
      <c r="E696" s="31" t="inlineStr">
        <is>
          <t>Electrical Equipment</t>
        </is>
      </c>
      <c r="F696" s="32" t="inlineStr">
        <is>
          <t>Santa Clara, CA</t>
        </is>
      </c>
      <c r="G696" s="33" t="inlineStr">
        <is>
          <t>Privately Held (backing)</t>
        </is>
      </c>
      <c r="H696" s="34" t="inlineStr">
        <is>
          <t>Venture Capital-Backed</t>
        </is>
      </c>
      <c r="I696" s="35" t="inlineStr">
        <is>
          <t>DCM Ventures, Foundation Capital</t>
        </is>
      </c>
      <c r="J696" s="36" t="inlineStr">
        <is>
          <t>www.ventiva.com</t>
        </is>
      </c>
      <c r="K696" s="37" t="inlineStr">
        <is>
          <t/>
        </is>
      </c>
      <c r="L696" s="38" t="inlineStr">
        <is>
          <t>+1 (408) 919-0100</t>
        </is>
      </c>
      <c r="M696" s="39" t="inlineStr">
        <is>
          <t/>
        </is>
      </c>
      <c r="N696" s="40" t="inlineStr">
        <is>
          <t/>
        </is>
      </c>
      <c r="O696" s="41" t="inlineStr">
        <is>
          <t/>
        </is>
      </c>
      <c r="P696" s="42" t="inlineStr">
        <is>
          <t/>
        </is>
      </c>
      <c r="Q696" s="43" t="n">
        <v>2008.0</v>
      </c>
      <c r="R696" s="114">
        <f>HYPERLINK("https://my.pitchbook.com?c=52828-75", "View company online")</f>
      </c>
    </row>
    <row r="697">
      <c r="A697" s="9" t="inlineStr">
        <is>
          <t>104229-91</t>
        </is>
      </c>
      <c r="B697" s="10" t="inlineStr">
        <is>
          <t>Vennsa Technologies</t>
        </is>
      </c>
      <c r="C697" s="11" t="inlineStr">
        <is>
          <t>M5R 3L8</t>
        </is>
      </c>
      <c r="D697" s="12" t="inlineStr">
        <is>
          <t>Developer of automated debugging tool designed to incorporates designer feedback and addresse a wide set of debugging applications native to modern verification flows. The company's automated debugging and error localization software, OnPoint, localizes the source of functional errors without any user guidance, thus when failures occur, OnPoint quickly identifies the root cause of errors and provides error fixes, enabling users to remove bugs from their systems.</t>
        </is>
      </c>
      <c r="E697" s="13" t="inlineStr">
        <is>
          <t>Automation/Workflow Software</t>
        </is>
      </c>
      <c r="F697" s="14" t="inlineStr">
        <is>
          <t>Toronto, Canada</t>
        </is>
      </c>
      <c r="G697" s="15" t="inlineStr">
        <is>
          <t>Privately Held (backing)</t>
        </is>
      </c>
      <c r="H697" s="16" t="inlineStr">
        <is>
          <t>Venture Capital-Backed</t>
        </is>
      </c>
      <c r="I697" s="17" t="inlineStr">
        <is>
          <t>MaRS Investment Accelerator Fund, Ontario Centres of Excellence</t>
        </is>
      </c>
      <c r="J697" s="18" t="inlineStr">
        <is>
          <t>www.vennsa.com</t>
        </is>
      </c>
      <c r="K697" s="19" t="inlineStr">
        <is>
          <t>info@vennsa.com</t>
        </is>
      </c>
      <c r="L697" s="20" t="inlineStr">
        <is>
          <t>+1 (310) 928-3732</t>
        </is>
      </c>
      <c r="M697" s="21" t="inlineStr">
        <is>
          <t>Lavi Lev</t>
        </is>
      </c>
      <c r="N697" s="22" t="inlineStr">
        <is>
          <t>Executive Chairman</t>
        </is>
      </c>
      <c r="O697" s="23" t="inlineStr">
        <is>
          <t/>
        </is>
      </c>
      <c r="P697" s="24" t="inlineStr">
        <is>
          <t>+1 (408) 635-4300</t>
        </is>
      </c>
      <c r="Q697" s="25" t="n">
        <v>2006.0</v>
      </c>
      <c r="R697" s="113">
        <f>HYPERLINK("https://my.pitchbook.com?c=104229-91", "View company online")</f>
      </c>
    </row>
    <row r="698">
      <c r="A698" s="27" t="inlineStr">
        <is>
          <t>51663-43</t>
        </is>
      </c>
      <c r="B698" s="28" t="inlineStr">
        <is>
          <t>Veniti</t>
        </is>
      </c>
      <c r="C698" s="29" t="inlineStr">
        <is>
          <t>63131</t>
        </is>
      </c>
      <c r="D698" s="30" t="inlineStr">
        <is>
          <t>Developer of stents for the treatment of venous diseases. The company develops, manufactures and markets stents to treat patients with venous outflow obstruction in the lower extremities.</t>
        </is>
      </c>
      <c r="E698" s="31" t="inlineStr">
        <is>
          <t>Therapeutic Devices</t>
        </is>
      </c>
      <c r="F698" s="32" t="inlineStr">
        <is>
          <t>Saint Louis, MO</t>
        </is>
      </c>
      <c r="G698" s="33" t="inlineStr">
        <is>
          <t>Privately Held (backing)</t>
        </is>
      </c>
      <c r="H698" s="34" t="inlineStr">
        <is>
          <t>Venture Capital-Backed</t>
        </is>
      </c>
      <c r="I698" s="35" t="inlineStr">
        <is>
          <t>Baird Capital, Boston Scientific, Brooke Private Equity Associates, CD-Venture, Confluent Medical Technologies, Cultivation Capital, Holton Capital Group, Prolog Ventures, St. Louis Arch Angels, Tekla Capital Management, Volcano Capital</t>
        </is>
      </c>
      <c r="J698" s="36" t="inlineStr">
        <is>
          <t>www.veniti.com</t>
        </is>
      </c>
      <c r="K698" s="37" t="inlineStr">
        <is>
          <t>info@veniti.com</t>
        </is>
      </c>
      <c r="L698" s="38" t="inlineStr">
        <is>
          <t>+1 (314) 282-3753</t>
        </is>
      </c>
      <c r="M698" s="39" t="inlineStr">
        <is>
          <t>Catherine Matthes</t>
        </is>
      </c>
      <c r="N698" s="40" t="inlineStr">
        <is>
          <t>Chief Financial Officer</t>
        </is>
      </c>
      <c r="O698" s="41" t="inlineStr">
        <is>
          <t/>
        </is>
      </c>
      <c r="P698" s="42" t="inlineStr">
        <is>
          <t>+1 (314) 282-3753</t>
        </is>
      </c>
      <c r="Q698" s="43" t="n">
        <v>2009.0</v>
      </c>
      <c r="R698" s="114">
        <f>HYPERLINK("https://my.pitchbook.com?c=51663-43", "View company online")</f>
      </c>
    </row>
    <row r="699">
      <c r="A699" s="9" t="inlineStr">
        <is>
          <t>97867-09</t>
        </is>
      </c>
      <c r="B699" s="10" t="inlineStr">
        <is>
          <t>Veniam</t>
        </is>
      </c>
      <c r="C699" s="11" t="inlineStr">
        <is>
          <t>94041</t>
        </is>
      </c>
      <c r="D699" s="12" t="inlineStr">
        <is>
          <t>Developer of vehicular mesh networks. The company provides hardware that turns vehicles into WiFi hotspots and creates vehicular networks that expand wireless coverage in urban environments.</t>
        </is>
      </c>
      <c r="E699" s="13" t="inlineStr">
        <is>
          <t>Wireless Communications Equipment</t>
        </is>
      </c>
      <c r="F699" s="14" t="inlineStr">
        <is>
          <t>Mountain View, CA</t>
        </is>
      </c>
      <c r="G699" s="15" t="inlineStr">
        <is>
          <t>Privately Held (backing)</t>
        </is>
      </c>
      <c r="H699" s="16" t="inlineStr">
        <is>
          <t>Venture Capital-Backed</t>
        </is>
      </c>
      <c r="I699" s="17" t="inlineStr">
        <is>
          <t>Brian O'Halloran, Building Global Innovators, Caixa Capital, Cane Investments, Carnegie Mellon Portugal Program, Cisco Investments, Liberty Global Ventures, Orange Digital Ventures, True Ventures, Union Square Ventures, UPTEC, Verizon Ventures, Yamaha Motor Ventures &amp; Laboratory Silicon Valley</t>
        </is>
      </c>
      <c r="J699" s="18" t="inlineStr">
        <is>
          <t>www.veniam.com</t>
        </is>
      </c>
      <c r="K699" s="19" t="inlineStr">
        <is>
          <t>info@veniam.com</t>
        </is>
      </c>
      <c r="L699" s="20" t="inlineStr">
        <is>
          <t>+1 (415) 470-3349</t>
        </is>
      </c>
      <c r="M699" s="21" t="inlineStr">
        <is>
          <t>Joao Francisco Cordeiro de Oliveira Barros</t>
        </is>
      </c>
      <c r="N699" s="22" t="inlineStr">
        <is>
          <t>Co-Founder, Chief Executive Officer &amp; Board Member</t>
        </is>
      </c>
      <c r="O699" s="23" t="inlineStr">
        <is>
          <t>jbarros@veniam.com</t>
        </is>
      </c>
      <c r="P699" s="24" t="inlineStr">
        <is>
          <t>+1 (415) 470-3349</t>
        </is>
      </c>
      <c r="Q699" s="25" t="n">
        <v>2012.0</v>
      </c>
      <c r="R699" s="113">
        <f>HYPERLINK("https://my.pitchbook.com?c=97867-09", "View company online")</f>
      </c>
    </row>
    <row r="700">
      <c r="A700" s="27" t="inlineStr">
        <is>
          <t>97270-21</t>
        </is>
      </c>
      <c r="B700" s="28" t="inlineStr">
        <is>
          <t>Vendini</t>
        </is>
      </c>
      <c r="C700" s="29" t="inlineStr">
        <is>
          <t>94104</t>
        </is>
      </c>
      <c r="D700" s="30" t="inlineStr">
        <is>
          <t>Provider of business management software. The company provides ticketing, marketing, logistic and fundraising software to any-sized organization.</t>
        </is>
      </c>
      <c r="E700" s="31" t="inlineStr">
        <is>
          <t>Social/Platform Software</t>
        </is>
      </c>
      <c r="F700" s="32" t="inlineStr">
        <is>
          <t>San Francisco, CA</t>
        </is>
      </c>
      <c r="G700" s="33" t="inlineStr">
        <is>
          <t>Privately Held (backing)</t>
        </is>
      </c>
      <c r="H700" s="34" t="inlineStr">
        <is>
          <t>Venture Capital-Backed</t>
        </is>
      </c>
      <c r="I700" s="35" t="inlineStr">
        <is>
          <t>Level Equity</t>
        </is>
      </c>
      <c r="J700" s="36" t="inlineStr">
        <is>
          <t>www.vendini.com</t>
        </is>
      </c>
      <c r="K700" s="37" t="inlineStr">
        <is>
          <t>hello@vendini.com</t>
        </is>
      </c>
      <c r="L700" s="38" t="inlineStr">
        <is>
          <t>+1 (800) 901-7173</t>
        </is>
      </c>
      <c r="M700" s="39" t="inlineStr">
        <is>
          <t>Mark Tacchi</t>
        </is>
      </c>
      <c r="N700" s="40" t="inlineStr">
        <is>
          <t>Founder, Chief Executive Officer &amp; President</t>
        </is>
      </c>
      <c r="O700" s="41" t="inlineStr">
        <is>
          <t>mark.tacchi@vendini.com</t>
        </is>
      </c>
      <c r="P700" s="42" t="inlineStr">
        <is>
          <t>+1 (800) 901-7173</t>
        </is>
      </c>
      <c r="Q700" s="43" t="n">
        <v>2001.0</v>
      </c>
      <c r="R700" s="114">
        <f>HYPERLINK("https://my.pitchbook.com?c=97270-21", "View company online")</f>
      </c>
    </row>
    <row r="701">
      <c r="A701" s="9" t="inlineStr">
        <is>
          <t>54529-03</t>
        </is>
      </c>
      <c r="B701" s="10" t="inlineStr">
        <is>
          <t>Vend</t>
        </is>
      </c>
      <c r="C701" s="11" t="inlineStr">
        <is>
          <t>1023</t>
        </is>
      </c>
      <c r="D701" s="12" t="inlineStr">
        <is>
          <t>Provider of web-based point of sale and retail management software. The company provides cloud-based point-of-sale software to enable retailers to process sales, track inventory and manage customers.</t>
        </is>
      </c>
      <c r="E701" s="13" t="inlineStr">
        <is>
          <t>Business/Productivity Software</t>
        </is>
      </c>
      <c r="F701" s="14" t="inlineStr">
        <is>
          <t>Auckland, New Zealand</t>
        </is>
      </c>
      <c r="G701" s="15" t="inlineStr">
        <is>
          <t>Privately Held (backing)</t>
        </is>
      </c>
      <c r="H701" s="16" t="inlineStr">
        <is>
          <t>Venture Capital-Backed</t>
        </is>
      </c>
      <c r="I701" s="17" t="inlineStr">
        <is>
          <t>Aspiring Asset Management, Craig Winkler, Individual Investor, Jasmine Social Investments, Lance Wiggs Capital Management, Matt Rockman, Milford Asset Management, MOVAC Partners, Paul Bassett, Point Nine Capital, Square Peg Capital, Valar Ventures</t>
        </is>
      </c>
      <c r="J701" s="18" t="inlineStr">
        <is>
          <t>www.vendhq.com</t>
        </is>
      </c>
      <c r="K701" s="19" t="inlineStr">
        <is>
          <t/>
        </is>
      </c>
      <c r="L701" s="20" t="inlineStr">
        <is>
          <t>+64 (0)9 889 0189</t>
        </is>
      </c>
      <c r="M701" s="21" t="inlineStr">
        <is>
          <t>Darryl Robinson</t>
        </is>
      </c>
      <c r="N701" s="22" t="inlineStr">
        <is>
          <t>Chief Financial Officer</t>
        </is>
      </c>
      <c r="O701" s="23" t="inlineStr">
        <is>
          <t>darryl@vendhq.com</t>
        </is>
      </c>
      <c r="P701" s="24" t="inlineStr">
        <is>
          <t>+64 (0)9 889 0189</t>
        </is>
      </c>
      <c r="Q701" s="25" t="n">
        <v>2010.0</v>
      </c>
      <c r="R701" s="113">
        <f>HYPERLINK("https://my.pitchbook.com?c=54529-03", "View company online")</f>
      </c>
    </row>
    <row r="702">
      <c r="A702" s="27" t="inlineStr">
        <is>
          <t>51237-55</t>
        </is>
      </c>
      <c r="B702" s="28" t="inlineStr">
        <is>
          <t>Venafi</t>
        </is>
      </c>
      <c r="C702" s="29" t="inlineStr">
        <is>
          <t>84111</t>
        </is>
      </c>
      <c r="D702" s="30" t="inlineStr">
        <is>
          <t>Provider of cybersecurity services. The company's platform helps to secure cryptographic keys and digital certificates that every business and government depend on for secure communications, commerce, computing and mobility.</t>
        </is>
      </c>
      <c r="E702" s="31" t="inlineStr">
        <is>
          <t>Network Management Software</t>
        </is>
      </c>
      <c r="F702" s="32" t="inlineStr">
        <is>
          <t>Salt Lake City, UT</t>
        </is>
      </c>
      <c r="G702" s="33" t="inlineStr">
        <is>
          <t>Privately Held (backing)</t>
        </is>
      </c>
      <c r="H702" s="34" t="inlineStr">
        <is>
          <t>Venture Capital-Backed</t>
        </is>
      </c>
      <c r="I702" s="35" t="inlineStr">
        <is>
          <t>Foundation Capital, Highway 12 Ventures, Intel Capital, Mercato Partners, Origin Partners, Pelion Venture Partners, QuestMark Partners, Silver Lake Management, Utah Angels</t>
        </is>
      </c>
      <c r="J702" s="36" t="inlineStr">
        <is>
          <t>www.venafi.com</t>
        </is>
      </c>
      <c r="K702" s="37" t="inlineStr">
        <is>
          <t>info@venafi.com</t>
        </is>
      </c>
      <c r="L702" s="38" t="inlineStr">
        <is>
          <t>+1 (801) 676-6900</t>
        </is>
      </c>
      <c r="M702" s="39" t="inlineStr">
        <is>
          <t>Jeffrey Hudson</t>
        </is>
      </c>
      <c r="N702" s="40" t="inlineStr">
        <is>
          <t>Chief Executive Officer &amp; Board Member</t>
        </is>
      </c>
      <c r="O702" s="41" t="inlineStr">
        <is>
          <t>jhudson@venafi.com</t>
        </is>
      </c>
      <c r="P702" s="42" t="inlineStr">
        <is>
          <t>+1 (801) 676-6900</t>
        </is>
      </c>
      <c r="Q702" s="43" t="n">
        <v>2004.0</v>
      </c>
      <c r="R702" s="114">
        <f>HYPERLINK("https://my.pitchbook.com?c=51237-55", "View company online")</f>
      </c>
    </row>
    <row r="703">
      <c r="A703" s="9" t="inlineStr">
        <is>
          <t>62985-79</t>
        </is>
      </c>
      <c r="B703" s="10" t="inlineStr">
        <is>
          <t>Vemba (Video Management)</t>
        </is>
      </c>
      <c r="C703" s="11" t="inlineStr">
        <is>
          <t>M5V 2Z4</t>
        </is>
      </c>
      <c r="D703" s="12" t="inlineStr">
        <is>
          <t>Developer of digital publishing technologies. The company provides a cloud-based video distribution and content discovery platform for publishers.</t>
        </is>
      </c>
      <c r="E703" s="13" t="inlineStr">
        <is>
          <t>Communication Software</t>
        </is>
      </c>
      <c r="F703" s="14" t="inlineStr">
        <is>
          <t>Toronto, Canada</t>
        </is>
      </c>
      <c r="G703" s="15" t="inlineStr">
        <is>
          <t>Privately Held (backing)</t>
        </is>
      </c>
      <c r="H703" s="16" t="inlineStr">
        <is>
          <t>Venture Capital-Backed</t>
        </is>
      </c>
      <c r="I703" s="17" t="inlineStr">
        <is>
          <t>Bertelsmann Digital Media Investments, iGan Partners, John S. and James L. Knight Foundation, Upfront Ventures</t>
        </is>
      </c>
      <c r="J703" s="18" t="inlineStr">
        <is>
          <t>www.vemba.com</t>
        </is>
      </c>
      <c r="K703" s="19" t="inlineStr">
        <is>
          <t/>
        </is>
      </c>
      <c r="L703" s="20" t="inlineStr">
        <is>
          <t>+1 (888) 899-2117</t>
        </is>
      </c>
      <c r="M703" s="21" t="inlineStr">
        <is>
          <t>Norbert Horvath</t>
        </is>
      </c>
      <c r="N703" s="22" t="inlineStr">
        <is>
          <t>Founder &amp; Chief Technology Officer</t>
        </is>
      </c>
      <c r="O703" s="23" t="inlineStr">
        <is>
          <t>norbert.horvath@twopointo.com</t>
        </is>
      </c>
      <c r="P703" s="24" t="inlineStr">
        <is>
          <t>+1 (888) 899-2117</t>
        </is>
      </c>
      <c r="Q703" s="25" t="n">
        <v>2008.0</v>
      </c>
      <c r="R703" s="113">
        <f>HYPERLINK("https://my.pitchbook.com?c=62985-79", "View company online")</f>
      </c>
    </row>
    <row r="704">
      <c r="A704" s="27" t="inlineStr">
        <is>
          <t>109238-68</t>
        </is>
      </c>
      <c r="B704" s="28" t="inlineStr">
        <is>
          <t>Velostrata</t>
        </is>
      </c>
      <c r="C704" s="29" t="inlineStr">
        <is>
          <t>94401</t>
        </is>
      </c>
      <c r="D704" s="30" t="inlineStr">
        <is>
          <t>Developer of cloud workload mobility platform designed to move enterprise workloads to the public cloud in minutes. The company's Velostrata platform makes it possible to migrate applications and their data to Azure quickly and easily, enabling companies to accelerate cloud migration and workload mobility with speed, scale, simplicity and safety.</t>
        </is>
      </c>
      <c r="E704" s="31" t="inlineStr">
        <is>
          <t>Business/Productivity Software</t>
        </is>
      </c>
      <c r="F704" s="32" t="inlineStr">
        <is>
          <t>San Mateo, CA</t>
        </is>
      </c>
      <c r="G704" s="33" t="inlineStr">
        <is>
          <t>Privately Held (backing)</t>
        </is>
      </c>
      <c r="H704" s="34" t="inlineStr">
        <is>
          <t>Venture Capital-Backed</t>
        </is>
      </c>
      <c r="I704" s="35" t="inlineStr">
        <is>
          <t>83North, Intel Capital, Microsoft Accelerator, Norwest Venture Partners</t>
        </is>
      </c>
      <c r="J704" s="36" t="inlineStr">
        <is>
          <t>www.velostrata.com</t>
        </is>
      </c>
      <c r="K704" s="37" t="inlineStr">
        <is>
          <t/>
        </is>
      </c>
      <c r="L704" s="38" t="inlineStr">
        <is>
          <t>+1 (408) 444-6039</t>
        </is>
      </c>
      <c r="M704" s="39" t="inlineStr">
        <is>
          <t>Keren Vishnizky - Cohen</t>
        </is>
      </c>
      <c r="N704" s="40" t="inlineStr">
        <is>
          <t>Chief Financial Officer</t>
        </is>
      </c>
      <c r="O704" s="41" t="inlineStr">
        <is>
          <t>keren@velostrata.com</t>
        </is>
      </c>
      <c r="P704" s="42" t="inlineStr">
        <is>
          <t>+972 (0)9 833 1180</t>
        </is>
      </c>
      <c r="Q704" s="43" t="n">
        <v>2014.0</v>
      </c>
      <c r="R704" s="114">
        <f>HYPERLINK("https://my.pitchbook.com?c=109238-68", "View company online")</f>
      </c>
    </row>
    <row r="705">
      <c r="A705" s="9" t="inlineStr">
        <is>
          <t>58391-20</t>
        </is>
      </c>
      <c r="B705" s="10" t="inlineStr">
        <is>
          <t>VeloCloud</t>
        </is>
      </c>
      <c r="C705" s="11" t="inlineStr">
        <is>
          <t>94043</t>
        </is>
      </c>
      <c r="D705" s="12" t="inlineStr">
        <is>
          <t>Provider of cloud-based networking services created to improve performance over private, broadband Internet and LTE links. The company's cloud-delivered SD-WAN is a cloud network for enterprise-grade connection to control and automate application, network, and branch and end-point implementations in the cloud while optimize access to cloud services, private datacenters and enterprise applications enabling policy-based access to cloud and data center applications.</t>
        </is>
      </c>
      <c r="E705" s="13" t="inlineStr">
        <is>
          <t>Wireless Service Providers</t>
        </is>
      </c>
      <c r="F705" s="14" t="inlineStr">
        <is>
          <t>Mountain View, CA</t>
        </is>
      </c>
      <c r="G705" s="15" t="inlineStr">
        <is>
          <t>Privately Held (backing)</t>
        </is>
      </c>
      <c r="H705" s="16" t="inlineStr">
        <is>
          <t>Venture Capital-Backed</t>
        </is>
      </c>
      <c r="I705" s="17" t="inlineStr">
        <is>
          <t>21Vianet Group, Cisco Investments, Hermes Growth Partners, Khazanah Nasional, March Capital Partners, New Enterprise Associates, Telstra Ventures, The Fabric, Venrock</t>
        </is>
      </c>
      <c r="J705" s="18" t="inlineStr">
        <is>
          <t>www.velocloud.com</t>
        </is>
      </c>
      <c r="K705" s="19" t="inlineStr">
        <is>
          <t>contact@velocloud.com</t>
        </is>
      </c>
      <c r="L705" s="20" t="inlineStr">
        <is>
          <t>+1 (650) 209-4180</t>
        </is>
      </c>
      <c r="M705" s="21" t="inlineStr">
        <is>
          <t>Sanjay Uppal</t>
        </is>
      </c>
      <c r="N705" s="22" t="inlineStr">
        <is>
          <t>Co-Founder &amp; Chief Executive Officer</t>
        </is>
      </c>
      <c r="O705" s="23" t="inlineStr">
        <is>
          <t>suppal@velocloud.com</t>
        </is>
      </c>
      <c r="P705" s="24" t="inlineStr">
        <is>
          <t>+1 (650) 209-4180</t>
        </is>
      </c>
      <c r="Q705" s="25" t="n">
        <v>2012.0</v>
      </c>
      <c r="R705" s="113">
        <f>HYPERLINK("https://my.pitchbook.com?c=58391-20", "View company online")</f>
      </c>
    </row>
    <row r="706">
      <c r="A706" s="27" t="inlineStr">
        <is>
          <t>52976-62</t>
        </is>
      </c>
      <c r="B706" s="28" t="inlineStr">
        <is>
          <t>Velocity Pharmaceutical Development</t>
        </is>
      </c>
      <c r="C706" s="29" t="inlineStr">
        <is>
          <t>94080</t>
        </is>
      </c>
      <c r="D706" s="30" t="inlineStr">
        <is>
          <t>Developer of pharmaceutical drug candidates. The company focuses on rapid advancement of promising drug candidates to clinical proof of concept by using a virtual-management model.</t>
        </is>
      </c>
      <c r="E706" s="31" t="inlineStr">
        <is>
          <t>Drug Discovery</t>
        </is>
      </c>
      <c r="F706" s="32" t="inlineStr">
        <is>
          <t>South San Francisco, CA</t>
        </is>
      </c>
      <c r="G706" s="33" t="inlineStr">
        <is>
          <t>Privately Held (backing)</t>
        </is>
      </c>
      <c r="H706" s="34" t="inlineStr">
        <is>
          <t>Venture Capital-Backed</t>
        </is>
      </c>
      <c r="I706" s="35" t="inlineStr">
        <is>
          <t>Presidio Partners</t>
        </is>
      </c>
      <c r="J706" s="36" t="inlineStr">
        <is>
          <t>www.vpd.net</t>
        </is>
      </c>
      <c r="K706" s="37" t="inlineStr">
        <is>
          <t>info@vpd.net</t>
        </is>
      </c>
      <c r="L706" s="38" t="inlineStr">
        <is>
          <t>+1 (650) 273-5748</t>
        </is>
      </c>
      <c r="M706" s="39" t="inlineStr">
        <is>
          <t>David Collier</t>
        </is>
      </c>
      <c r="N706" s="40" t="inlineStr">
        <is>
          <t>Chief Executive Officer &amp; Co-Managing Director</t>
        </is>
      </c>
      <c r="O706" s="41" t="inlineStr">
        <is>
          <t>david@presidiopartners.com</t>
        </is>
      </c>
      <c r="P706" s="42" t="inlineStr">
        <is>
          <t>+1 (415) 830-3447</t>
        </is>
      </c>
      <c r="Q706" s="43" t="n">
        <v>2011.0</v>
      </c>
      <c r="R706" s="114">
        <f>HYPERLINK("https://my.pitchbook.com?c=52976-62", "View company online")</f>
      </c>
    </row>
    <row r="707">
      <c r="A707" s="9" t="inlineStr">
        <is>
          <t>114110-47</t>
        </is>
      </c>
      <c r="B707" s="10" t="inlineStr">
        <is>
          <t>Velocity (Hospitality)</t>
        </is>
      </c>
      <c r="C707" s="11" t="inlineStr">
        <is>
          <t>W1F 8FL</t>
        </is>
      </c>
      <c r="D707" s="12" t="inlineStr">
        <is>
          <t>Provider of a Web-based application for dining and hospitality experiences. The company offers digital hospitality service that helps diners to pay their bills, book restaurants and earn rewards through mobile phones.</t>
        </is>
      </c>
      <c r="E707" s="13" t="inlineStr">
        <is>
          <t>Application Software</t>
        </is>
      </c>
      <c r="F707" s="14" t="inlineStr">
        <is>
          <t>London, United Kingdom</t>
        </is>
      </c>
      <c r="G707" s="15" t="inlineStr">
        <is>
          <t>Privately Held (backing)</t>
        </is>
      </c>
      <c r="H707" s="16" t="inlineStr">
        <is>
          <t>Venture Capital-Backed</t>
        </is>
      </c>
      <c r="I707" s="17" t="inlineStr">
        <is>
          <t>Alex Macdonald, Barry Sternlicht, Crystal Stream Capital, Dragoneer Investment Group, Force Over Mass Capital, Initial Capital (London), John Paul, Lars Christensen, Lerer Hippeau Ventures, O'Reilly AlphaTech Ventures, Saavan Shah, Shukri Shammas, Spark Capital, Swordfish Investments, Thomas Glocer, Zia Yusuf</t>
        </is>
      </c>
      <c r="J707" s="18" t="inlineStr">
        <is>
          <t>www.velocityapp.com</t>
        </is>
      </c>
      <c r="K707" s="19" t="inlineStr">
        <is>
          <t>info@velocityapp.com</t>
        </is>
      </c>
      <c r="L707" s="20" t="inlineStr">
        <is>
          <t>+44 (0)34 5222 4547</t>
        </is>
      </c>
      <c r="M707" s="21" t="inlineStr">
        <is>
          <t>Zia Yusuf</t>
        </is>
      </c>
      <c r="N707" s="22" t="inlineStr">
        <is>
          <t>Co-Founder &amp; Co-Chief Executive Officer</t>
        </is>
      </c>
      <c r="O707" s="23" t="inlineStr">
        <is>
          <t>zia.yusuf@velocityapp.com</t>
        </is>
      </c>
      <c r="P707" s="24" t="inlineStr">
        <is>
          <t>+44 (0)34 5222 4547</t>
        </is>
      </c>
      <c r="Q707" s="25" t="n">
        <v>2014.0</v>
      </c>
      <c r="R707" s="113">
        <f>HYPERLINK("https://my.pitchbook.com?c=114110-47", "View company online")</f>
      </c>
    </row>
    <row r="708">
      <c r="A708" s="27" t="inlineStr">
        <is>
          <t>13226-68</t>
        </is>
      </c>
      <c r="B708" s="28" t="inlineStr">
        <is>
          <t>Velocify</t>
        </is>
      </c>
      <c r="C708" s="29" t="inlineStr">
        <is>
          <t>90245</t>
        </is>
      </c>
      <c r="D708" s="30" t="inlineStr">
        <is>
          <t>Provider of lead management software to mortgage, insurance, and secondary education companies. The company offers Web-based software to businesses to help them manage their sales process from start to close.</t>
        </is>
      </c>
      <c r="E708" s="31" t="inlineStr">
        <is>
          <t>Application Software</t>
        </is>
      </c>
      <c r="F708" s="32" t="inlineStr">
        <is>
          <t>El Segundo, CA</t>
        </is>
      </c>
      <c r="G708" s="33" t="inlineStr">
        <is>
          <t>Privately Held (backing)</t>
        </is>
      </c>
      <c r="H708" s="34" t="inlineStr">
        <is>
          <t>Venture Capital-Backed</t>
        </is>
      </c>
      <c r="I708" s="35" t="inlineStr">
        <is>
          <t>Rustic Canyon Partners, Volition Capital</t>
        </is>
      </c>
      <c r="J708" s="36" t="inlineStr">
        <is>
          <t>www.velocify.com</t>
        </is>
      </c>
      <c r="K708" s="37" t="inlineStr">
        <is>
          <t>contact@velocify.com</t>
        </is>
      </c>
      <c r="L708" s="38" t="inlineStr">
        <is>
          <t>+1 (877) 645-7918</t>
        </is>
      </c>
      <c r="M708" s="39" t="inlineStr">
        <is>
          <t>Nick Hedges</t>
        </is>
      </c>
      <c r="N708" s="40" t="inlineStr">
        <is>
          <t>Chief Executive Officer, Board Member &amp; President</t>
        </is>
      </c>
      <c r="O708" s="41" t="inlineStr">
        <is>
          <t/>
        </is>
      </c>
      <c r="P708" s="42" t="inlineStr">
        <is>
          <t>+1 (877) 645-7918</t>
        </is>
      </c>
      <c r="Q708" s="43" t="n">
        <v>2004.0</v>
      </c>
      <c r="R708" s="114">
        <f>HYPERLINK("https://my.pitchbook.com?c=13226-68", "View company online")</f>
      </c>
    </row>
    <row r="709">
      <c r="A709" s="9" t="inlineStr">
        <is>
          <t>153014-23</t>
        </is>
      </c>
      <c r="B709" s="10" t="inlineStr">
        <is>
          <t>Velexo</t>
        </is>
      </c>
      <c r="C709" s="11" t="inlineStr">
        <is>
          <t>92618</t>
        </is>
      </c>
      <c r="D709" s="12" t="inlineStr">
        <is>
          <t>Developer and provider of an installation software. The company offers installation platform for manufacturers and retailers that enables consumers to purchase products bundled with factory certified service.</t>
        </is>
      </c>
      <c r="E709" s="13" t="inlineStr">
        <is>
          <t>Other Software</t>
        </is>
      </c>
      <c r="F709" s="14" t="inlineStr">
        <is>
          <t>Irvine, CA</t>
        </is>
      </c>
      <c r="G709" s="15" t="inlineStr">
        <is>
          <t>Privately Held (backing)</t>
        </is>
      </c>
      <c r="H709" s="16" t="inlineStr">
        <is>
          <t>Venture Capital-Backed</t>
        </is>
      </c>
      <c r="I709" s="17" t="inlineStr">
        <is>
          <t>Grant Van Cleve, LH Ventures</t>
        </is>
      </c>
      <c r="J709" s="18" t="inlineStr">
        <is>
          <t>www.velexo.com</t>
        </is>
      </c>
      <c r="K709" s="19" t="inlineStr">
        <is>
          <t>info@velexo.com</t>
        </is>
      </c>
      <c r="L709" s="20" t="inlineStr">
        <is>
          <t>+1 (888) 338-6719</t>
        </is>
      </c>
      <c r="M709" s="21" t="inlineStr">
        <is>
          <t>Todd Banhidy</t>
        </is>
      </c>
      <c r="N709" s="22" t="inlineStr">
        <is>
          <t>Chief Executive Officer, Board Member &amp; Chief Operating Officer</t>
        </is>
      </c>
      <c r="O709" s="23" t="inlineStr">
        <is>
          <t>todd@craftsmanrepublic.com</t>
        </is>
      </c>
      <c r="P709" s="24" t="inlineStr">
        <is>
          <t>+1 (888) 338-6719</t>
        </is>
      </c>
      <c r="Q709" s="25" t="n">
        <v>2012.0</v>
      </c>
      <c r="R709" s="113">
        <f>HYPERLINK("https://my.pitchbook.com?c=153014-23", "View company online")</f>
      </c>
    </row>
    <row r="710">
      <c r="A710" s="27" t="inlineStr">
        <is>
          <t>99331-75</t>
        </is>
      </c>
      <c r="B710" s="28" t="inlineStr">
        <is>
          <t>Velano Vascular</t>
        </is>
      </c>
      <c r="C710" s="29" t="inlineStr">
        <is>
          <t>94115</t>
        </is>
      </c>
      <c r="D710" s="30" t="inlineStr">
        <is>
          <t>Developer of a blood drawing device designed to reducing the pain, risk and inefficiencies of vascular access and blood collection practices. The company's PIVO device is a needle-free device to draw blood from Peripheral IV catheters which reduces risks of injuries for patients who suffer from difficult venous access due to weight, chronic disease, and other issues, enabling hospitals to provide a more compassionate care for inpatients, a safer practice for caregivers and a more financially responsible alternative for health systems.</t>
        </is>
      </c>
      <c r="E710" s="31" t="inlineStr">
        <is>
          <t>Surgical Devices</t>
        </is>
      </c>
      <c r="F710" s="32" t="inlineStr">
        <is>
          <t>San Francisco, CA</t>
        </is>
      </c>
      <c r="G710" s="33" t="inlineStr">
        <is>
          <t>Privately Held (backing)</t>
        </is>
      </c>
      <c r="H710" s="34" t="inlineStr">
        <is>
          <t>Venture Capital-Backed</t>
        </is>
      </c>
      <c r="I710" s="35" t="inlineStr">
        <is>
          <t>Children's Hospital of Philadelphia, D-W Investments, Ed Ludwig, First Round Capital, Griffin Hospital, Individual Investor, Kapor Capital, Oscar Schafer, Safeguard Scientifics, Startup PHL, Stuart Herskovitz, Sutter Health Master Trust, White Owl Capital Partners</t>
        </is>
      </c>
      <c r="J710" s="36" t="inlineStr">
        <is>
          <t>www.velanovascular.com</t>
        </is>
      </c>
      <c r="K710" s="37" t="inlineStr">
        <is>
          <t>media@velanovascular.com</t>
        </is>
      </c>
      <c r="L710" s="38" t="inlineStr">
        <is>
          <t>+1 (844) 835-2668</t>
        </is>
      </c>
      <c r="M710" s="39" t="inlineStr">
        <is>
          <t>Eric Stone</t>
        </is>
      </c>
      <c r="N710" s="40" t="inlineStr">
        <is>
          <t>Chief Executive Officer, Board Member &amp; Co-Founder</t>
        </is>
      </c>
      <c r="O710" s="41" t="inlineStr">
        <is>
          <t>eric.stone@velanovascular.com</t>
        </is>
      </c>
      <c r="P710" s="42" t="inlineStr">
        <is>
          <t>+1 (844) 835-2668</t>
        </is>
      </c>
      <c r="Q710" s="43" t="n">
        <v>2012.0</v>
      </c>
      <c r="R710" s="114">
        <f>HYPERLINK("https://my.pitchbook.com?c=99331-75", "View company online")</f>
      </c>
    </row>
    <row r="711">
      <c r="A711" s="9" t="inlineStr">
        <is>
          <t>103373-29</t>
        </is>
      </c>
      <c r="B711" s="10" t="inlineStr">
        <is>
          <t>Veetle</t>
        </is>
      </c>
      <c r="C711" s="11" t="inlineStr">
        <is>
          <t>94301</t>
        </is>
      </c>
      <c r="D711" s="12" t="inlineStr">
        <is>
          <t>Provider of a live video streaming application. The company offers an online platform that enables users to stream videos and communicate with others using live videos.</t>
        </is>
      </c>
      <c r="E711" s="13" t="inlineStr">
        <is>
          <t>Application Software</t>
        </is>
      </c>
      <c r="F711" s="14" t="inlineStr">
        <is>
          <t>Palo Alto, CA</t>
        </is>
      </c>
      <c r="G711" s="15" t="inlineStr">
        <is>
          <t>Privately Held (backing)</t>
        </is>
      </c>
      <c r="H711" s="16" t="inlineStr">
        <is>
          <t>Venture Capital-Backed</t>
        </is>
      </c>
      <c r="I711" s="17" t="inlineStr">
        <is>
          <t>ChinaRock Capital Management</t>
        </is>
      </c>
      <c r="J711" s="18" t="inlineStr">
        <is>
          <t>www.veetle.com</t>
        </is>
      </c>
      <c r="K711" s="19" t="inlineStr">
        <is>
          <t>info@veetle.com</t>
        </is>
      </c>
      <c r="L711" s="20" t="inlineStr">
        <is>
          <t/>
        </is>
      </c>
      <c r="M711" s="21" t="inlineStr">
        <is>
          <t>Bo Yang</t>
        </is>
      </c>
      <c r="N711" s="22" t="inlineStr">
        <is>
          <t>Chief Executive Officer &amp; Founder</t>
        </is>
      </c>
      <c r="O711" s="23" t="inlineStr">
        <is>
          <t>byang@veetle.com</t>
        </is>
      </c>
      <c r="P711" s="24" t="inlineStr">
        <is>
          <t/>
        </is>
      </c>
      <c r="Q711" s="25" t="n">
        <v>2008.0</v>
      </c>
      <c r="R711" s="113">
        <f>HYPERLINK("https://my.pitchbook.com?c=103373-29", "View company online")</f>
      </c>
    </row>
    <row r="712">
      <c r="A712" s="27" t="inlineStr">
        <is>
          <t>100779-40</t>
        </is>
      </c>
      <c r="B712" s="28" t="inlineStr">
        <is>
          <t>Veem (US)</t>
        </is>
      </c>
      <c r="C712" s="29" t="inlineStr">
        <is>
          <t>94133</t>
        </is>
      </c>
      <c r="D712" s="30" t="inlineStr">
        <is>
          <t>Provider of payment service for global commerce designed to simplify global business payments. The company's global payment service allows businesses and payment platforms to send and receive payments in local currency via a friction-less manner by using the block chain as a new settlement rail, enabling them to quickly and securely pay and get paid from their business partners all over the world.</t>
        </is>
      </c>
      <c r="E712" s="31" t="inlineStr">
        <is>
          <t>Financial Software</t>
        </is>
      </c>
      <c r="F712" s="32" t="inlineStr">
        <is>
          <t>San Francisco, CA</t>
        </is>
      </c>
      <c r="G712" s="33" t="inlineStr">
        <is>
          <t>Privately Held (backing)</t>
        </is>
      </c>
      <c r="H712" s="34" t="inlineStr">
        <is>
          <t>Venture Capital-Backed</t>
        </is>
      </c>
      <c r="I712" s="35" t="inlineStr">
        <is>
          <t>Alec Petro, Bayhill Capital Management, Boost VC, Daniel Chen, Digital Currency Group, FarSight Ventures, Fenway Summer Ventures, Firestartr, GV, Jere Doyle, Kleiner Perkins Caufield &amp; Byers, Mark Lodish, National Australia Bank, Nyca Partners, Pantera Capital, Paul Veradittakit, Philippe Suchet, Pivot Investment Partners, Recruit Strategic Partners, RF7, SBI Investment, SVB Capital, The Whittemore Collection, Todd McDonald</t>
        </is>
      </c>
      <c r="J712" s="36" t="inlineStr">
        <is>
          <t>www.veem.com</t>
        </is>
      </c>
      <c r="K712" s="37" t="inlineStr">
        <is>
          <t>business@veem.com</t>
        </is>
      </c>
      <c r="L712" s="38" t="inlineStr">
        <is>
          <t>+1 (877) 279-2629</t>
        </is>
      </c>
      <c r="M712" s="39" t="inlineStr">
        <is>
          <t>Marwan Forzley</t>
        </is>
      </c>
      <c r="N712" s="40" t="inlineStr">
        <is>
          <t>Co-Founder &amp; Chief Executive Officer</t>
        </is>
      </c>
      <c r="O712" s="41" t="inlineStr">
        <is>
          <t>marwan@aligncommerce.com</t>
        </is>
      </c>
      <c r="P712" s="42" t="inlineStr">
        <is>
          <t>+1 (877) 279-2629</t>
        </is>
      </c>
      <c r="Q712" s="43" t="n">
        <v>2014.0</v>
      </c>
      <c r="R712" s="114">
        <f>HYPERLINK("https://my.pitchbook.com?c=100779-40", "View company online")</f>
      </c>
    </row>
    <row r="713">
      <c r="A713" s="9" t="inlineStr">
        <is>
          <t>98927-47</t>
        </is>
      </c>
      <c r="B713" s="10" t="inlineStr">
        <is>
          <t>VeedMe</t>
        </is>
      </c>
      <c r="C713" s="11" t="inlineStr">
        <is>
          <t/>
        </is>
      </c>
      <c r="D713" s="12" t="inlineStr">
        <is>
          <t>Provider of a video production marketplace designed to produce video content for marketing campaigns. The company's video creation platform provides the community with a simple and daily-use platform, doing what they love to do, enabling businesses and startups to get connected with talented videographers or make their own custom videos by browsing from sample pre-uploaded videos.</t>
        </is>
      </c>
      <c r="E713" s="13" t="inlineStr">
        <is>
          <t>Business/Productivity Software</t>
        </is>
      </c>
      <c r="F713" s="14" t="inlineStr">
        <is>
          <t>Tel aviv, Israel</t>
        </is>
      </c>
      <c r="G713" s="15" t="inlineStr">
        <is>
          <t>Privately Held (backing)</t>
        </is>
      </c>
      <c r="H713" s="16" t="inlineStr">
        <is>
          <t>Venture Capital-Backed</t>
        </is>
      </c>
      <c r="I713" s="17" t="inlineStr">
        <is>
          <t>Jeffery Pulver, Marker, Nautilus by AOL, Oded Caspi, Oren Abekasis, Pulver's Micro Angel Fund, Shai Rephaeli, UpWest Labs, Yaniv Gelnik</t>
        </is>
      </c>
      <c r="J713" s="18" t="inlineStr">
        <is>
          <t>www.veed.me</t>
        </is>
      </c>
      <c r="K713" s="19" t="inlineStr">
        <is>
          <t>team@veed.me</t>
        </is>
      </c>
      <c r="L713" s="20" t="inlineStr">
        <is>
          <t/>
        </is>
      </c>
      <c r="M713" s="21" t="inlineStr">
        <is>
          <t>Yoav Hornung</t>
        </is>
      </c>
      <c r="N713" s="22" t="inlineStr">
        <is>
          <t>Co-Founder &amp; Chief Executive Officer</t>
        </is>
      </c>
      <c r="O713" s="23" t="inlineStr">
        <is>
          <t>yoav@veedme.com</t>
        </is>
      </c>
      <c r="P713" s="24" t="inlineStr">
        <is>
          <t/>
        </is>
      </c>
      <c r="Q713" s="25" t="n">
        <v>2012.0</v>
      </c>
      <c r="R713" s="113">
        <f>HYPERLINK("https://my.pitchbook.com?c=98927-47", "View company online")</f>
      </c>
    </row>
    <row r="714">
      <c r="A714" s="27" t="inlineStr">
        <is>
          <t>53571-16</t>
        </is>
      </c>
      <c r="B714" s="28" t="inlineStr">
        <is>
          <t>Vectra Networks</t>
        </is>
      </c>
      <c r="C714" s="29" t="inlineStr">
        <is>
          <t>95128</t>
        </is>
      </c>
      <c r="D714" s="30" t="inlineStr">
        <is>
          <t>Developer of a network intrusion detection system designed to automate real-time threat detection and response. The company's network intrusion detection system uses algorithms and artificial intelligence to detect anomalies in network traffic in real-time in order to secure against cyber-attacks, enabling organizations to make rapid decisions on where to focus time and resources.</t>
        </is>
      </c>
      <c r="E714" s="31" t="inlineStr">
        <is>
          <t>Network Management Software</t>
        </is>
      </c>
      <c r="F714" s="32" t="inlineStr">
        <is>
          <t>San Jose, CA</t>
        </is>
      </c>
      <c r="G714" s="33" t="inlineStr">
        <is>
          <t>Privately Held (backing)</t>
        </is>
      </c>
      <c r="H714" s="34" t="inlineStr">
        <is>
          <t>Venture Capital-Backed</t>
        </is>
      </c>
      <c r="I714" s="35" t="inlineStr">
        <is>
          <t>Accel, AME Cloud Ventures, DAG Ventures, IA Ventures, Intel Capital, Juniper Networks, Khosla Ventures, Wipro Ventures</t>
        </is>
      </c>
      <c r="J714" s="36" t="inlineStr">
        <is>
          <t>www.vectranetworks.com</t>
        </is>
      </c>
      <c r="K714" s="37" t="inlineStr">
        <is>
          <t>info@vectranetworks.com</t>
        </is>
      </c>
      <c r="L714" s="38" t="inlineStr">
        <is>
          <t>+1 (408) 326-2020</t>
        </is>
      </c>
      <c r="M714" s="39" t="inlineStr">
        <is>
          <t>Hitesh Sheth</t>
        </is>
      </c>
      <c r="N714" s="40" t="inlineStr">
        <is>
          <t>Chief Executive Officer, Board Member &amp; President</t>
        </is>
      </c>
      <c r="O714" s="41" t="inlineStr">
        <is>
          <t>hitesh@vectranetworks.com</t>
        </is>
      </c>
      <c r="P714" s="42" t="inlineStr">
        <is>
          <t>+1 (408) 326-2020</t>
        </is>
      </c>
      <c r="Q714" s="43" t="n">
        <v>2010.0</v>
      </c>
      <c r="R714" s="114">
        <f>HYPERLINK("https://my.pitchbook.com?c=53571-16", "View company online")</f>
      </c>
    </row>
    <row r="715">
      <c r="A715" s="9" t="inlineStr">
        <is>
          <t>118856-17</t>
        </is>
      </c>
      <c r="B715" s="10" t="inlineStr">
        <is>
          <t>Vectr Labs</t>
        </is>
      </c>
      <c r="C715" s="11" t="inlineStr">
        <is>
          <t>94115</t>
        </is>
      </c>
      <c r="D715" s="12" t="inlineStr">
        <is>
          <t>Developer of a graphic design software that helps in file syncing automatically. The company helps in linking a website's graphic to documents and updating them without touching code.</t>
        </is>
      </c>
      <c r="E715" s="13" t="inlineStr">
        <is>
          <t>Multimedia and Design Software</t>
        </is>
      </c>
      <c r="F715" s="14" t="inlineStr">
        <is>
          <t>San Francisco, CA</t>
        </is>
      </c>
      <c r="G715" s="15" t="inlineStr">
        <is>
          <t>Privately Held (backing)</t>
        </is>
      </c>
      <c r="H715" s="16" t="inlineStr">
        <is>
          <t>Venture Capital-Backed</t>
        </is>
      </c>
      <c r="I715" s="17" t="inlineStr">
        <is>
          <t>Jesse Rasch, Rauch Guillermo, Resolute Ventures</t>
        </is>
      </c>
      <c r="J715" s="18" t="inlineStr">
        <is>
          <t>www.vectr.com</t>
        </is>
      </c>
      <c r="K715" s="19" t="inlineStr">
        <is>
          <t>hello@vectr.com</t>
        </is>
      </c>
      <c r="L715" s="20" t="inlineStr">
        <is>
          <t>+1 (902) 798-5768</t>
        </is>
      </c>
      <c r="M715" s="21" t="inlineStr">
        <is>
          <t>Nicholas Budden</t>
        </is>
      </c>
      <c r="N715" s="22" t="inlineStr">
        <is>
          <t>Co-Founder, Chief Executive Officer &amp; Board Member</t>
        </is>
      </c>
      <c r="O715" s="23" t="inlineStr">
        <is>
          <t>nick@vectr.com</t>
        </is>
      </c>
      <c r="P715" s="24" t="inlineStr">
        <is>
          <t>+1 (902) 798-5768</t>
        </is>
      </c>
      <c r="Q715" s="25" t="n">
        <v>2014.0</v>
      </c>
      <c r="R715" s="113">
        <f>HYPERLINK("https://my.pitchbook.com?c=118856-17", "View company online")</f>
      </c>
    </row>
    <row r="716">
      <c r="A716" s="27" t="inlineStr">
        <is>
          <t>63820-45</t>
        </is>
      </c>
      <c r="B716" s="28" t="inlineStr">
        <is>
          <t>VDP Finder</t>
        </is>
      </c>
      <c r="C716" s="29" t="inlineStr">
        <is>
          <t>94303</t>
        </is>
      </c>
      <c r="D716" s="30" t="inlineStr">
        <is>
          <t>Provider of a social engagement platform. The company provides a cloud-based social platform that lets consumers and businesses participate in unified public group conversations over social media.</t>
        </is>
      </c>
      <c r="E716" s="31" t="inlineStr">
        <is>
          <t>Social Content</t>
        </is>
      </c>
      <c r="F716" s="32" t="inlineStr">
        <is>
          <t>Palo Alto, CA</t>
        </is>
      </c>
      <c r="G716" s="33" t="inlineStr">
        <is>
          <t>Privately Held (backing)</t>
        </is>
      </c>
      <c r="H716" s="34" t="inlineStr">
        <is>
          <t>Venture Capital-Backed</t>
        </is>
      </c>
      <c r="I716" s="35" t="inlineStr">
        <is>
          <t>Individual Investor, New Enterprise Associates</t>
        </is>
      </c>
      <c r="J716" s="36" t="inlineStr">
        <is>
          <t>www.crowdchat.net</t>
        </is>
      </c>
      <c r="K716" s="37" t="inlineStr">
        <is>
          <t/>
        </is>
      </c>
      <c r="L716" s="38" t="inlineStr">
        <is>
          <t/>
        </is>
      </c>
      <c r="M716" s="39" t="inlineStr">
        <is>
          <t>John Furrier</t>
        </is>
      </c>
      <c r="N716" s="40" t="inlineStr">
        <is>
          <t>Chief Executive Officer &amp; Co-Founder</t>
        </is>
      </c>
      <c r="O716" s="41" t="inlineStr">
        <is>
          <t>john@crowdspots.com</t>
        </is>
      </c>
      <c r="P716" s="42" t="inlineStr">
        <is>
          <t/>
        </is>
      </c>
      <c r="Q716" s="43" t="n">
        <v>2012.0</v>
      </c>
      <c r="R716" s="114">
        <f>HYPERLINK("https://my.pitchbook.com?c=63820-45", "View company online")</f>
      </c>
    </row>
    <row r="717">
      <c r="A717" s="9" t="inlineStr">
        <is>
          <t>53695-18</t>
        </is>
      </c>
      <c r="B717" s="10" t="inlineStr">
        <is>
          <t>Vdopia</t>
        </is>
      </c>
      <c r="C717" s="11" t="inlineStr">
        <is>
          <t>94538</t>
        </is>
      </c>
      <c r="D717" s="12" t="inlineStr">
        <is>
          <t>Provider of programmatic buying and selling platform for mobile video advertising. The company .VDO mobile video format which helps the brands and publishers to create mobile ad campaigns on mobile Web and applications.</t>
        </is>
      </c>
      <c r="E717" s="13" t="inlineStr">
        <is>
          <t>Social/Platform Software</t>
        </is>
      </c>
      <c r="F717" s="14" t="inlineStr">
        <is>
          <t>Fremont, CA</t>
        </is>
      </c>
      <c r="G717" s="15" t="inlineStr">
        <is>
          <t>Privately Held (backing)</t>
        </is>
      </c>
      <c r="H717" s="16" t="inlineStr">
        <is>
          <t>Venture Capital-Backed</t>
        </is>
      </c>
      <c r="I717" s="17" t="inlineStr">
        <is>
          <t>Individual Investor, Nexus Venture Partners, Rohit Sharma</t>
        </is>
      </c>
      <c r="J717" s="18" t="inlineStr">
        <is>
          <t>www.vdopia.com</t>
        </is>
      </c>
      <c r="K717" s="19" t="inlineStr">
        <is>
          <t>marketing@vdopia.com</t>
        </is>
      </c>
      <c r="L717" s="20" t="inlineStr">
        <is>
          <t>+1 (650) 353-3290</t>
        </is>
      </c>
      <c r="M717" s="21" t="inlineStr">
        <is>
          <t>Srikanth Kakani</t>
        </is>
      </c>
      <c r="N717" s="22" t="inlineStr">
        <is>
          <t>Co-Founder, Chief Technology Officer and Chairman</t>
        </is>
      </c>
      <c r="O717" s="23" t="inlineStr">
        <is>
          <t>srikanth@vdopia.com</t>
        </is>
      </c>
      <c r="P717" s="24" t="inlineStr">
        <is>
          <t>+1 (650) 353-3290</t>
        </is>
      </c>
      <c r="Q717" s="25" t="n">
        <v>2007.0</v>
      </c>
      <c r="R717" s="113">
        <f>HYPERLINK("https://my.pitchbook.com?c=53695-18", "View company online")</f>
      </c>
    </row>
    <row r="718">
      <c r="A718" s="27" t="inlineStr">
        <is>
          <t>126398-98</t>
        </is>
      </c>
      <c r="B718" s="28" t="inlineStr">
        <is>
          <t>V-Cult</t>
        </is>
      </c>
      <c r="C718" s="29" t="inlineStr">
        <is>
          <t>59000</t>
        </is>
      </c>
      <c r="D718" s="30" t="inlineStr">
        <is>
          <t>Developer of 3D web and virtual reality technology. The company develops a 3D social media platform for various brands, retailers and manufacturers for experiential marketing purposes.</t>
        </is>
      </c>
      <c r="E718" s="31" t="inlineStr">
        <is>
          <t>Multimedia and Design Software</t>
        </is>
      </c>
      <c r="F718" s="32" t="inlineStr">
        <is>
          <t>Lille, France</t>
        </is>
      </c>
      <c r="G718" s="33" t="inlineStr">
        <is>
          <t>Privately Held (backing)</t>
        </is>
      </c>
      <c r="H718" s="34" t="inlineStr">
        <is>
          <t>Venture Capital-Backed</t>
        </is>
      </c>
      <c r="I718" s="35" t="inlineStr">
        <is>
          <t>Boost VC, EuraTechnologies, Siparex Group, Sparkling Partners</t>
        </is>
      </c>
      <c r="J718" s="36" t="inlineStr">
        <is>
          <t>www.v-cult.com</t>
        </is>
      </c>
      <c r="K718" s="37" t="inlineStr">
        <is>
          <t>contact@v-cult.com</t>
        </is>
      </c>
      <c r="L718" s="38" t="inlineStr">
        <is>
          <t>+33 (0)9 53 54 62 21</t>
        </is>
      </c>
      <c r="M718" s="39" t="inlineStr">
        <is>
          <t>Tom Gauthier</t>
        </is>
      </c>
      <c r="N718" s="40" t="inlineStr">
        <is>
          <t>Founder &amp; Chief Executive Officer</t>
        </is>
      </c>
      <c r="O718" s="41" t="inlineStr">
        <is>
          <t>tom@beloola.com</t>
        </is>
      </c>
      <c r="P718" s="42" t="inlineStr">
        <is>
          <t>+33 (0)9 53 54 62 21</t>
        </is>
      </c>
      <c r="Q718" s="43" t="n">
        <v>2009.0</v>
      </c>
      <c r="R718" s="114">
        <f>HYPERLINK("https://my.pitchbook.com?c=126398-98", "View company online")</f>
      </c>
    </row>
    <row r="719">
      <c r="A719" s="9" t="inlineStr">
        <is>
          <t>97411-78</t>
        </is>
      </c>
      <c r="B719" s="10" t="inlineStr">
        <is>
          <t>VCE Company</t>
        </is>
      </c>
      <c r="C719" s="11" t="inlineStr">
        <is>
          <t>75081</t>
        </is>
      </c>
      <c r="D719" s="12" t="inlineStr">
        <is>
          <t>Provider of a converged cloud computing platform for organizations. The company provides information technology system that accelerates the adoption of converged infrastructure and cloud-based computing models that reduces the cost of IT.</t>
        </is>
      </c>
      <c r="E719" s="13" t="inlineStr">
        <is>
          <t>Business/Productivity Software</t>
        </is>
      </c>
      <c r="F719" s="14" t="inlineStr">
        <is>
          <t>Richardson, TX</t>
        </is>
      </c>
      <c r="G719" s="15" t="inlineStr">
        <is>
          <t>Privately Held (backing)</t>
        </is>
      </c>
      <c r="H719" s="16" t="inlineStr">
        <is>
          <t>Venture Capital-Backed</t>
        </is>
      </c>
      <c r="I719" s="17" t="inlineStr">
        <is>
          <t>Cisco Investments, EMC, Intel, VMware</t>
        </is>
      </c>
      <c r="J719" s="18" t="inlineStr">
        <is>
          <t>www.vce.com</t>
        </is>
      </c>
      <c r="K719" s="19" t="inlineStr">
        <is>
          <t>moreinfo@vce.com</t>
        </is>
      </c>
      <c r="L719" s="20" t="inlineStr">
        <is>
          <t>+1 (855) 200-8006</t>
        </is>
      </c>
      <c r="M719" s="21" t="inlineStr">
        <is>
          <t>Robert Taccini</t>
        </is>
      </c>
      <c r="N719" s="22" t="inlineStr">
        <is>
          <t>Chief Financial Officer &amp; Treasurer</t>
        </is>
      </c>
      <c r="O719" s="23" t="inlineStr">
        <is>
          <t>robert.taccini@vce.com</t>
        </is>
      </c>
      <c r="P719" s="24" t="inlineStr">
        <is>
          <t>+1 (855) 200-8006</t>
        </is>
      </c>
      <c r="Q719" s="25" t="n">
        <v>2009.0</v>
      </c>
      <c r="R719" s="113">
        <f>HYPERLINK("https://my.pitchbook.com?c=97411-78", "View company online")</f>
      </c>
    </row>
    <row r="720">
      <c r="A720" s="27" t="inlineStr">
        <is>
          <t>58602-34</t>
        </is>
      </c>
      <c r="B720" s="28" t="inlineStr">
        <is>
          <t>VCCP Media</t>
        </is>
      </c>
      <c r="C720" s="29" t="inlineStr">
        <is>
          <t>SW1P 1DH</t>
        </is>
      </c>
      <c r="D720" s="30" t="inlineStr">
        <is>
          <t>Provider of information and communication services. The company provides a cloud based technology which allows advertisers to measure every touch point in the online purchase cycle and to act on this data when 'trading media' in biddable platforms such as Google, YouTube and Facebook.</t>
        </is>
      </c>
      <c r="E720" s="31" t="inlineStr">
        <is>
          <t>Communication Software</t>
        </is>
      </c>
      <c r="F720" s="32" t="inlineStr">
        <is>
          <t>London, United Kingdom</t>
        </is>
      </c>
      <c r="G720" s="33" t="inlineStr">
        <is>
          <t>Privately Held (backing)</t>
        </is>
      </c>
      <c r="H720" s="34" t="inlineStr">
        <is>
          <t>Venture Capital-Backed</t>
        </is>
      </c>
      <c r="I720" s="35" t="inlineStr">
        <is>
          <t>Chime Ventures, Providence Equity Partners</t>
        </is>
      </c>
      <c r="J720" s="36" t="inlineStr">
        <is>
          <t>www.vccpmedia.com</t>
        </is>
      </c>
      <c r="K720" s="37" t="inlineStr">
        <is>
          <t>info@vccp.com</t>
        </is>
      </c>
      <c r="L720" s="38" t="inlineStr">
        <is>
          <t>+44 (0)20 7592 9331</t>
        </is>
      </c>
      <c r="M720" s="39" t="inlineStr">
        <is>
          <t>Paul Mead</t>
        </is>
      </c>
      <c r="N720" s="40" t="inlineStr">
        <is>
          <t>Co-Founder &amp; Chairman</t>
        </is>
      </c>
      <c r="O720" s="41" t="inlineStr">
        <is>
          <t>paul.mead@vccpmedia.com</t>
        </is>
      </c>
      <c r="P720" s="42" t="inlineStr">
        <is>
          <t>+44 (0)20 7592 9331</t>
        </is>
      </c>
      <c r="Q720" s="43" t="n">
        <v>2002.0</v>
      </c>
      <c r="R720" s="114">
        <f>HYPERLINK("https://my.pitchbook.com?c=58602-34", "View company online")</f>
      </c>
    </row>
    <row r="721">
      <c r="A721" s="9" t="inlineStr">
        <is>
          <t>114632-02</t>
        </is>
      </c>
      <c r="B721" s="10" t="inlineStr">
        <is>
          <t>VC Mobile Entertainment</t>
        </is>
      </c>
      <c r="C721" s="11" t="inlineStr">
        <is>
          <t>90045</t>
        </is>
      </c>
      <c r="D721" s="12" t="inlineStr">
        <is>
          <t>Operator of a mobile gaming company. The company operates a mobile studio for producing and publishing games for mobile operating systems.</t>
        </is>
      </c>
      <c r="E721" s="13" t="inlineStr">
        <is>
          <t>Entertainment Software</t>
        </is>
      </c>
      <c r="F721" s="14" t="inlineStr">
        <is>
          <t>Los Angeles, CA</t>
        </is>
      </c>
      <c r="G721" s="15" t="inlineStr">
        <is>
          <t>Privately Held (backing)</t>
        </is>
      </c>
      <c r="H721" s="16" t="inlineStr">
        <is>
          <t>Venture Capital-Backed</t>
        </is>
      </c>
      <c r="I721" s="17" t="inlineStr">
        <is>
          <t>Individual Investor, Pacific Sky Investments, Tencent Industry Win-Win Fund</t>
        </is>
      </c>
      <c r="J721" s="18" t="inlineStr">
        <is>
          <t>www.vcmobile.net</t>
        </is>
      </c>
      <c r="K721" s="19" t="inlineStr">
        <is>
          <t>info@vcmobile.net</t>
        </is>
      </c>
      <c r="L721" s="20" t="inlineStr">
        <is>
          <t>+1 (310) 684-2500</t>
        </is>
      </c>
      <c r="M721" s="21" t="inlineStr">
        <is>
          <t>Jon Van Caneghem</t>
        </is>
      </c>
      <c r="N721" s="22" t="inlineStr">
        <is>
          <t>Chief Executive Officer, Board Member and Founder</t>
        </is>
      </c>
      <c r="O721" s="23" t="inlineStr">
        <is>
          <t/>
        </is>
      </c>
      <c r="P721" s="24" t="inlineStr">
        <is>
          <t>+1 (310) 684-2500</t>
        </is>
      </c>
      <c r="Q721" s="25" t="n">
        <v>2014.0</v>
      </c>
      <c r="R721" s="113">
        <f>HYPERLINK("https://my.pitchbook.com?c=114632-02", "View company online")</f>
      </c>
    </row>
    <row r="722">
      <c r="A722" s="27" t="inlineStr">
        <is>
          <t>51687-10</t>
        </is>
      </c>
      <c r="B722" s="28" t="inlineStr">
        <is>
          <t>VBrick Systems</t>
        </is>
      </c>
      <c r="C722" s="29" t="inlineStr">
        <is>
          <t>20170</t>
        </is>
      </c>
      <c r="D722" s="30" t="inlineStr">
        <is>
          <t>Provider of an enterprise video platform intended to offer webcasting and video content management services. The company's enterprise video platform develops software and appliances that helps in the creation, publishing and distribution of streaming video over standard IP networks and the Internet, enabling organizations to create, manage and distribute media information from virtually any source.</t>
        </is>
      </c>
      <c r="E722" s="31" t="inlineStr">
        <is>
          <t>Social/Platform Software</t>
        </is>
      </c>
      <c r="F722" s="32" t="inlineStr">
        <is>
          <t>Herndon, VA</t>
        </is>
      </c>
      <c r="G722" s="33" t="inlineStr">
        <is>
          <t>Privately Held (backing)</t>
        </is>
      </c>
      <c r="H722" s="34" t="inlineStr">
        <is>
          <t>Venture Capital-Backed</t>
        </is>
      </c>
      <c r="I722" s="35" t="inlineStr">
        <is>
          <t>Acme Nova Partners, Adams Capital Management, Claflin Capital Management, Draper Fisher Jurvetson Portage, Greystone Ventures, Horizon Technology Finance, Knickerbocker Management, Menlo Ventures, Morgan Stanley Expansion Capital, RedShift Ventures, Two Rivers Associates</t>
        </is>
      </c>
      <c r="J722" s="36" t="inlineStr">
        <is>
          <t>www.vbrick.com</t>
        </is>
      </c>
      <c r="K722" s="37" t="inlineStr">
        <is>
          <t>info@vbrick.com</t>
        </is>
      </c>
      <c r="L722" s="38" t="inlineStr">
        <is>
          <t>+1 (855) 996-0095</t>
        </is>
      </c>
      <c r="M722" s="39" t="inlineStr">
        <is>
          <t>Shelly Heiden</t>
        </is>
      </c>
      <c r="N722" s="40" t="inlineStr">
        <is>
          <t>Chief Executive Officer &amp; Board Member</t>
        </is>
      </c>
      <c r="O722" s="41" t="inlineStr">
        <is>
          <t>shelly.heiden@vbrick.com</t>
        </is>
      </c>
      <c r="P722" s="42" t="inlineStr">
        <is>
          <t>+1 (855) 996-0095</t>
        </is>
      </c>
      <c r="Q722" s="43" t="n">
        <v>1997.0</v>
      </c>
      <c r="R722" s="114">
        <f>HYPERLINK("https://my.pitchbook.com?c=51687-10", "View company online")</f>
      </c>
    </row>
    <row r="723">
      <c r="A723" s="9" t="inlineStr">
        <is>
          <t>42934-60</t>
        </is>
      </c>
      <c r="B723" s="10" t="inlineStr">
        <is>
          <t>Vayusphere</t>
        </is>
      </c>
      <c r="C723" s="11" t="inlineStr">
        <is>
          <t>94043</t>
        </is>
      </c>
      <c r="D723" s="12" t="inlineStr">
        <is>
          <t>Developer of a server software to manage business events. The company provides a platform for creating real-time dashboard for querying any enterprise application.</t>
        </is>
      </c>
      <c r="E723" s="13" t="inlineStr">
        <is>
          <t>Automation/Workflow Software</t>
        </is>
      </c>
      <c r="F723" s="14" t="inlineStr">
        <is>
          <t>Mountain View, CA</t>
        </is>
      </c>
      <c r="G723" s="15" t="inlineStr">
        <is>
          <t>Privately Held (backing)</t>
        </is>
      </c>
      <c r="H723" s="16" t="inlineStr">
        <is>
          <t>Venture Capital-Backed</t>
        </is>
      </c>
      <c r="I723" s="17" t="inlineStr">
        <is>
          <t>Benchmark Capital, Hercules Capital, Individual Investor</t>
        </is>
      </c>
      <c r="J723" s="18" t="inlineStr">
        <is>
          <t>www.vayusphere.com</t>
        </is>
      </c>
      <c r="K723" s="19" t="inlineStr">
        <is>
          <t>info@vayusphere.com</t>
        </is>
      </c>
      <c r="L723" s="20" t="inlineStr">
        <is>
          <t>+1 (650) 960-2900</t>
        </is>
      </c>
      <c r="M723" s="21" t="inlineStr">
        <is>
          <t>Pushpendra Mohta</t>
        </is>
      </c>
      <c r="N723" s="22" t="inlineStr">
        <is>
          <t>Founder &amp; Chief Executive Officer</t>
        </is>
      </c>
      <c r="O723" s="23" t="inlineStr">
        <is>
          <t>pmohta@vayusphere.com</t>
        </is>
      </c>
      <c r="P723" s="24" t="inlineStr">
        <is>
          <t>+1 (650) 960-2900</t>
        </is>
      </c>
      <c r="Q723" s="25" t="n">
        <v>2000.0</v>
      </c>
      <c r="R723" s="113">
        <f>HYPERLINK("https://my.pitchbook.com?c=42934-60", "View company online")</f>
      </c>
    </row>
    <row r="724">
      <c r="A724" s="27" t="inlineStr">
        <is>
          <t>52841-44</t>
        </is>
      </c>
      <c r="B724" s="28" t="inlineStr">
        <is>
          <t>Vaxart</t>
        </is>
      </c>
      <c r="C724" s="29" t="inlineStr">
        <is>
          <t>94080</t>
        </is>
      </c>
      <c r="D724" s="30" t="inlineStr">
        <is>
          <t>Developer of oral vaccines. The company focuses on developing oral recombinant vaccines based on its proprietary oral vaccine delivery platform.</t>
        </is>
      </c>
      <c r="E724" s="31" t="inlineStr">
        <is>
          <t>Drug Discovery</t>
        </is>
      </c>
      <c r="F724" s="32" t="inlineStr">
        <is>
          <t>South San Francisco, CA</t>
        </is>
      </c>
      <c r="G724" s="33" t="inlineStr">
        <is>
          <t>Privately Held (backing)</t>
        </is>
      </c>
      <c r="H724" s="34" t="inlineStr">
        <is>
          <t>Venture Capital-Backed</t>
        </is>
      </c>
      <c r="I724" s="35" t="inlineStr">
        <is>
          <t>Bay Partners, Care Capital, Karl Handelsman, Life Science Angels, Quantum Technology Partners, Salil Deshpande, Sand Hill Angels, Xandex Investments</t>
        </is>
      </c>
      <c r="J724" s="36" t="inlineStr">
        <is>
          <t>www.vaxart.com</t>
        </is>
      </c>
      <c r="K724" s="37" t="inlineStr">
        <is>
          <t>info@vaxart.com</t>
        </is>
      </c>
      <c r="L724" s="38" t="inlineStr">
        <is>
          <t>+1 (650) 550-3500</t>
        </is>
      </c>
      <c r="M724" s="39" t="inlineStr">
        <is>
          <t>John Harland</t>
        </is>
      </c>
      <c r="N724" s="40" t="inlineStr">
        <is>
          <t>Chief Financial Officer</t>
        </is>
      </c>
      <c r="O724" s="41" t="inlineStr">
        <is>
          <t>jharland@vaxart.com</t>
        </is>
      </c>
      <c r="P724" s="42" t="inlineStr">
        <is>
          <t>+1 (650) 550-3500</t>
        </is>
      </c>
      <c r="Q724" s="43" t="n">
        <v>2004.0</v>
      </c>
      <c r="R724" s="114">
        <f>HYPERLINK("https://my.pitchbook.com?c=52841-44", "View company online")</f>
      </c>
    </row>
    <row r="725">
      <c r="A725" s="9" t="inlineStr">
        <is>
          <t>125207-47</t>
        </is>
      </c>
      <c r="B725" s="10" t="inlineStr">
        <is>
          <t>Vave Health</t>
        </is>
      </c>
      <c r="C725" s="11" t="inlineStr">
        <is>
          <t>94063</t>
        </is>
      </c>
      <c r="D725" s="12" t="inlineStr">
        <is>
          <t>Developer of a digital healthcare platform designed to deliver better care, improve patient experience, and drive healthcare efficiency.</t>
        </is>
      </c>
      <c r="E725" s="13" t="inlineStr">
        <is>
          <t>Other Healthcare Technology Systems</t>
        </is>
      </c>
      <c r="F725" s="14" t="inlineStr">
        <is>
          <t>Redwood City, CA</t>
        </is>
      </c>
      <c r="G725" s="15" t="inlineStr">
        <is>
          <t>Privately Held (backing)</t>
        </is>
      </c>
      <c r="H725" s="16" t="inlineStr">
        <is>
          <t>Venture Capital-Backed</t>
        </is>
      </c>
      <c r="I725" s="17" t="inlineStr">
        <is>
          <t>Cota Capital, RONA Holdings</t>
        </is>
      </c>
      <c r="J725" s="18" t="inlineStr">
        <is>
          <t>www.vavehealth.com</t>
        </is>
      </c>
      <c r="K725" s="19" t="inlineStr">
        <is>
          <t>info@vavehealth.com</t>
        </is>
      </c>
      <c r="L725" s="20" t="inlineStr">
        <is>
          <t/>
        </is>
      </c>
      <c r="M725" s="21" t="inlineStr">
        <is>
          <t>Amin Nikoozadeh</t>
        </is>
      </c>
      <c r="N725" s="22" t="inlineStr">
        <is>
          <t>Founder</t>
        </is>
      </c>
      <c r="O725" s="23" t="inlineStr">
        <is>
          <t>amin.nikoozadeh@vavehealth.com</t>
        </is>
      </c>
      <c r="P725" s="24" t="inlineStr">
        <is>
          <t/>
        </is>
      </c>
      <c r="Q725" s="25" t="n">
        <v>2015.0</v>
      </c>
      <c r="R725" s="113">
        <f>HYPERLINK("https://my.pitchbook.com?c=125207-47", "View company online")</f>
      </c>
    </row>
    <row r="726">
      <c r="A726" s="27" t="inlineStr">
        <is>
          <t>127540-81</t>
        </is>
      </c>
      <c r="B726" s="28" t="inlineStr">
        <is>
          <t>VaultRMS</t>
        </is>
      </c>
      <c r="C726" s="29" t="inlineStr">
        <is>
          <t>92101</t>
        </is>
      </c>
      <c r="D726" s="30" t="inlineStr">
        <is>
          <t>Provider of a cloud-based technology platform that captures data around the toxic exposures firefighters face every day. The company's platform enables users to document and access exposure data on any internet-connected device. It also enables users to integrate traditional records systems, wearable devices, heat, chemical sensors and add objective data about their role at an incident.</t>
        </is>
      </c>
      <c r="E726" s="31" t="inlineStr">
        <is>
          <t>Systems and Information Management</t>
        </is>
      </c>
      <c r="F726" s="32" t="inlineStr">
        <is>
          <t>San Diego, CA</t>
        </is>
      </c>
      <c r="G726" s="33" t="inlineStr">
        <is>
          <t>Privately Held (backing)</t>
        </is>
      </c>
      <c r="H726" s="34" t="inlineStr">
        <is>
          <t>Venture Capital-Backed</t>
        </is>
      </c>
      <c r="I726" s="35" t="inlineStr">
        <is>
          <t>Bill Miller, Keshif Ventures, Right Side Capital Management, San Diego Regional Economic Development Corporation, Village Capital</t>
        </is>
      </c>
      <c r="J726" s="36" t="inlineStr">
        <is>
          <t>www.vaultexposuretracker.com</t>
        </is>
      </c>
      <c r="K726" s="37" t="inlineStr">
        <is>
          <t>info@vaultrms.com</t>
        </is>
      </c>
      <c r="L726" s="38" t="inlineStr">
        <is>
          <t>+1 (801) 706-1668</t>
        </is>
      </c>
      <c r="M726" s="39" t="inlineStr">
        <is>
          <t>Christopher Memmott</t>
        </is>
      </c>
      <c r="N726" s="40" t="inlineStr">
        <is>
          <t>Co-Founder &amp; Chief Executive Officer</t>
        </is>
      </c>
      <c r="O726" s="41" t="inlineStr">
        <is>
          <t>chris@vaultrms.com</t>
        </is>
      </c>
      <c r="P726" s="42" t="inlineStr">
        <is>
          <t>+1 (801) 706-1668</t>
        </is>
      </c>
      <c r="Q726" s="43" t="n">
        <v>2013.0</v>
      </c>
      <c r="R726" s="114">
        <f>HYPERLINK("https://my.pitchbook.com?c=127540-81", "View company online")</f>
      </c>
    </row>
    <row r="727">
      <c r="A727" s="9" t="inlineStr">
        <is>
          <t>57882-34</t>
        </is>
      </c>
      <c r="B727" s="10" t="inlineStr">
        <is>
          <t>Vaultize</t>
        </is>
      </c>
      <c r="C727" s="85">
        <f>HYPERLINK("https://my.pitchbook.com?rrp=57882-34&amp;type=c", "This Company's information is not available to download. Need this Company? Request availability")</f>
      </c>
      <c r="D727" s="12" t="inlineStr">
        <is>
          <t/>
        </is>
      </c>
      <c r="E727" s="13" t="inlineStr">
        <is>
          <t/>
        </is>
      </c>
      <c r="F727" s="14" t="inlineStr">
        <is>
          <t/>
        </is>
      </c>
      <c r="G727" s="15" t="inlineStr">
        <is>
          <t/>
        </is>
      </c>
      <c r="H727" s="16" t="inlineStr">
        <is>
          <t/>
        </is>
      </c>
      <c r="I727" s="17" t="inlineStr">
        <is>
          <t/>
        </is>
      </c>
      <c r="J727" s="18" t="inlineStr">
        <is>
          <t/>
        </is>
      </c>
      <c r="K727" s="19" t="inlineStr">
        <is>
          <t/>
        </is>
      </c>
      <c r="L727" s="20" t="inlineStr">
        <is>
          <t/>
        </is>
      </c>
      <c r="M727" s="21" t="inlineStr">
        <is>
          <t/>
        </is>
      </c>
      <c r="N727" s="22" t="inlineStr">
        <is>
          <t/>
        </is>
      </c>
      <c r="O727" s="23" t="inlineStr">
        <is>
          <t/>
        </is>
      </c>
      <c r="P727" s="24" t="inlineStr">
        <is>
          <t/>
        </is>
      </c>
      <c r="Q727" s="25" t="inlineStr">
        <is>
          <t/>
        </is>
      </c>
      <c r="R727" s="26" t="inlineStr">
        <is>
          <t/>
        </is>
      </c>
    </row>
    <row r="728">
      <c r="A728" s="27" t="inlineStr">
        <is>
          <t>107834-68</t>
        </is>
      </c>
      <c r="B728" s="28" t="inlineStr">
        <is>
          <t>Vault12</t>
        </is>
      </c>
      <c r="C728" s="29" t="inlineStr">
        <is>
          <t>91789</t>
        </is>
      </c>
      <c r="D728" s="30" t="inlineStr">
        <is>
          <t>Developer of internet currency technology. The company is creating a mobile product to make Bitcoin commerce safe and accessible to to non-technical consumers.</t>
        </is>
      </c>
      <c r="E728" s="31" t="inlineStr">
        <is>
          <t>Financial Software</t>
        </is>
      </c>
      <c r="F728" s="32" t="inlineStr">
        <is>
          <t>Walnut, CA</t>
        </is>
      </c>
      <c r="G728" s="33" t="inlineStr">
        <is>
          <t>Privately Held (backing)</t>
        </is>
      </c>
      <c r="H728" s="34" t="inlineStr">
        <is>
          <t>Venture Capital-Backed</t>
        </is>
      </c>
      <c r="I728" s="35" t="inlineStr">
        <is>
          <t>Adam Schwartz, Bradley Feld, Jared Kopf, Jason Seats, Jay Gould, Kenny Van Zant, Lance White, Maneesh Arora, Naval Ravikant, Oliver Thylmann, Rakesh Agrawal, Seth Goldstein, Sumit Gupta, Walter Danco</t>
        </is>
      </c>
      <c r="J728" s="36" t="inlineStr">
        <is>
          <t/>
        </is>
      </c>
      <c r="K728" s="37" t="inlineStr">
        <is>
          <t/>
        </is>
      </c>
      <c r="L728" s="38" t="inlineStr">
        <is>
          <t>+1 (415) 236-3973</t>
        </is>
      </c>
      <c r="M728" s="39" t="inlineStr">
        <is>
          <t>Max Skibinsky</t>
        </is>
      </c>
      <c r="N728" s="40" t="inlineStr">
        <is>
          <t>Chief Executive Officer &amp; Director</t>
        </is>
      </c>
      <c r="O728" s="41" t="inlineStr">
        <is>
          <t/>
        </is>
      </c>
      <c r="P728" s="42" t="inlineStr">
        <is>
          <t>+1 (415) 236-3973</t>
        </is>
      </c>
      <c r="Q728" s="43" t="n">
        <v>2014.0</v>
      </c>
      <c r="R728" s="114">
        <f>HYPERLINK("https://my.pitchbook.com?c=107834-68", "View company online")</f>
      </c>
    </row>
    <row r="729">
      <c r="A729" s="9" t="inlineStr">
        <is>
          <t>175218-94</t>
        </is>
      </c>
      <c r="B729" s="10" t="inlineStr">
        <is>
          <t>Vault Pharma</t>
        </is>
      </c>
      <c r="C729" s="11" t="inlineStr">
        <is>
          <t>90095</t>
        </is>
      </c>
      <c r="D729" s="12" t="inlineStr">
        <is>
          <t>Provider of a technology platform designed to use the human vault particle to deliver peptide payloads for unique immune signaling. The company's technology platform provides favorable and natural property of vaults sets in motion an elegant and robust immune response that is non-inflammatory and results in many propitious effects including stimulation of extraordinarily high levels of antigen specific CD4 and CD8 T cells, enabling the clients to develop a portfolio of multiple vault-medicines quickly and cost effectively.</t>
        </is>
      </c>
      <c r="E729" s="13" t="inlineStr">
        <is>
          <t>Biotechnology</t>
        </is>
      </c>
      <c r="F729" s="14" t="inlineStr">
        <is>
          <t>Los Angeles, CA</t>
        </is>
      </c>
      <c r="G729" s="15" t="inlineStr">
        <is>
          <t>Privately Held (backing)</t>
        </is>
      </c>
      <c r="H729" s="16" t="inlineStr">
        <is>
          <t>Venture Capital-Backed</t>
        </is>
      </c>
      <c r="I729" s="17" t="inlineStr">
        <is>
          <t>Cavendish Impact Capital</t>
        </is>
      </c>
      <c r="J729" s="18" t="inlineStr">
        <is>
          <t>www.vaultpharma.com</t>
        </is>
      </c>
      <c r="K729" s="19" t="inlineStr">
        <is>
          <t/>
        </is>
      </c>
      <c r="L729" s="20" t="inlineStr">
        <is>
          <t/>
        </is>
      </c>
      <c r="M729" s="21" t="inlineStr">
        <is>
          <t>Leonard Rome</t>
        </is>
      </c>
      <c r="N729" s="22" t="inlineStr">
        <is>
          <t>Chief Scientific Officer &amp; Board Member</t>
        </is>
      </c>
      <c r="O729" s="23" t="inlineStr">
        <is>
          <t>leonard@vaultpharma.com</t>
        </is>
      </c>
      <c r="P729" s="24" t="inlineStr">
        <is>
          <t/>
        </is>
      </c>
      <c r="Q729" s="25" t="n">
        <v>1986.0</v>
      </c>
      <c r="R729" s="113">
        <f>HYPERLINK("https://my.pitchbook.com?c=175218-94", "View company online")</f>
      </c>
    </row>
    <row r="730">
      <c r="A730" s="27" t="inlineStr">
        <is>
          <t>54648-73</t>
        </is>
      </c>
      <c r="B730" s="28" t="inlineStr">
        <is>
          <t>Vator</t>
        </is>
      </c>
      <c r="C730" s="29" t="inlineStr">
        <is>
          <t>94502</t>
        </is>
      </c>
      <c r="D730" s="30" t="inlineStr">
        <is>
          <t>Provider of a professional resource marketplace. The company provides a professional network for users to add content about entrepreneurial ideas, activities, businesses and services, primarily through videos.</t>
        </is>
      </c>
      <c r="E730" s="31" t="inlineStr">
        <is>
          <t>Media and Information Services (B2B)</t>
        </is>
      </c>
      <c r="F730" s="32" t="inlineStr">
        <is>
          <t>Alameda, CA</t>
        </is>
      </c>
      <c r="G730" s="33" t="inlineStr">
        <is>
          <t>Privately Held (backing)</t>
        </is>
      </c>
      <c r="H730" s="34" t="inlineStr">
        <is>
          <t>Venture Capital-Backed</t>
        </is>
      </c>
      <c r="I730" s="35" t="inlineStr">
        <is>
          <t>Anu Nigam, Barry Silbert, Drew Curtis, Georges Harik, Individual Investor, Peter Thiel, Richard Rosenblatt, Venture Farm, Wavemaker Partners</t>
        </is>
      </c>
      <c r="J730" s="36" t="inlineStr">
        <is>
          <t>www.vator.tv</t>
        </is>
      </c>
      <c r="K730" s="37" t="inlineStr">
        <is>
          <t>hello@vator.tv</t>
        </is>
      </c>
      <c r="L730" s="38" t="inlineStr">
        <is>
          <t/>
        </is>
      </c>
      <c r="M730" s="39" t="inlineStr">
        <is>
          <t>Bambi Roizen</t>
        </is>
      </c>
      <c r="N730" s="40" t="inlineStr">
        <is>
          <t>Founder &amp; Chief Executive Officer</t>
        </is>
      </c>
      <c r="O730" s="41" t="inlineStr">
        <is>
          <t>bambi.roizen@vator.tv</t>
        </is>
      </c>
      <c r="P730" s="42" t="inlineStr">
        <is>
          <t/>
        </is>
      </c>
      <c r="Q730" s="43" t="n">
        <v>2007.0</v>
      </c>
      <c r="R730" s="114">
        <f>HYPERLINK("https://my.pitchbook.com?c=54648-73", "View company online")</f>
      </c>
    </row>
    <row r="731">
      <c r="A731" s="9" t="inlineStr">
        <is>
          <t>58656-61</t>
        </is>
      </c>
      <c r="B731" s="10" t="inlineStr">
        <is>
          <t>Vastrm</t>
        </is>
      </c>
      <c r="C731" s="11" t="inlineStr">
        <is>
          <t>94010</t>
        </is>
      </c>
      <c r="D731" s="12" t="inlineStr">
        <is>
          <t>Manufacturer of customized fit mens' shirts. The company allow users to create their own polo shirts by selecting various trims for fabric, collar, cuff, pocket, side vents and placket types and sells them through the company website.</t>
        </is>
      </c>
      <c r="E731" s="13" t="inlineStr">
        <is>
          <t>Clothing</t>
        </is>
      </c>
      <c r="F731" s="14" t="inlineStr">
        <is>
          <t>Burlingame, CA</t>
        </is>
      </c>
      <c r="G731" s="15" t="inlineStr">
        <is>
          <t>Privately Held (backing)</t>
        </is>
      </c>
      <c r="H731" s="16" t="inlineStr">
        <is>
          <t>Venture Capital-Backed</t>
        </is>
      </c>
      <c r="I731" s="17" t="inlineStr">
        <is>
          <t>Andreessen Horowitz, Aventura VC, Columbus Nova Technology Partners, David Hehman, General Catalyst Partners, Ignition Venture Partners, Individual Investor, Quest Venture Partners, Saad AlSogair, Start Fund, SV Angel, Victor Young, Will Smith, Y Combinator</t>
        </is>
      </c>
      <c r="J731" s="18" t="inlineStr">
        <is>
          <t>www.vastrm.com</t>
        </is>
      </c>
      <c r="K731" s="19" t="inlineStr">
        <is>
          <t>warriors@vastrm.com</t>
        </is>
      </c>
      <c r="L731" s="20" t="inlineStr">
        <is>
          <t>+1 (209) 782-7876</t>
        </is>
      </c>
      <c r="M731" s="21" t="inlineStr">
        <is>
          <t>Jonathan Tang</t>
        </is>
      </c>
      <c r="N731" s="22" t="inlineStr">
        <is>
          <t>President, Promoter, Director, Chief Executive Officer &amp; Founder</t>
        </is>
      </c>
      <c r="O731" s="23" t="inlineStr">
        <is>
          <t>jtang@vastrm.com</t>
        </is>
      </c>
      <c r="P731" s="24" t="inlineStr">
        <is>
          <t>+1 (209) 782-7876</t>
        </is>
      </c>
      <c r="Q731" s="25" t="n">
        <v>2012.0</v>
      </c>
      <c r="R731" s="113">
        <f>HYPERLINK("https://my.pitchbook.com?c=58656-61", "View company online")</f>
      </c>
    </row>
    <row r="732">
      <c r="A732" s="27" t="inlineStr">
        <is>
          <t>53302-15</t>
        </is>
      </c>
      <c r="B732" s="28" t="inlineStr">
        <is>
          <t>Vasona Networks</t>
        </is>
      </c>
      <c r="C732" s="29" t="inlineStr">
        <is>
          <t>95110</t>
        </is>
      </c>
      <c r="D732" s="30" t="inlineStr">
        <is>
          <t>Provider of platforms for mobile network capacity, resource management and edge intelligence. The company provides SmartAIR, an edge application controller and the SmartVISION, an analysis suite elevate operator capabilities to overcome congestion on 3G and 4G networks and to understand network activities for better management and planning.</t>
        </is>
      </c>
      <c r="E732" s="31" t="inlineStr">
        <is>
          <t>Other Communications and Networking</t>
        </is>
      </c>
      <c r="F732" s="32" t="inlineStr">
        <is>
          <t>San Jose, CA</t>
        </is>
      </c>
      <c r="G732" s="33" t="inlineStr">
        <is>
          <t>Privately Held (backing)</t>
        </is>
      </c>
      <c r="H732" s="34" t="inlineStr">
        <is>
          <t>Venture Capital-Backed</t>
        </is>
      </c>
      <c r="I732" s="35" t="inlineStr">
        <is>
          <t>Bessemer Venture Partners, Matt Salzberg, New Venture Partners, Nexstar Capital Partners, NexStar Partners, Vodafone Ventures</t>
        </is>
      </c>
      <c r="J732" s="36" t="inlineStr">
        <is>
          <t>www.vasonanetworks.com</t>
        </is>
      </c>
      <c r="K732" s="37" t="inlineStr">
        <is>
          <t>hq@vasonanetworks.com</t>
        </is>
      </c>
      <c r="L732" s="38" t="inlineStr">
        <is>
          <t>+1 (408) 492-1301</t>
        </is>
      </c>
      <c r="M732" s="39" t="inlineStr">
        <is>
          <t>Biren Sood</t>
        </is>
      </c>
      <c r="N732" s="40" t="inlineStr">
        <is>
          <t>Co-Founder, Chief Executive Officer &amp; Board Member</t>
        </is>
      </c>
      <c r="O732" s="41" t="inlineStr">
        <is>
          <t>bsood@vasonanetworks.com</t>
        </is>
      </c>
      <c r="P732" s="42" t="inlineStr">
        <is>
          <t>+1 (408) 492-1301</t>
        </is>
      </c>
      <c r="Q732" s="43" t="n">
        <v>2010.0</v>
      </c>
      <c r="R732" s="114">
        <f>HYPERLINK("https://my.pitchbook.com?c=53302-15", "View company online")</f>
      </c>
    </row>
    <row r="733">
      <c r="A733" s="9" t="inlineStr">
        <is>
          <t>58391-11</t>
        </is>
      </c>
      <c r="B733" s="10" t="inlineStr">
        <is>
          <t>Vascular Dynamics</t>
        </is>
      </c>
      <c r="C733" s="11" t="inlineStr">
        <is>
          <t>94043</t>
        </is>
      </c>
      <c r="D733" s="12" t="inlineStr">
        <is>
          <t>Operator of a private medical company intended to treat hypertension. The private medical company develops catheter-delivered technologies and investigational endovascular implant that brings a better quality of life by controlling hypertension, using the body's natural mechanism, enabling patients to treat resistant hypertension and reduce the increased risk of heart disease, stroke and kidney disease.</t>
        </is>
      </c>
      <c r="E733" s="13" t="inlineStr">
        <is>
          <t>Therapeutic Devices</t>
        </is>
      </c>
      <c r="F733" s="14" t="inlineStr">
        <is>
          <t>Mountain View, CA</t>
        </is>
      </c>
      <c r="G733" s="15" t="inlineStr">
        <is>
          <t>Privately Held (backing)</t>
        </is>
      </c>
      <c r="H733" s="16" t="inlineStr">
        <is>
          <t>Venture Capital-Backed</t>
        </is>
      </c>
      <c r="I733" s="17" t="inlineStr">
        <is>
          <t>HBM Healthcare Investments, Invus Group, MedFocus Fund, Rainbow Medical</t>
        </is>
      </c>
      <c r="J733" s="18" t="inlineStr">
        <is>
          <t>www.vasculardynamics.com</t>
        </is>
      </c>
      <c r="K733" s="19" t="inlineStr">
        <is>
          <t>info@vasculardynamics.com</t>
        </is>
      </c>
      <c r="L733" s="20" t="inlineStr">
        <is>
          <t>+1 (650) 963-9370</t>
        </is>
      </c>
      <c r="M733" s="21" t="inlineStr">
        <is>
          <t>Robert Stern</t>
        </is>
      </c>
      <c r="N733" s="22" t="inlineStr">
        <is>
          <t>Chief Executive Officer, President &amp; Board Member</t>
        </is>
      </c>
      <c r="O733" s="23" t="inlineStr">
        <is>
          <t>robert@vasculardynamics.com</t>
        </is>
      </c>
      <c r="P733" s="24" t="inlineStr">
        <is>
          <t>+1 (650) 963-9370</t>
        </is>
      </c>
      <c r="Q733" s="25" t="n">
        <v>2008.0</v>
      </c>
      <c r="R733" s="113">
        <f>HYPERLINK("https://my.pitchbook.com?c=58391-11", "View company online")</f>
      </c>
    </row>
    <row r="734">
      <c r="A734" s="27" t="inlineStr">
        <is>
          <t>58423-42</t>
        </is>
      </c>
      <c r="B734" s="28" t="inlineStr">
        <is>
          <t>Vascular Closure Systems</t>
        </is>
      </c>
      <c r="C734" s="29" t="inlineStr">
        <is>
          <t>94550</t>
        </is>
      </c>
      <c r="D734" s="30" t="inlineStr">
        <is>
          <t>Developer of vascular access closure technologies. The company provides medical devices and vascular access closure technologies for the interventional cardiology and radiology markets.</t>
        </is>
      </c>
      <c r="E734" s="31" t="inlineStr">
        <is>
          <t>Other Devices and Supplies</t>
        </is>
      </c>
      <c r="F734" s="32" t="inlineStr">
        <is>
          <t>Livermore, CA</t>
        </is>
      </c>
      <c r="G734" s="33" t="inlineStr">
        <is>
          <t>Privately Held (backing)</t>
        </is>
      </c>
      <c r="H734" s="34" t="inlineStr">
        <is>
          <t>Venture Capital-Backed</t>
        </is>
      </c>
      <c r="I734" s="35" t="inlineStr">
        <is>
          <t>Trent E. Tucker, WS Investments</t>
        </is>
      </c>
      <c r="J734" s="36" t="inlineStr">
        <is>
          <t>www.vclosure.com</t>
        </is>
      </c>
      <c r="K734" s="37" t="inlineStr">
        <is>
          <t>info@vclosure.com</t>
        </is>
      </c>
      <c r="L734" s="38" t="inlineStr">
        <is>
          <t>+1 (925) 373-7054</t>
        </is>
      </c>
      <c r="M734" s="39" t="inlineStr">
        <is>
          <t>Russ Houser</t>
        </is>
      </c>
      <c r="N734" s="40" t="inlineStr">
        <is>
          <t>Chief Executive Officer &amp; Chairman</t>
        </is>
      </c>
      <c r="O734" s="41" t="inlineStr">
        <is>
          <t>rh@vclosure.com</t>
        </is>
      </c>
      <c r="P734" s="42" t="inlineStr">
        <is>
          <t>+1(925) 371-1029</t>
        </is>
      </c>
      <c r="Q734" s="43" t="n">
        <v>2007.0</v>
      </c>
      <c r="R734" s="114">
        <f>HYPERLINK("https://my.pitchbook.com?c=58423-42", "View company online")</f>
      </c>
    </row>
    <row r="735">
      <c r="A735" s="9" t="inlineStr">
        <is>
          <t>103248-37</t>
        </is>
      </c>
      <c r="B735" s="10" t="inlineStr">
        <is>
          <t>Varsity Tutors</t>
        </is>
      </c>
      <c r="C735" s="11" t="inlineStr">
        <is>
          <t>63105</t>
        </is>
      </c>
      <c r="D735" s="12" t="inlineStr">
        <is>
          <t>Provider of an in-home and online tutoring platform. The company offers a live learning platform that connects students with personalized instruction to improve academic achievement.</t>
        </is>
      </c>
      <c r="E735" s="13" t="inlineStr">
        <is>
          <t>Educational and Training Services (B2C)</t>
        </is>
      </c>
      <c r="F735" s="14" t="inlineStr">
        <is>
          <t>Clayton, MO</t>
        </is>
      </c>
      <c r="G735" s="15" t="inlineStr">
        <is>
          <t>Privately Held (backing)</t>
        </is>
      </c>
      <c r="H735" s="16" t="inlineStr">
        <is>
          <t>Venture Capital-Backed</t>
        </is>
      </c>
      <c r="I735" s="17" t="inlineStr">
        <is>
          <t>Adam Levine, Chris Sims, David Karandish, Stuart Udell, Technology Crossover Ventures, TriplePoint Venture Growth</t>
        </is>
      </c>
      <c r="J735" s="18" t="inlineStr">
        <is>
          <t>www.varsitytutors.com</t>
        </is>
      </c>
      <c r="K735" s="19" t="inlineStr">
        <is>
          <t/>
        </is>
      </c>
      <c r="L735" s="20" t="inlineStr">
        <is>
          <t>+1 (888) 888-0446</t>
        </is>
      </c>
      <c r="M735" s="21" t="inlineStr">
        <is>
          <t>Mark Simner</t>
        </is>
      </c>
      <c r="N735" s="22" t="inlineStr">
        <is>
          <t>Chief Financial Officer</t>
        </is>
      </c>
      <c r="O735" s="23" t="inlineStr">
        <is>
          <t>mark.simner@varsitytutors.com</t>
        </is>
      </c>
      <c r="P735" s="24" t="inlineStr">
        <is>
          <t>+1 (888) 888-0446</t>
        </is>
      </c>
      <c r="Q735" s="25" t="n">
        <v>2007.0</v>
      </c>
      <c r="R735" s="113">
        <f>HYPERLINK("https://my.pitchbook.com?c=103248-37", "View company online")</f>
      </c>
    </row>
    <row r="736">
      <c r="A736" s="27" t="inlineStr">
        <is>
          <t>55942-03</t>
        </is>
      </c>
      <c r="B736" s="28" t="inlineStr">
        <is>
          <t>vArmour</t>
        </is>
      </c>
      <c r="C736" s="29" t="inlineStr">
        <is>
          <t>94040</t>
        </is>
      </c>
      <c r="D736" s="30" t="inlineStr">
        <is>
          <t>Operator of data centers and provider of cloud based security. The company delivers software-based segmentation and micro-segmentation to protect applications and workloads with a distributed security system. The company's product is called DSS Distributed Security System.</t>
        </is>
      </c>
      <c r="E736" s="31" t="inlineStr">
        <is>
          <t>Network Management Software</t>
        </is>
      </c>
      <c r="F736" s="32" t="inlineStr">
        <is>
          <t>Mountain View, CA</t>
        </is>
      </c>
      <c r="G736" s="33" t="inlineStr">
        <is>
          <t>Privately Held (backing)</t>
        </is>
      </c>
      <c r="H736" s="34" t="inlineStr">
        <is>
          <t>Venture Capital-Backed</t>
        </is>
      </c>
      <c r="I736" s="35" t="inlineStr">
        <is>
          <t>Allegis Capital, Citi Ventures, Columbus Nova Technology Partners, Draper Nexus, Highland Capital Partners, Menlo Ventures, Redline Capital Management, Telstra Ventures, Vanedge Capital, Work-Bench</t>
        </is>
      </c>
      <c r="J736" s="36" t="inlineStr">
        <is>
          <t>www.varmour.com</t>
        </is>
      </c>
      <c r="K736" s="37" t="inlineStr">
        <is>
          <t>info@varmour.com</t>
        </is>
      </c>
      <c r="L736" s="38" t="inlineStr">
        <is>
          <t>+1 (650) 564-5100</t>
        </is>
      </c>
      <c r="M736" s="39" t="inlineStr">
        <is>
          <t>Timothy Eades</t>
        </is>
      </c>
      <c r="N736" s="40" t="inlineStr">
        <is>
          <t>Chief Executive Officer &amp; Chairman</t>
        </is>
      </c>
      <c r="O736" s="41" t="inlineStr">
        <is>
          <t>tim@varmour.com</t>
        </is>
      </c>
      <c r="P736" s="42" t="inlineStr">
        <is>
          <t>+1 (650) 564-5100</t>
        </is>
      </c>
      <c r="Q736" s="43" t="n">
        <v>2011.0</v>
      </c>
      <c r="R736" s="114">
        <f>HYPERLINK("https://my.pitchbook.com?c=55942-03", "View company online")</f>
      </c>
    </row>
    <row r="737">
      <c r="A737" s="9" t="inlineStr">
        <is>
          <t>14339-35</t>
        </is>
      </c>
      <c r="B737" s="10" t="inlineStr">
        <is>
          <t>Varentec</t>
        </is>
      </c>
      <c r="C737" s="11" t="inlineStr">
        <is>
          <t>95054</t>
        </is>
      </c>
      <c r="D737" s="12" t="inlineStr">
        <is>
          <t>Developer of a power electronics equipment designed to help realize a resilient, robust, efficient and affordable electrical distribution system of the future. The company's power electronics equipment operates on technology and direct control grid edge devices to deliver energy savings, electronic-based systems for electric grid and industrial applications, enabling utilities to enhance and transform their power delivery infrastructure, while keeping costs low.</t>
        </is>
      </c>
      <c r="E737" s="13" t="inlineStr">
        <is>
          <t>Electrical Equipment</t>
        </is>
      </c>
      <c r="F737" s="14" t="inlineStr">
        <is>
          <t>Santa Clara, CA</t>
        </is>
      </c>
      <c r="G737" s="15" t="inlineStr">
        <is>
          <t>Privately Held (backing)</t>
        </is>
      </c>
      <c r="H737" s="16" t="inlineStr">
        <is>
          <t>Venture Capital-Backed</t>
        </is>
      </c>
      <c r="I737" s="17" t="inlineStr">
        <is>
          <t>3M New Ventures, Gates Ventures, Individual Investor, Khosla Ventures, William Gates</t>
        </is>
      </c>
      <c r="J737" s="18" t="inlineStr">
        <is>
          <t>www.varentec.com</t>
        </is>
      </c>
      <c r="K737" s="19" t="inlineStr">
        <is>
          <t>info@varentec.com</t>
        </is>
      </c>
      <c r="L737" s="20" t="inlineStr">
        <is>
          <t>+1 (408) 433-9900</t>
        </is>
      </c>
      <c r="M737" s="21" t="inlineStr">
        <is>
          <t>Guillaume Dufosse</t>
        </is>
      </c>
      <c r="N737" s="22" t="inlineStr">
        <is>
          <t>Chairman &amp; Chief Executive Officer</t>
        </is>
      </c>
      <c r="O737" s="23" t="inlineStr">
        <is>
          <t>gdufosse@inxnetwork.in</t>
        </is>
      </c>
      <c r="P737" s="24" t="inlineStr">
        <is>
          <t>+1 (408) 433-9900</t>
        </is>
      </c>
      <c r="Q737" s="25" t="n">
        <v>2002.0</v>
      </c>
      <c r="R737" s="113">
        <f>HYPERLINK("https://my.pitchbook.com?c=14339-35", "View company online")</f>
      </c>
    </row>
    <row r="738">
      <c r="A738" s="27" t="inlineStr">
        <is>
          <t>107272-36</t>
        </is>
      </c>
      <c r="B738" s="28" t="inlineStr">
        <is>
          <t>Vantiq</t>
        </is>
      </c>
      <c r="C738" s="29" t="inlineStr">
        <is>
          <t>94596</t>
        </is>
      </c>
      <c r="D738" s="30" t="inlineStr">
        <is>
          <t>Provider of a technology platform designed to digitize business while keeping humans in charge. The company's technology platform identify situations by leveraging contextualized data sources of all types to deliver actionable content and micro-targeted recommendations enabling business create software applications that utilize modern technologies in real-time.</t>
        </is>
      </c>
      <c r="E738" s="31" t="inlineStr">
        <is>
          <t>Software Development Applications</t>
        </is>
      </c>
      <c r="F738" s="32" t="inlineStr">
        <is>
          <t>Walnut Creek, CA</t>
        </is>
      </c>
      <c r="G738" s="33" t="inlineStr">
        <is>
          <t>Privately Held (backing)</t>
        </is>
      </c>
      <c r="H738" s="34" t="inlineStr">
        <is>
          <t>Venture Capital-Backed</t>
        </is>
      </c>
      <c r="I738" s="35" t="inlineStr">
        <is>
          <t>Raptor Group</t>
        </is>
      </c>
      <c r="J738" s="36" t="inlineStr">
        <is>
          <t>www.vantiq.com</t>
        </is>
      </c>
      <c r="K738" s="37" t="inlineStr">
        <is>
          <t/>
        </is>
      </c>
      <c r="L738" s="38" t="inlineStr">
        <is>
          <t>+1 (303) 902-4003</t>
        </is>
      </c>
      <c r="M738" s="39" t="inlineStr">
        <is>
          <t>Michael Corbisiero</t>
        </is>
      </c>
      <c r="N738" s="40" t="inlineStr">
        <is>
          <t>Co-Founder &amp; President</t>
        </is>
      </c>
      <c r="O738" s="41" t="inlineStr">
        <is>
          <t>mike@iqvantage.com</t>
        </is>
      </c>
      <c r="P738" s="42" t="inlineStr">
        <is>
          <t>+1 (303) 902-4003</t>
        </is>
      </c>
      <c r="Q738" s="43" t="n">
        <v>2014.0</v>
      </c>
      <c r="R738" s="114">
        <f>HYPERLINK("https://my.pitchbook.com?c=107272-36", "View company online")</f>
      </c>
    </row>
    <row r="739">
      <c r="A739" s="9" t="inlineStr">
        <is>
          <t>124316-11</t>
        </is>
      </c>
      <c r="B739" s="10" t="inlineStr">
        <is>
          <t>Vantage Robotics</t>
        </is>
      </c>
      <c r="C739" s="11" t="inlineStr">
        <is>
          <t>94117</t>
        </is>
      </c>
      <c r="D739" s="12" t="inlineStr">
        <is>
          <t>Developer of a flying camera designed to capture top quality aerial video. The company's flying camera is the culmination of meticulous engineering and design and offers exceptional, 4k gimbal-stabilized image quality with a tracking mode and in a portable and safe package, enabling users to capture photos and video safely from the air.</t>
        </is>
      </c>
      <c r="E739" s="13" t="inlineStr">
        <is>
          <t>Electronics (B2C)</t>
        </is>
      </c>
      <c r="F739" s="14" t="inlineStr">
        <is>
          <t>San Francisco, CA</t>
        </is>
      </c>
      <c r="G739" s="15" t="inlineStr">
        <is>
          <t>Privately Held (backing)</t>
        </is>
      </c>
      <c r="H739" s="16" t="inlineStr">
        <is>
          <t>Venture Capital-Backed</t>
        </is>
      </c>
      <c r="I739" s="17" t="inlineStr">
        <is>
          <t>Bulldog Innovation Group, Chris Fry, Othman Laraki, Peter Kravtsov, Rothenberg Ventures, Ruvento Ventures, Sand Hill Angels, William Tai, Zak Holdsworth</t>
        </is>
      </c>
      <c r="J739" s="18" t="inlineStr">
        <is>
          <t>www.vantagerobotics.com</t>
        </is>
      </c>
      <c r="K739" s="19" t="inlineStr">
        <is>
          <t>contact@vantagerobotics.com</t>
        </is>
      </c>
      <c r="L739" s="20" t="inlineStr">
        <is>
          <t>+1 (510) 567-4987</t>
        </is>
      </c>
      <c r="M739" s="21" t="inlineStr">
        <is>
          <t>Tobin Fisher</t>
        </is>
      </c>
      <c r="N739" s="22" t="inlineStr">
        <is>
          <t>Co-Founder, Chief Executive Officer and Board Member</t>
        </is>
      </c>
      <c r="O739" s="23" t="inlineStr">
        <is>
          <t>tobin@vantagerobotics.com</t>
        </is>
      </c>
      <c r="P739" s="24" t="inlineStr">
        <is>
          <t>+1 (510) 567-4987</t>
        </is>
      </c>
      <c r="Q739" s="25" t="n">
        <v>2013.0</v>
      </c>
      <c r="R739" s="113">
        <f>HYPERLINK("https://my.pitchbook.com?c=124316-11", "View company online")</f>
      </c>
    </row>
    <row r="740">
      <c r="A740" s="27" t="inlineStr">
        <is>
          <t>99486-91</t>
        </is>
      </c>
      <c r="B740" s="28" t="inlineStr">
        <is>
          <t>Vantage Point Analytics</t>
        </is>
      </c>
      <c r="C740" s="29" t="inlineStr">
        <is>
          <t>94105</t>
        </is>
      </c>
      <c r="D740" s="30" t="inlineStr">
        <is>
          <t>Provider of product tracking services. The company's services help in tracking and tracing products across supply chain.</t>
        </is>
      </c>
      <c r="E740" s="31" t="inlineStr">
        <is>
          <t>Other Commercial Services</t>
        </is>
      </c>
      <c r="F740" s="32" t="inlineStr">
        <is>
          <t>San Francisco, CA</t>
        </is>
      </c>
      <c r="G740" s="33" t="inlineStr">
        <is>
          <t>Privately Held (backing)</t>
        </is>
      </c>
      <c r="H740" s="34" t="inlineStr">
        <is>
          <t>Venture Capital-Backed</t>
        </is>
      </c>
      <c r="I740" s="35" t="inlineStr">
        <is>
          <t/>
        </is>
      </c>
      <c r="J740" s="36" t="inlineStr">
        <is>
          <t>www.vantagepointanalytics.com</t>
        </is>
      </c>
      <c r="K740" s="37" t="inlineStr">
        <is>
          <t/>
        </is>
      </c>
      <c r="L740" s="38" t="inlineStr">
        <is>
          <t>+1 (415) 579-9551</t>
        </is>
      </c>
      <c r="M740" s="39" t="inlineStr">
        <is>
          <t>Shelley Raina</t>
        </is>
      </c>
      <c r="N740" s="40" t="inlineStr">
        <is>
          <t>Co-Founder &amp; Chief Operating Officer</t>
        </is>
      </c>
      <c r="O740" s="41" t="inlineStr">
        <is>
          <t/>
        </is>
      </c>
      <c r="P740" s="42" t="inlineStr">
        <is>
          <t>+1 (415) 579-9551</t>
        </is>
      </c>
      <c r="Q740" s="43" t="n">
        <v>2013.0</v>
      </c>
      <c r="R740" s="114">
        <f>HYPERLINK("https://my.pitchbook.com?c=99486-91", "View company online")</f>
      </c>
    </row>
    <row r="741">
      <c r="A741" s="9" t="inlineStr">
        <is>
          <t>117958-87</t>
        </is>
      </c>
      <c r="B741" s="10" t="inlineStr">
        <is>
          <t>Vaniday</t>
        </is>
      </c>
      <c r="C741" s="11" t="inlineStr">
        <is>
          <t>05319</t>
        </is>
      </c>
      <c r="D741" s="12" t="inlineStr">
        <is>
          <t>Provider of an online salon search platform designed to let people book haircuts, massages and other beauty and wellness services online. The company's online salon search platform allows customers to look at salons and spas as well as services all in one place, enabling users to pick their preferred salon or service by filtering them by location, desired treatment and customer reviews.</t>
        </is>
      </c>
      <c r="E741" s="13" t="inlineStr">
        <is>
          <t>Social/Platform Software</t>
        </is>
      </c>
      <c r="F741" s="14" t="inlineStr">
        <is>
          <t>Sao Paulo, Brazil</t>
        </is>
      </c>
      <c r="G741" s="15" t="inlineStr">
        <is>
          <t>Privately Held (backing)</t>
        </is>
      </c>
      <c r="H741" s="16" t="inlineStr">
        <is>
          <t>Venture Capital-Backed</t>
        </is>
      </c>
      <c r="I741" s="17" t="inlineStr">
        <is>
          <t>Asia Pacific Internet Group, Holtzbrinck Ventures, Rocket Internet, Vorwerk Ventures</t>
        </is>
      </c>
      <c r="J741" s="18" t="inlineStr">
        <is>
          <t>www.vaniday.com.br</t>
        </is>
      </c>
      <c r="K741" s="19" t="inlineStr">
        <is>
          <t>contato@vaniday.com.br</t>
        </is>
      </c>
      <c r="L741" s="20" t="inlineStr">
        <is>
          <t>+55 01 14302 3369</t>
        </is>
      </c>
      <c r="M741" s="21" t="inlineStr">
        <is>
          <t>Alexandre Meyer</t>
        </is>
      </c>
      <c r="N741" s="22" t="inlineStr">
        <is>
          <t>Chief Executive Officer UK &amp; Co-Founder</t>
        </is>
      </c>
      <c r="O741" s="23" t="inlineStr">
        <is>
          <t>alex.meyer@vaniday.co.uk</t>
        </is>
      </c>
      <c r="P741" s="24" t="inlineStr">
        <is>
          <t>+55 01 14302 3369</t>
        </is>
      </c>
      <c r="Q741" s="25" t="n">
        <v>2015.0</v>
      </c>
      <c r="R741" s="113">
        <f>HYPERLINK("https://my.pitchbook.com?c=117958-87", "View company online")</f>
      </c>
    </row>
    <row r="742">
      <c r="A742" s="27" t="inlineStr">
        <is>
          <t>104226-22</t>
        </is>
      </c>
      <c r="B742" s="28" t="inlineStr">
        <is>
          <t>Vangoart</t>
        </is>
      </c>
      <c r="C742" s="29" t="inlineStr">
        <is>
          <t>94103</t>
        </is>
      </c>
      <c r="D742" s="30" t="inlineStr">
        <is>
          <t>Operator of an online art gallery designed to open up the artwork to all people in the wall decor industry and to make it possible for artists to earn a great living creating art. The company's art gallery connects buyers, both first-time and experienced, to independent artists and offers art and other art related products, enabling art buyers to buy original art and limited edition from emerging artists.</t>
        </is>
      </c>
      <c r="E742" s="31" t="inlineStr">
        <is>
          <t>Internet Retail</t>
        </is>
      </c>
      <c r="F742" s="32" t="inlineStr">
        <is>
          <t>San Francisco, CA</t>
        </is>
      </c>
      <c r="G742" s="33" t="inlineStr">
        <is>
          <t>Privately Held (backing)</t>
        </is>
      </c>
      <c r="H742" s="34" t="inlineStr">
        <is>
          <t>Venture Capital-Backed</t>
        </is>
      </c>
      <c r="I742" s="35" t="inlineStr">
        <is>
          <t>500 Startups, Arab Angel, Aventura VC, Bodley Group, Cheerland Investments Group, Foundry Group, Matt Mullenweg, Peregrine Ventures (California), Peter Kellner, Pulsar Venture Capital, Richard A Clarke, Scott Kosch, Social Starts, Soma Capital, Sparkland Capital, TEC Ventures, Tempo Ventures, Tsingyuan Ventures</t>
        </is>
      </c>
      <c r="J742" s="36" t="inlineStr">
        <is>
          <t>www.vangoart.co</t>
        </is>
      </c>
      <c r="K742" s="37" t="inlineStr">
        <is>
          <t>discover@vangoart.co</t>
        </is>
      </c>
      <c r="L742" s="38" t="inlineStr">
        <is>
          <t>+1 (415) 228-0842</t>
        </is>
      </c>
      <c r="M742" s="39" t="inlineStr">
        <is>
          <t>Ethan Appleby</t>
        </is>
      </c>
      <c r="N742" s="40" t="inlineStr">
        <is>
          <t>Chief Executive Officer &amp; Co-Founder</t>
        </is>
      </c>
      <c r="O742" s="41" t="inlineStr">
        <is>
          <t>ethan@vangoart.co</t>
        </is>
      </c>
      <c r="P742" s="42" t="inlineStr">
        <is>
          <t>+1 (415) 228-0842</t>
        </is>
      </c>
      <c r="Q742" s="43" t="n">
        <v>2012.0</v>
      </c>
      <c r="R742" s="114">
        <f>HYPERLINK("https://my.pitchbook.com?c=104226-22", "View company online")</f>
      </c>
    </row>
    <row r="743">
      <c r="A743" s="9" t="inlineStr">
        <is>
          <t>102735-55</t>
        </is>
      </c>
      <c r="B743" s="10" t="inlineStr">
        <is>
          <t>Vangard Voice Systems</t>
        </is>
      </c>
      <c r="C743" s="11" t="inlineStr">
        <is>
          <t>92618</t>
        </is>
      </c>
      <c r="D743" s="12" t="inlineStr">
        <is>
          <t>Provider of a mobile voice platform for enterprise-wide voice deployment. The company enables enterprises to achieve tactical, operational and strategic advantage through the deployment of voice technology to existing mobile applications and business processes.</t>
        </is>
      </c>
      <c r="E743" s="13" t="inlineStr">
        <is>
          <t>Social/Platform Software</t>
        </is>
      </c>
      <c r="F743" s="14" t="inlineStr">
        <is>
          <t>Irvine, CA</t>
        </is>
      </c>
      <c r="G743" s="15" t="inlineStr">
        <is>
          <t>Privately Held (backing)</t>
        </is>
      </c>
      <c r="H743" s="16" t="inlineStr">
        <is>
          <t>Venture Capital-Backed</t>
        </is>
      </c>
      <c r="I743" s="17" t="inlineStr">
        <is>
          <t>Berkshire Ventures LLC</t>
        </is>
      </c>
      <c r="J743" s="18" t="inlineStr">
        <is>
          <t>www.accuspeechmobile.com</t>
        </is>
      </c>
      <c r="K743" s="19" t="inlineStr">
        <is>
          <t>info@accuspeechmobile.com</t>
        </is>
      </c>
      <c r="L743" s="20" t="inlineStr">
        <is>
          <t>+1 (949) 435-1001</t>
        </is>
      </c>
      <c r="M743" s="21" t="inlineStr">
        <is>
          <t>Robert Bova</t>
        </is>
      </c>
      <c r="N743" s="22" t="inlineStr">
        <is>
          <t>Director, President &amp; Chief Executive Officer</t>
        </is>
      </c>
      <c r="O743" s="23" t="inlineStr">
        <is>
          <t>bbova@accuspeechmobile.com</t>
        </is>
      </c>
      <c r="P743" s="24" t="inlineStr">
        <is>
          <t>+1 (949) 435-1001</t>
        </is>
      </c>
      <c r="Q743" s="25" t="n">
        <v>2006.0</v>
      </c>
      <c r="R743" s="113">
        <f>HYPERLINK("https://my.pitchbook.com?c=102735-55", "View company online")</f>
      </c>
    </row>
    <row r="744">
      <c r="A744" s="27" t="inlineStr">
        <is>
          <t>59910-13</t>
        </is>
      </c>
      <c r="B744" s="28" t="inlineStr">
        <is>
          <t>Valuelizer</t>
        </is>
      </c>
      <c r="C744" s="29" t="inlineStr">
        <is>
          <t>90035</t>
        </is>
      </c>
      <c r="D744" s="30" t="inlineStr">
        <is>
          <t>Developer of applications for children. The company develops an application that allows parents to choose and filter content and applications available to their children.</t>
        </is>
      </c>
      <c r="E744" s="31" t="inlineStr">
        <is>
          <t>Application Software</t>
        </is>
      </c>
      <c r="F744" s="32" t="inlineStr">
        <is>
          <t>Los Angeles, CA</t>
        </is>
      </c>
      <c r="G744" s="33" t="inlineStr">
        <is>
          <t>Privately Held (backing)</t>
        </is>
      </c>
      <c r="H744" s="34" t="inlineStr">
        <is>
          <t>Venture Capital-Backed</t>
        </is>
      </c>
      <c r="I744" s="35" t="inlineStr">
        <is>
          <t>Altair Capital, Igor Ryabenkiy</t>
        </is>
      </c>
      <c r="J744" s="36" t="inlineStr">
        <is>
          <t>www.valuelizer.com</t>
        </is>
      </c>
      <c r="K744" s="37" t="inlineStr">
        <is>
          <t/>
        </is>
      </c>
      <c r="L744" s="38" t="inlineStr">
        <is>
          <t/>
        </is>
      </c>
      <c r="M744" s="39" t="inlineStr">
        <is>
          <t>Dan Oischwang</t>
        </is>
      </c>
      <c r="N744" s="40" t="inlineStr">
        <is>
          <t>Chief Executive Officer &amp; Co-Founder</t>
        </is>
      </c>
      <c r="O744" s="41" t="inlineStr">
        <is>
          <t>dan@magicalis.com</t>
        </is>
      </c>
      <c r="P744" s="42" t="inlineStr">
        <is>
          <t/>
        </is>
      </c>
      <c r="Q744" s="43" t="n">
        <v>2011.0</v>
      </c>
      <c r="R744" s="114">
        <f>HYPERLINK("https://my.pitchbook.com?c=59910-13", "View company online")</f>
      </c>
    </row>
    <row r="745">
      <c r="A745" s="9" t="inlineStr">
        <is>
          <t>149987-98</t>
        </is>
      </c>
      <c r="B745" s="10" t="inlineStr">
        <is>
          <t>Valossa</t>
        </is>
      </c>
      <c r="C745" s="11" t="inlineStr">
        <is>
          <t>90570</t>
        </is>
      </c>
      <c r="D745" s="12" t="inlineStr">
        <is>
          <t>Developer of an artificial intelligence (AI)-based audiovisual content search platform designed to monetize videos. The company's audiovisual content search and video identification technology understands content data of videos and provides structured metadata for video summarization and content management, enabling clients to create audiovisual content with visual recognition systems.</t>
        </is>
      </c>
      <c r="E745" s="13" t="inlineStr">
        <is>
          <t>Other Software</t>
        </is>
      </c>
      <c r="F745" s="14" t="inlineStr">
        <is>
          <t>Oulu, Finland</t>
        </is>
      </c>
      <c r="G745" s="15" t="inlineStr">
        <is>
          <t>Privately Held (backing)</t>
        </is>
      </c>
      <c r="H745" s="16" t="inlineStr">
        <is>
          <t>Venture Capital-Backed</t>
        </is>
      </c>
      <c r="I745" s="17" t="inlineStr">
        <is>
          <t>Butterfly Ventures, Plug and Play Tech Center</t>
        </is>
      </c>
      <c r="J745" s="18" t="inlineStr">
        <is>
          <t>www.valossa.com</t>
        </is>
      </c>
      <c r="K745" s="19" t="inlineStr">
        <is>
          <t>info@valossa.com</t>
        </is>
      </c>
      <c r="L745" s="20" t="inlineStr">
        <is>
          <t>+358 (0)29 448 2535</t>
        </is>
      </c>
      <c r="M745" s="21" t="inlineStr">
        <is>
          <t>Otso Kassinen</t>
        </is>
      </c>
      <c r="N745" s="22" t="inlineStr">
        <is>
          <t>Co-Founder &amp; Chief Architect</t>
        </is>
      </c>
      <c r="O745" s="23" t="inlineStr">
        <is>
          <t>otso@valossa.com</t>
        </is>
      </c>
      <c r="P745" s="24" t="inlineStr">
        <is>
          <t>+358 (0)29 448 2535</t>
        </is>
      </c>
      <c r="Q745" s="25" t="n">
        <v>2015.0</v>
      </c>
      <c r="R745" s="113">
        <f>HYPERLINK("https://my.pitchbook.com?c=149987-98", "View company online")</f>
      </c>
    </row>
    <row r="746">
      <c r="A746" s="27" t="inlineStr">
        <is>
          <t>66136-60</t>
        </is>
      </c>
      <c r="B746" s="28" t="inlineStr">
        <is>
          <t>Valor Water Analytics</t>
        </is>
      </c>
      <c r="C746" s="29" t="inlineStr">
        <is>
          <t>94102</t>
        </is>
      </c>
      <c r="D746" s="30" t="inlineStr">
        <is>
          <t>Provider of business-intelligence tools for water utilities. The company provides a suite of interactive revenue maximization tools for water utility finance that allows utilities to harness the power of their data and develop provisions to achieve dual goals of water resource and financial sustainability.</t>
        </is>
      </c>
      <c r="E746" s="31" t="inlineStr">
        <is>
          <t>Environmental Services (B2B)</t>
        </is>
      </c>
      <c r="F746" s="32" t="inlineStr">
        <is>
          <t>San Francisco, CA</t>
        </is>
      </c>
      <c r="G746" s="33" t="inlineStr">
        <is>
          <t>Privately Held (backing)</t>
        </is>
      </c>
      <c r="H746" s="34" t="inlineStr">
        <is>
          <t>Venture Capital-Backed</t>
        </is>
      </c>
      <c r="I746" s="35" t="inlineStr">
        <is>
          <t>500 Startups, Anonymous Investor, Apsara Capital, Imagine H2O, Shore Ventures II, Syzygy West, Tumml, Y Combinator</t>
        </is>
      </c>
      <c r="J746" s="36" t="inlineStr">
        <is>
          <t>www.valorwater.com</t>
        </is>
      </c>
      <c r="K746" s="37" t="inlineStr">
        <is>
          <t>info@valorwater.com</t>
        </is>
      </c>
      <c r="L746" s="38" t="inlineStr">
        <is>
          <t>+1 (844) 808-2567</t>
        </is>
      </c>
      <c r="M746" s="39" t="inlineStr">
        <is>
          <t>Christine Boyle</t>
        </is>
      </c>
      <c r="N746" s="40" t="inlineStr">
        <is>
          <t>Founder, Chief Executive Officer, President &amp; Board Member</t>
        </is>
      </c>
      <c r="O746" s="41" t="inlineStr">
        <is>
          <t>christine@valorwater.com</t>
        </is>
      </c>
      <c r="P746" s="42" t="inlineStr">
        <is>
          <t>+1 (844) 808-2567</t>
        </is>
      </c>
      <c r="Q746" s="43" t="n">
        <v>2013.0</v>
      </c>
      <c r="R746" s="114">
        <f>HYPERLINK("https://my.pitchbook.com?c=66136-60", "View company online")</f>
      </c>
    </row>
    <row r="747">
      <c r="A747" s="9" t="inlineStr">
        <is>
          <t>117592-66</t>
        </is>
      </c>
      <c r="B747" s="10" t="inlineStr">
        <is>
          <t>ValiMail</t>
        </is>
      </c>
      <c r="C747" s="11" t="inlineStr">
        <is>
          <t/>
        </is>
      </c>
      <c r="D747" s="12" t="inlineStr">
        <is>
          <t>Provider of an e-mail authentication platform. The company develops a patent-pending technology that helps companies send out only verified e-mails to employees, partners and end users.</t>
        </is>
      </c>
      <c r="E747" s="13" t="inlineStr">
        <is>
          <t>Social/Platform Software</t>
        </is>
      </c>
      <c r="F747" s="14" t="inlineStr">
        <is>
          <t>San Francisco, CA</t>
        </is>
      </c>
      <c r="G747" s="15" t="inlineStr">
        <is>
          <t>Privately Held (backing)</t>
        </is>
      </c>
      <c r="H747" s="16" t="inlineStr">
        <is>
          <t>Venture Capital-Backed</t>
        </is>
      </c>
      <c r="I747" s="17" t="inlineStr">
        <is>
          <t>Bloomberg Beta, Flybridge Capital Partners, Shasta Ventures</t>
        </is>
      </c>
      <c r="J747" s="18" t="inlineStr">
        <is>
          <t>www.valimail.com</t>
        </is>
      </c>
      <c r="K747" s="19" t="inlineStr">
        <is>
          <t>info@valimail.com</t>
        </is>
      </c>
      <c r="L747" s="20" t="inlineStr">
        <is>
          <t/>
        </is>
      </c>
      <c r="M747" s="21" t="inlineStr">
        <is>
          <t>Alexander Garcia-Tobar</t>
        </is>
      </c>
      <c r="N747" s="22" t="inlineStr">
        <is>
          <t>Co-Founder &amp; Chief Executive Officer</t>
        </is>
      </c>
      <c r="O747" s="23" t="inlineStr">
        <is>
          <t/>
        </is>
      </c>
      <c r="P747" s="24" t="inlineStr">
        <is>
          <t/>
        </is>
      </c>
      <c r="Q747" s="25" t="n">
        <v>2014.0</v>
      </c>
      <c r="R747" s="113">
        <f>HYPERLINK("https://my.pitchbook.com?c=117592-66", "View company online")</f>
      </c>
    </row>
    <row r="748">
      <c r="A748" s="27" t="inlineStr">
        <is>
          <t>53816-95</t>
        </is>
      </c>
      <c r="B748" s="28" t="inlineStr">
        <is>
          <t>Valens</t>
        </is>
      </c>
      <c r="C748" s="29" t="inlineStr">
        <is>
          <t>45240</t>
        </is>
      </c>
      <c r="D748" s="30" t="inlineStr">
        <is>
          <t>Provider of semiconductor products designed for the distribution of uncompressed high-definition (HD) multimedia content. The company's technology is used for transmitting uncompressed high quality images and audio from the base stations, potentially up to a distance of 100 meters through a single cable, to remote displays as a part of their 5PlayTM system, enabling automotive enterprises to build smarter cars.</t>
        </is>
      </c>
      <c r="E748" s="31" t="inlineStr">
        <is>
          <t>Application Specific Semiconductors</t>
        </is>
      </c>
      <c r="F748" s="32" t="inlineStr">
        <is>
          <t>Hod Hasharon, Israel</t>
        </is>
      </c>
      <c r="G748" s="33" t="inlineStr">
        <is>
          <t>Privately Held (backing)</t>
        </is>
      </c>
      <c r="H748" s="34" t="inlineStr">
        <is>
          <t>Venture Capital-Backed</t>
        </is>
      </c>
      <c r="I748" s="35" t="inlineStr">
        <is>
          <t>Amiti Ventures, Aviv Venture Capital, Delphi Automotive, Genesis Partners, Israel Growth Partners, Kreos Capital, Magma Venture Partners, MediaTek, Mitsui Global Investment, Pegatron, Samsung Strategy and Innovation Center, The Goldman Sachs Group</t>
        </is>
      </c>
      <c r="J748" s="36" t="inlineStr">
        <is>
          <t>www.valens.com</t>
        </is>
      </c>
      <c r="K748" s="37" t="inlineStr">
        <is>
          <t>info@valens-semi.com</t>
        </is>
      </c>
      <c r="L748" s="38" t="inlineStr">
        <is>
          <t>+972 (0)9 762 6900</t>
        </is>
      </c>
      <c r="M748" s="39" t="inlineStr">
        <is>
          <t>Dror Jerushalmi</t>
        </is>
      </c>
      <c r="N748" s="40" t="inlineStr">
        <is>
          <t>Co-Founder, Chief Executive Officer &amp; Board Member</t>
        </is>
      </c>
      <c r="O748" s="41" t="inlineStr">
        <is>
          <t>dror.jerushalmi@valens-semi.com</t>
        </is>
      </c>
      <c r="P748" s="42" t="inlineStr">
        <is>
          <t>+972 (0)9 762 6900</t>
        </is>
      </c>
      <c r="Q748" s="43" t="n">
        <v>2006.0</v>
      </c>
      <c r="R748" s="114">
        <f>HYPERLINK("https://my.pitchbook.com?c=53816-95", "View company online")</f>
      </c>
    </row>
    <row r="749">
      <c r="A749" s="9" t="inlineStr">
        <is>
          <t>55136-62</t>
        </is>
      </c>
      <c r="B749" s="10" t="inlineStr">
        <is>
          <t>Vadem</t>
        </is>
      </c>
      <c r="C749" s="11" t="inlineStr">
        <is>
          <t>95054</t>
        </is>
      </c>
      <c r="D749" s="12" t="inlineStr">
        <is>
          <t>Provider of blade server management services and internet products and technologies. The company develops software that helps in power management, remote management of server infrastructures and other critical server management functions. It also develops and markets CalliGrapher and PenOffice software providing script handwriting recognition for Win CE and Windows environments and manufactures and sells handheld personal computers, PC card host adapters and integrated circuits.</t>
        </is>
      </c>
      <c r="E749" s="13" t="inlineStr">
        <is>
          <t>Network Management Software</t>
        </is>
      </c>
      <c r="F749" s="14" t="inlineStr">
        <is>
          <t>Santa Clara, CA</t>
        </is>
      </c>
      <c r="G749" s="15" t="inlineStr">
        <is>
          <t>Privately Held (backing)</t>
        </is>
      </c>
      <c r="H749" s="16" t="inlineStr">
        <is>
          <t>Venture Capital-Backed</t>
        </is>
      </c>
      <c r="I749" s="17" t="inlineStr">
        <is>
          <t>Fujigin Capital, IVP, Mayfield Fund, NEC Corporation, Walden International</t>
        </is>
      </c>
      <c r="J749" s="18" t="inlineStr">
        <is>
          <t>www.vadem.com</t>
        </is>
      </c>
      <c r="K749" s="19" t="inlineStr">
        <is>
          <t>vademinfo@vadem.com</t>
        </is>
      </c>
      <c r="L749" s="20" t="inlineStr">
        <is>
          <t>+1 (408) 654-9710</t>
        </is>
      </c>
      <c r="M749" s="21" t="inlineStr">
        <is>
          <t>Henry Fung</t>
        </is>
      </c>
      <c r="N749" s="22" t="inlineStr">
        <is>
          <t>Chairman &amp; Co-Founder</t>
        </is>
      </c>
      <c r="O749" s="23" t="inlineStr">
        <is>
          <t/>
        </is>
      </c>
      <c r="P749" s="24" t="inlineStr">
        <is>
          <t/>
        </is>
      </c>
      <c r="Q749" s="25" t="n">
        <v>1983.0</v>
      </c>
      <c r="R749" s="113">
        <f>HYPERLINK("https://my.pitchbook.com?c=55136-62", "View company online")</f>
      </c>
    </row>
    <row r="750">
      <c r="A750" s="27" t="inlineStr">
        <is>
          <t>57732-04</t>
        </is>
      </c>
      <c r="B750" s="28" t="inlineStr">
        <is>
          <t>Vacatia</t>
        </is>
      </c>
      <c r="C750" s="29" t="inlineStr">
        <is>
          <t>94105</t>
        </is>
      </c>
      <c r="D750" s="30" t="inlineStr">
        <is>
          <t>Provider of a resort rental marketplace for vacationing families. The company provides a vacation rental marketplace for resort residences with search results and instant booking for hospitality, timeshare and independent resorts.</t>
        </is>
      </c>
      <c r="E750" s="31" t="inlineStr">
        <is>
          <t>Hotels and Resorts</t>
        </is>
      </c>
      <c r="F750" s="32" t="inlineStr">
        <is>
          <t>San Francisco, CA</t>
        </is>
      </c>
      <c r="G750" s="33" t="inlineStr">
        <is>
          <t>Privately Held (backing)</t>
        </is>
      </c>
      <c r="H750" s="34" t="inlineStr">
        <is>
          <t>Venture Capital-Backed</t>
        </is>
      </c>
      <c r="I750" s="35" t="inlineStr">
        <is>
          <t>Barry Sternlicht, Bee Partners, Brendan Wallace, Chris Sang, Darren Bechtel, David Wu, Douglas Dillard, Egon Durban, Erik Blachford, Eugene Frantz, Greg Waldorf, Grey Wolf VC, Javelin Venture Partners, Jaws Ventures, Maveron, Meyer and Co., Otter Rock Capital, Peterson Partners, Raymond Gellein, Robert Spottswood, Robert Wuttke, Spencer Rascoff, Steven Hankin, Structure Capital, Thomas Byrne, ZenStone Venture Capital</t>
        </is>
      </c>
      <c r="J750" s="36" t="inlineStr">
        <is>
          <t>www.vacatia.com</t>
        </is>
      </c>
      <c r="K750" s="37" t="inlineStr">
        <is>
          <t/>
        </is>
      </c>
      <c r="L750" s="38" t="inlineStr">
        <is>
          <t>+1 (855) 857-7588</t>
        </is>
      </c>
      <c r="M750" s="39" t="inlineStr">
        <is>
          <t>Scott Christian</t>
        </is>
      </c>
      <c r="N750" s="40" t="inlineStr">
        <is>
          <t>Chief Financial Officer</t>
        </is>
      </c>
      <c r="O750" s="41" t="inlineStr">
        <is>
          <t>scott@vacatia.com</t>
        </is>
      </c>
      <c r="P750" s="42" t="inlineStr">
        <is>
          <t>+1 (855) 857-7588</t>
        </is>
      </c>
      <c r="Q750" s="43" t="n">
        <v>2013.0</v>
      </c>
      <c r="R750" s="114">
        <f>HYPERLINK("https://my.pitchbook.com?c=57732-04", "View company online")</f>
      </c>
    </row>
    <row r="751">
      <c r="A751" s="9" t="inlineStr">
        <is>
          <t>153793-72</t>
        </is>
      </c>
      <c r="B751" s="10" t="inlineStr">
        <is>
          <t>V5 Systems</t>
        </is>
      </c>
      <c r="C751" s="11" t="inlineStr">
        <is>
          <t>94539</t>
        </is>
      </c>
      <c r="D751" s="12" t="inlineStr">
        <is>
          <t>Developer of next-generation portable, wireless, solar powered outdoor security and computing platforms for the industrial IoT. The company's platforms are modular enabling V5 Systems to deploy sophisticated, multiple sensor based solutions including video, acoustic (gunshot detection) and chemical sensors which collect, analyze and relay sensor data for actionable alerts in real-time via on-edge artificial intelligence. The company also allows third-party sensors and software applications to be deployed in any configuration to our open but controlled computing architecture. All of the company's solutions run on V5 Systems proprietary power system that can be deployed in any outdoor environment in under 30 minutes without the limitations of having to tap into fixed power or modify existing land or structures to access the necessary power and connectivity.</t>
        </is>
      </c>
      <c r="E751" s="13" t="inlineStr">
        <is>
          <t>Electrical Equipment</t>
        </is>
      </c>
      <c r="F751" s="14" t="inlineStr">
        <is>
          <t>Fremont, CA</t>
        </is>
      </c>
      <c r="G751" s="15" t="inlineStr">
        <is>
          <t>Privately Held (backing)</t>
        </is>
      </c>
      <c r="H751" s="16" t="inlineStr">
        <is>
          <t>Venture Capital-Backed</t>
        </is>
      </c>
      <c r="I751" s="17" t="inlineStr">
        <is>
          <t>Cheng Uei Precision Industry Company</t>
        </is>
      </c>
      <c r="J751" s="18" t="inlineStr">
        <is>
          <t>www.v5systems.us</t>
        </is>
      </c>
      <c r="K751" s="19" t="inlineStr">
        <is>
          <t>info@v5systems.us</t>
        </is>
      </c>
      <c r="L751" s="20" t="inlineStr">
        <is>
          <t>+1 (844) 604-7350</t>
        </is>
      </c>
      <c r="M751" s="21" t="inlineStr">
        <is>
          <t>Steven Yung</t>
        </is>
      </c>
      <c r="N751" s="22" t="inlineStr">
        <is>
          <t>Co-Founder &amp; Chief Executive Officer</t>
        </is>
      </c>
      <c r="O751" s="23" t="inlineStr">
        <is>
          <t>steve.yung@v5systems.us</t>
        </is>
      </c>
      <c r="P751" s="24" t="inlineStr">
        <is>
          <t>+1 (844) 604-7350</t>
        </is>
      </c>
      <c r="Q751" s="25" t="n">
        <v>2014.0</v>
      </c>
      <c r="R751" s="113">
        <f>HYPERLINK("https://my.pitchbook.com?c=153793-72", "View company online")</f>
      </c>
    </row>
    <row r="752">
      <c r="A752" s="27" t="inlineStr">
        <is>
          <t>59989-69</t>
        </is>
      </c>
      <c r="B752" s="28" t="inlineStr">
        <is>
          <t>UXPin</t>
        </is>
      </c>
      <c r="C752" s="29" t="inlineStr">
        <is>
          <t>94040</t>
        </is>
      </c>
      <c r="D752" s="30" t="inlineStr">
        <is>
          <t>Developer of cloud based user experience and online design tool. The company provides a platform to UX teams throughout the design process of Websites and mobile applications, with tools for wireframes, prototypes, diagrams, personas, collaboration and research.</t>
        </is>
      </c>
      <c r="E752" s="31" t="inlineStr">
        <is>
          <t>Application Software</t>
        </is>
      </c>
      <c r="F752" s="32" t="inlineStr">
        <is>
          <t>Mountain View, CA</t>
        </is>
      </c>
      <c r="G752" s="33" t="inlineStr">
        <is>
          <t>Privately Held (backing)</t>
        </is>
      </c>
      <c r="H752" s="34" t="inlineStr">
        <is>
          <t>Venture Capital-Backed</t>
        </is>
      </c>
      <c r="I752" s="35" t="inlineStr">
        <is>
          <t>Adam Nash, Alexander Rosen, Andreessen Horowitz, Band of Angels, Blackbox, Eric Kagan, Eric Ries, Ethan Beard, Freestyle Capital, Gil Penchina, IDG Ventures USA, Individual Investor, Innovation Nest, Jeffrey Huber, Jonathan Abrams, Joshua Schachter, Julia Popowitz, Kevin Moore, Maneesh Arora, Mansour Salame, Pascal Levy-Garboua, Peter Kellner, True Ventures</t>
        </is>
      </c>
      <c r="J752" s="36" t="inlineStr">
        <is>
          <t>www.uxpin.com</t>
        </is>
      </c>
      <c r="K752" s="37" t="inlineStr">
        <is>
          <t>hello@uxpin.com</t>
        </is>
      </c>
      <c r="L752" s="38" t="inlineStr">
        <is>
          <t/>
        </is>
      </c>
      <c r="M752" s="39" t="inlineStr">
        <is>
          <t>Marcin Treder</t>
        </is>
      </c>
      <c r="N752" s="40" t="inlineStr">
        <is>
          <t>Chief Executive Officer, Co-Founder and Board Member</t>
        </is>
      </c>
      <c r="O752" s="41" t="inlineStr">
        <is>
          <t>marcin.treder@uxpin.com</t>
        </is>
      </c>
      <c r="P752" s="42" t="inlineStr">
        <is>
          <t/>
        </is>
      </c>
      <c r="Q752" s="43" t="n">
        <v>2010.0</v>
      </c>
      <c r="R752" s="114">
        <f>HYPERLINK("https://my.pitchbook.com?c=59989-69", "View company online")</f>
      </c>
    </row>
    <row r="753">
      <c r="A753" s="9" t="inlineStr">
        <is>
          <t>54388-36</t>
        </is>
      </c>
      <c r="B753" s="10" t="inlineStr">
        <is>
          <t>Uwanna</t>
        </is>
      </c>
      <c r="C753" s="11" t="inlineStr">
        <is>
          <t>92121</t>
        </is>
      </c>
      <c r="D753" s="12" t="inlineStr">
        <is>
          <t>Provider of advertising platform integrated with social media networks. The company helps neighborhoods, organizations, meeting events, sporting events and other organizations monetize their mobile websites and smartphone apps with local and national sponsorship's.</t>
        </is>
      </c>
      <c r="E753" s="13" t="inlineStr">
        <is>
          <t>Application Software</t>
        </is>
      </c>
      <c r="F753" s="14" t="inlineStr">
        <is>
          <t>San Diego, CA</t>
        </is>
      </c>
      <c r="G753" s="15" t="inlineStr">
        <is>
          <t>Privately Held (backing)</t>
        </is>
      </c>
      <c r="H753" s="16" t="inlineStr">
        <is>
          <t>Venture Capital-Backed</t>
        </is>
      </c>
      <c r="I753" s="17" t="inlineStr">
        <is>
          <t>Avalon Ventures</t>
        </is>
      </c>
      <c r="J753" s="18" t="inlineStr">
        <is>
          <t>www.uwanna.com</t>
        </is>
      </c>
      <c r="K753" s="19" t="inlineStr">
        <is>
          <t>team@uwanna.com</t>
        </is>
      </c>
      <c r="L753" s="20" t="inlineStr">
        <is>
          <t>+1 (619) 248-2002</t>
        </is>
      </c>
      <c r="M753" s="21" t="inlineStr">
        <is>
          <t>Douglas Downs</t>
        </is>
      </c>
      <c r="N753" s="22" t="inlineStr">
        <is>
          <t>Acting Chief Financial Officer</t>
        </is>
      </c>
      <c r="O753" s="23" t="inlineStr">
        <is>
          <t/>
        </is>
      </c>
      <c r="P753" s="24" t="inlineStr">
        <is>
          <t>+1 (858) 348-2180</t>
        </is>
      </c>
      <c r="Q753" s="25" t="n">
        <v>2011.0</v>
      </c>
      <c r="R753" s="113">
        <f>HYPERLINK("https://my.pitchbook.com?c=54388-36", "View company online")</f>
      </c>
    </row>
    <row r="754">
      <c r="A754" s="27" t="inlineStr">
        <is>
          <t>123222-34</t>
        </is>
      </c>
      <c r="B754" s="28" t="inlineStr">
        <is>
          <t>UVify</t>
        </is>
      </c>
      <c r="C754" s="29" t="inlineStr">
        <is>
          <t>95134</t>
        </is>
      </c>
      <c r="D754" s="30" t="inlineStr">
        <is>
          <t>Developer of autonomous unmanned drones. The company is engaged in the design, research and development of unmanned drones to conduct real-time, image-based monitoring of the environment.</t>
        </is>
      </c>
      <c r="E754" s="31" t="inlineStr">
        <is>
          <t>Aerospace and Defense</t>
        </is>
      </c>
      <c r="F754" s="32" t="inlineStr">
        <is>
          <t>San Jose, CA</t>
        </is>
      </c>
      <c r="G754" s="33" t="inlineStr">
        <is>
          <t>Privately Held (backing)</t>
        </is>
      </c>
      <c r="H754" s="34" t="inlineStr">
        <is>
          <t>Venture Capital-Backed</t>
        </is>
      </c>
      <c r="I754" s="35" t="inlineStr">
        <is>
          <t>K Cube Ventures, Korea Institute of Startup and Entrepreneurship Development, NCSoft, Small and Medium Business Administration</t>
        </is>
      </c>
      <c r="J754" s="36" t="inlineStr">
        <is>
          <t>www.uvify.com</t>
        </is>
      </c>
      <c r="K754" s="37" t="inlineStr">
        <is>
          <t>lim@uvify.com</t>
        </is>
      </c>
      <c r="L754" s="38" t="inlineStr">
        <is>
          <t>+1 (408) 432-5003</t>
        </is>
      </c>
      <c r="M754" s="39" t="inlineStr">
        <is>
          <t>Hyon Lim</t>
        </is>
      </c>
      <c r="N754" s="40" t="inlineStr">
        <is>
          <t>Co-Founder, Chief Executive Officer and Board Member</t>
        </is>
      </c>
      <c r="O754" s="41" t="inlineStr">
        <is>
          <t>lim@uvify.com</t>
        </is>
      </c>
      <c r="P754" s="42" t="inlineStr">
        <is>
          <t>+1 (408) 432-5003</t>
        </is>
      </c>
      <c r="Q754" s="43" t="n">
        <v>2015.0</v>
      </c>
      <c r="R754" s="114">
        <f>HYPERLINK("https://my.pitchbook.com?c=123222-34", "View company online")</f>
      </c>
    </row>
    <row r="755">
      <c r="A755" s="9" t="inlineStr">
        <is>
          <t>120212-38</t>
        </is>
      </c>
      <c r="B755" s="10" t="inlineStr">
        <is>
          <t>Uvamo</t>
        </is>
      </c>
      <c r="C755" s="11" t="inlineStr">
        <is>
          <t>60606</t>
        </is>
      </c>
      <c r="D755" s="12" t="inlineStr">
        <is>
          <t>Provider of an online P2P marketplace for insurance. The company operates an online platform through which investors can invest into a pool of property and casualty insurance policies that are offered directly to fellow members.</t>
        </is>
      </c>
      <c r="E755" s="13" t="inlineStr">
        <is>
          <t>Internet Retail</t>
        </is>
      </c>
      <c r="F755" s="14" t="inlineStr">
        <is>
          <t>Chicago, IL</t>
        </is>
      </c>
      <c r="G755" s="15" t="inlineStr">
        <is>
          <t>Privately Held (backing)</t>
        </is>
      </c>
      <c r="H755" s="16" t="inlineStr">
        <is>
          <t>Venture Capital-Backed</t>
        </is>
      </c>
      <c r="I755" s="17" t="inlineStr">
        <is>
          <t>CrossPacific Capital Partners</t>
        </is>
      </c>
      <c r="J755" s="18" t="inlineStr">
        <is>
          <t>www.uvamo.com</t>
        </is>
      </c>
      <c r="K755" s="19" t="inlineStr">
        <is>
          <t/>
        </is>
      </c>
      <c r="L755" s="20" t="inlineStr">
        <is>
          <t/>
        </is>
      </c>
      <c r="M755" s="21" t="inlineStr">
        <is>
          <t>Visar Nimani</t>
        </is>
      </c>
      <c r="N755" s="22" t="inlineStr">
        <is>
          <t>Co-Founder &amp; Chief Executive Officer</t>
        </is>
      </c>
      <c r="O755" s="23" t="inlineStr">
        <is>
          <t>visar.nimani@uvamo.com</t>
        </is>
      </c>
      <c r="P755" s="24" t="inlineStr">
        <is>
          <t/>
        </is>
      </c>
      <c r="Q755" s="25" t="n">
        <v>2014.0</v>
      </c>
      <c r="R755" s="113">
        <f>HYPERLINK("https://my.pitchbook.com?c=120212-38", "View company online")</f>
      </c>
    </row>
    <row r="756">
      <c r="A756" s="27" t="inlineStr">
        <is>
          <t>103340-71</t>
        </is>
      </c>
      <c r="B756" s="28" t="inlineStr">
        <is>
          <t>uTrack TV</t>
        </is>
      </c>
      <c r="C756" s="29" t="inlineStr">
        <is>
          <t>94105</t>
        </is>
      </c>
      <c r="D756" s="30" t="inlineStr">
        <is>
          <t>Operator of an online sports television channel. The company's sports channel specializes in live broadcast of any event through mobile application technology which is compatible with any connected device, enabling users to watch with any internet speed available nowadays.</t>
        </is>
      </c>
      <c r="E756" s="31" t="inlineStr">
        <is>
          <t>Broadcasting, Radio and Television</t>
        </is>
      </c>
      <c r="F756" s="32" t="inlineStr">
        <is>
          <t>San Francisco, CA</t>
        </is>
      </c>
      <c r="G756" s="33" t="inlineStr">
        <is>
          <t>Privately Held (backing)</t>
        </is>
      </c>
      <c r="H756" s="34" t="inlineStr">
        <is>
          <t>Venture Capital-Backed</t>
        </is>
      </c>
      <c r="I756" s="35" t="inlineStr">
        <is>
          <t>500 Startups, Rukn, Tenmou</t>
        </is>
      </c>
      <c r="J756" s="36" t="inlineStr">
        <is>
          <t>www.utrack.live</t>
        </is>
      </c>
      <c r="K756" s="37" t="inlineStr">
        <is>
          <t/>
        </is>
      </c>
      <c r="L756" s="38" t="inlineStr">
        <is>
          <t>+1 (413) 583-4424</t>
        </is>
      </c>
      <c r="M756" s="39" t="inlineStr">
        <is>
          <t>Hasan AlDoy</t>
        </is>
      </c>
      <c r="N756" s="40" t="inlineStr">
        <is>
          <t>Co-Founder</t>
        </is>
      </c>
      <c r="O756" s="41" t="inlineStr">
        <is>
          <t/>
        </is>
      </c>
      <c r="P756" s="42" t="inlineStr">
        <is>
          <t>+1 (413) 583-4424</t>
        </is>
      </c>
      <c r="Q756" s="43" t="n">
        <v>2012.0</v>
      </c>
      <c r="R756" s="114">
        <f>HYPERLINK("https://my.pitchbook.com?c=103340-71", "View company online")</f>
      </c>
    </row>
    <row r="757">
      <c r="A757" s="9" t="inlineStr">
        <is>
          <t>110528-56</t>
        </is>
      </c>
      <c r="B757" s="10" t="inlineStr">
        <is>
          <t>UtilityAPI</t>
        </is>
      </c>
      <c r="C757" s="11" t="inlineStr">
        <is>
          <t>94612</t>
        </is>
      </c>
      <c r="D757" s="12" t="inlineStr">
        <is>
          <t>Provider of energy data analysis and monitoring tools designed to offer utility bills and usage data. The company's energy data analysis and monitoring tools help in evaluating and validating energy usage and savings, enabling energy innovators and property managers to securely share electric utility data.</t>
        </is>
      </c>
      <c r="E757" s="13" t="inlineStr">
        <is>
          <t>Application Software</t>
        </is>
      </c>
      <c r="F757" s="14" t="inlineStr">
        <is>
          <t>Oakland, CA</t>
        </is>
      </c>
      <c r="G757" s="15" t="inlineStr">
        <is>
          <t>Privately Held (backing)</t>
        </is>
      </c>
      <c r="H757" s="16" t="inlineStr">
        <is>
          <t>Venture Capital-Backed</t>
        </is>
      </c>
      <c r="I757" s="17" t="inlineStr">
        <is>
          <t>Better Ventures, Energy Excelerator, Golden Angels Investors, Investors' Circle, Powerhouse (Accelerator), Tumml, U.S. Department of Energy</t>
        </is>
      </c>
      <c r="J757" s="18" t="inlineStr">
        <is>
          <t>www.utilityapi.com</t>
        </is>
      </c>
      <c r="K757" s="19" t="inlineStr">
        <is>
          <t>info@utilityapi.com</t>
        </is>
      </c>
      <c r="L757" s="20" t="inlineStr">
        <is>
          <t>+1 (512) 763-7537</t>
        </is>
      </c>
      <c r="M757" s="21" t="inlineStr">
        <is>
          <t>Elena Lucas</t>
        </is>
      </c>
      <c r="N757" s="22" t="inlineStr">
        <is>
          <t>Co-Founder &amp; Board Member</t>
        </is>
      </c>
      <c r="O757" s="23" t="inlineStr">
        <is>
          <t>elena@utilityapi.com</t>
        </is>
      </c>
      <c r="P757" s="24" t="inlineStr">
        <is>
          <t>+1 (512) 763-7537</t>
        </is>
      </c>
      <c r="Q757" s="25" t="n">
        <v>2014.0</v>
      </c>
      <c r="R757" s="113">
        <f>HYPERLINK("https://my.pitchbook.com?c=110528-56", "View company online")</f>
      </c>
    </row>
    <row r="758">
      <c r="A758" s="27" t="inlineStr">
        <is>
          <t>159281-92</t>
        </is>
      </c>
      <c r="B758" s="28" t="inlineStr">
        <is>
          <t>Utilis</t>
        </is>
      </c>
      <c r="C758" s="29" t="inlineStr">
        <is>
          <t>4809175</t>
        </is>
      </c>
      <c r="D758" s="30" t="inlineStr">
        <is>
          <t>Developer of leakage detection software designed to detect underground leaks in potable water supply systems. The company's leakage detection software uses satellite imagery to locate the source and volume of leakage in an urban water network and spot leakage in underground distribution pipes, enabling leakage repairing companies to repair those leakages.</t>
        </is>
      </c>
      <c r="E758" s="31" t="inlineStr">
        <is>
          <t>Business/Productivity Software</t>
        </is>
      </c>
      <c r="F758" s="32" t="inlineStr">
        <is>
          <t>Rosh Ha'ayin, Israel</t>
        </is>
      </c>
      <c r="G758" s="33" t="inlineStr">
        <is>
          <t>Privately Held (backing)</t>
        </is>
      </c>
      <c r="H758" s="34" t="inlineStr">
        <is>
          <t>Venture Capital-Backed</t>
        </is>
      </c>
      <c r="I758" s="35" t="inlineStr">
        <is>
          <t>Imagine H2O, Maverick Ventures</t>
        </is>
      </c>
      <c r="J758" s="36" t="inlineStr">
        <is>
          <t>www.utiliscorp.com</t>
        </is>
      </c>
      <c r="K758" s="37" t="inlineStr">
        <is>
          <t>info@utiliscorp.com</t>
        </is>
      </c>
      <c r="L758" s="38" t="inlineStr">
        <is>
          <t>+972 (0)9 886 6676</t>
        </is>
      </c>
      <c r="M758" s="39" t="inlineStr">
        <is>
          <t>Elly Perets</t>
        </is>
      </c>
      <c r="N758" s="40" t="inlineStr">
        <is>
          <t>Chief Executive Officer</t>
        </is>
      </c>
      <c r="O758" s="41" t="inlineStr">
        <is>
          <t>elly.perets@utiliscorp.com</t>
        </is>
      </c>
      <c r="P758" s="42" t="inlineStr">
        <is>
          <t>+972 (0)9 886 6676</t>
        </is>
      </c>
      <c r="Q758" s="43" t="n">
        <v>2013.0</v>
      </c>
      <c r="R758" s="114">
        <f>HYPERLINK("https://my.pitchbook.com?c=159281-92", "View company online")</f>
      </c>
    </row>
    <row r="759">
      <c r="A759" s="9" t="inlineStr">
        <is>
          <t>61280-20</t>
        </is>
      </c>
      <c r="B759" s="10" t="inlineStr">
        <is>
          <t>UST Global</t>
        </is>
      </c>
      <c r="C759" s="11" t="inlineStr">
        <is>
          <t>92656</t>
        </is>
      </c>
      <c r="D759" s="12" t="inlineStr">
        <is>
          <t>Provider of end-to-end information technology services. The company uses a client-centric global engagement model that combines local, senior, on-site resources with the cost, scale and quality advantages of off-shore operations.</t>
        </is>
      </c>
      <c r="E759" s="13" t="inlineStr">
        <is>
          <t>Automation/Workflow Software</t>
        </is>
      </c>
      <c r="F759" s="14" t="inlineStr">
        <is>
          <t>Aliso Viejo, CA</t>
        </is>
      </c>
      <c r="G759" s="15" t="inlineStr">
        <is>
          <t>Privately Held (backing)</t>
        </is>
      </c>
      <c r="H759" s="16" t="inlineStr">
        <is>
          <t>Venture Capital-Backed</t>
        </is>
      </c>
      <c r="I759" s="17" t="inlineStr">
        <is>
          <t>Blumberg Capital, Madhya Pradesh government</t>
        </is>
      </c>
      <c r="J759" s="18" t="inlineStr">
        <is>
          <t>www.ust-global.com</t>
        </is>
      </c>
      <c r="K759" s="19" t="inlineStr">
        <is>
          <t/>
        </is>
      </c>
      <c r="L759" s="20" t="inlineStr">
        <is>
          <t>+1 (949) 716-8757</t>
        </is>
      </c>
      <c r="M759" s="21" t="inlineStr">
        <is>
          <t>Krishna Sudheendra</t>
        </is>
      </c>
      <c r="N759" s="22" t="inlineStr">
        <is>
          <t>Chief Financial Officer</t>
        </is>
      </c>
      <c r="O759" s="23" t="inlineStr">
        <is>
          <t>krishna.sudheendra@ust-global.com</t>
        </is>
      </c>
      <c r="P759" s="24" t="inlineStr">
        <is>
          <t>+1 (949) 716-8757</t>
        </is>
      </c>
      <c r="Q759" s="25" t="n">
        <v>1999.0</v>
      </c>
      <c r="R759" s="113">
        <f>HYPERLINK("https://my.pitchbook.com?c=61280-20", "View company online")</f>
      </c>
    </row>
    <row r="760">
      <c r="A760" s="27" t="inlineStr">
        <is>
          <t>42159-88</t>
        </is>
      </c>
      <c r="B760" s="28" t="inlineStr">
        <is>
          <t>USGI Medical</t>
        </is>
      </c>
      <c r="C760" s="29" t="inlineStr">
        <is>
          <t>92673</t>
        </is>
      </c>
      <c r="D760" s="30" t="inlineStr">
        <is>
          <t>Developer of technologies to enable incision-less surgery. The company provides the surgeons an operating platform and specialized tools they need to perform surgery through a patient's mouth or other natural orifices, reducing the need for external incisions into the abdomen.</t>
        </is>
      </c>
      <c r="E760" s="31" t="inlineStr">
        <is>
          <t>Surgical Devices</t>
        </is>
      </c>
      <c r="F760" s="32" t="inlineStr">
        <is>
          <t>San Clemente, CA</t>
        </is>
      </c>
      <c r="G760" s="33" t="inlineStr">
        <is>
          <t>Privately Held (backing)</t>
        </is>
      </c>
      <c r="H760" s="34" t="inlineStr">
        <is>
          <t>Venture Capital-Backed</t>
        </is>
      </c>
      <c r="I760" s="35" t="inlineStr">
        <is>
          <t>Adams Street Partners, Alta Partners, InterWest Partners, TriplePoint Capital</t>
        </is>
      </c>
      <c r="J760" s="36" t="inlineStr">
        <is>
          <t>www.usgimedical.com</t>
        </is>
      </c>
      <c r="K760" s="37" t="inlineStr">
        <is>
          <t>info@usgimedical.com</t>
        </is>
      </c>
      <c r="L760" s="38" t="inlineStr">
        <is>
          <t>+1 (949) 369-3890</t>
        </is>
      </c>
      <c r="M760" s="39" t="inlineStr">
        <is>
          <t>Scott Moonly</t>
        </is>
      </c>
      <c r="N760" s="40" t="inlineStr">
        <is>
          <t>President &amp; Chief Executive Officer</t>
        </is>
      </c>
      <c r="O760" s="41" t="inlineStr">
        <is>
          <t>scott@usgimedical.com</t>
        </is>
      </c>
      <c r="P760" s="42" t="inlineStr">
        <is>
          <t>+1 (949) 369-3890</t>
        </is>
      </c>
      <c r="Q760" s="43" t="n">
        <v>2001.0</v>
      </c>
      <c r="R760" s="114">
        <f>HYPERLINK("https://my.pitchbook.com?c=42159-88", "View company online")</f>
      </c>
    </row>
    <row r="761">
      <c r="A761" s="9" t="inlineStr">
        <is>
          <t>57081-79</t>
        </is>
      </c>
      <c r="B761" s="10" t="inlineStr">
        <is>
          <t>UserZoom</t>
        </is>
      </c>
      <c r="C761" s="11" t="inlineStr">
        <is>
          <t>95113</t>
        </is>
      </c>
      <c r="D761" s="12" t="inlineStr">
        <is>
          <t>Provider of consultancy and usability analysis services. The company provides a data-driven platform to test usability and measure user experience (UX). It focuses on assisting businesses in gaining actionable insights, scaling their user research and boosting return on investment (ROI).</t>
        </is>
      </c>
      <c r="E761" s="13" t="inlineStr">
        <is>
          <t>Social/Platform Software</t>
        </is>
      </c>
      <c r="F761" s="14" t="inlineStr">
        <is>
          <t>San Jose, CA</t>
        </is>
      </c>
      <c r="G761" s="15" t="inlineStr">
        <is>
          <t>Privately Held (backing)</t>
        </is>
      </c>
      <c r="H761" s="16" t="inlineStr">
        <is>
          <t>Venture Capital-Backed</t>
        </is>
      </c>
      <c r="I761" s="17" t="inlineStr">
        <is>
          <t>StepStone Group, Sunstone Partners, Trident Capital</t>
        </is>
      </c>
      <c r="J761" s="18" t="inlineStr">
        <is>
          <t>www.userzoom.com</t>
        </is>
      </c>
      <c r="K761" s="19" t="inlineStr">
        <is>
          <t/>
        </is>
      </c>
      <c r="L761" s="20" t="inlineStr">
        <is>
          <t>+1 (866) 599-1550</t>
        </is>
      </c>
      <c r="M761" s="21" t="inlineStr">
        <is>
          <t>Alfonso de la Nuez</t>
        </is>
      </c>
      <c r="N761" s="22" t="inlineStr">
        <is>
          <t>Co-Founder, Chief Executive Officer and Board Member</t>
        </is>
      </c>
      <c r="O761" s="23" t="inlineStr">
        <is>
          <t>alfonso@userzoom.com</t>
        </is>
      </c>
      <c r="P761" s="24" t="inlineStr">
        <is>
          <t>+1 (866) 599-1550</t>
        </is>
      </c>
      <c r="Q761" s="25" t="n">
        <v>2007.0</v>
      </c>
      <c r="R761" s="113">
        <f>HYPERLINK("https://my.pitchbook.com?c=57081-79", "View company online")</f>
      </c>
    </row>
    <row r="762">
      <c r="A762" s="27" t="inlineStr">
        <is>
          <t>53397-10</t>
        </is>
      </c>
      <c r="B762" s="28" t="inlineStr">
        <is>
          <t>UserVoice</t>
        </is>
      </c>
      <c r="C762" s="29" t="inlineStr">
        <is>
          <t>94105</t>
        </is>
      </c>
      <c r="D762" s="30" t="inlineStr">
        <is>
          <t>Provider of product management and customer support services. The company's platform provides knowledge base management tools that enable businesses to collect, analyze, manage and act on customer feedback across various channels.</t>
        </is>
      </c>
      <c r="E762" s="31" t="inlineStr">
        <is>
          <t>Social/Platform Software</t>
        </is>
      </c>
      <c r="F762" s="32" t="inlineStr">
        <is>
          <t>San Francisco, CA</t>
        </is>
      </c>
      <c r="G762" s="33" t="inlineStr">
        <is>
          <t>Privately Held (backing)</t>
        </is>
      </c>
      <c r="H762" s="34" t="inlineStr">
        <is>
          <t>Venture Capital-Backed</t>
        </is>
      </c>
      <c r="I762" s="35" t="inlineStr">
        <is>
          <t>Aayush Phumbhra, Alexander Hoye, Baseline Ventures, Betaworks, David McClure, David Shen, David Shen Ventures, Dharmesh Shah, Founders Fund, Howard Lindzon, Individual Investor, LocalGlobe, Mike Davidson, Naval Ravikant, Net Discovery, Peter Lehrman, Reza Hussein, Robin Klein, Saul Klein, Shan Mehta, Steve Anderson, SV Angel, Tekton Ventures, The Acceleration Group, Western Technology Investment</t>
        </is>
      </c>
      <c r="J762" s="36" t="inlineStr">
        <is>
          <t>www.uservoice.com</t>
        </is>
      </c>
      <c r="K762" s="37" t="inlineStr">
        <is>
          <t>contact@uservoice.com</t>
        </is>
      </c>
      <c r="L762" s="38" t="inlineStr">
        <is>
          <t>+1 (888) 840-0280</t>
        </is>
      </c>
      <c r="M762" s="39" t="inlineStr">
        <is>
          <t>Richard White</t>
        </is>
      </c>
      <c r="N762" s="40" t="inlineStr">
        <is>
          <t>Co-Founder &amp; Chief Executive Officer</t>
        </is>
      </c>
      <c r="O762" s="41" t="inlineStr">
        <is>
          <t>rich@uservoice.com</t>
        </is>
      </c>
      <c r="P762" s="42" t="inlineStr">
        <is>
          <t>+1 (888) 840-0280</t>
        </is>
      </c>
      <c r="Q762" s="43" t="n">
        <v>2008.0</v>
      </c>
      <c r="R762" s="114">
        <f>HYPERLINK("https://my.pitchbook.com?c=53397-10", "View company online")</f>
      </c>
    </row>
    <row r="763">
      <c r="A763" s="9" t="inlineStr">
        <is>
          <t>54118-45</t>
        </is>
      </c>
      <c r="B763" s="10" t="inlineStr">
        <is>
          <t>UserTesting</t>
        </is>
      </c>
      <c r="C763" s="11" t="inlineStr">
        <is>
          <t>94043</t>
        </is>
      </c>
      <c r="D763" s="12" t="inlineStr">
        <is>
          <t>Provider of an user experience testing platform designed to improve customer insights. The company's user experience testing platform helps in increasing revenue and boosting conversion rates by testing landing pages, emails and advertisements, enabling marketers, product managers and UX designers to access users in their target audience, who deliver audio, video and written feedback on websites or applications in less than one hour.</t>
        </is>
      </c>
      <c r="E763" s="13" t="inlineStr">
        <is>
          <t>Media and Information Services (B2B)</t>
        </is>
      </c>
      <c r="F763" s="14" t="inlineStr">
        <is>
          <t>Mountain View, CA</t>
        </is>
      </c>
      <c r="G763" s="15" t="inlineStr">
        <is>
          <t>Privately Held (backing)</t>
        </is>
      </c>
      <c r="H763" s="16" t="inlineStr">
        <is>
          <t>Venture Capital-Backed</t>
        </is>
      </c>
      <c r="I763" s="17" t="inlineStr">
        <is>
          <t>Accel, Clearstone Venture Partners, D. E. Shaw &amp; Co., Greenspring Associates, Inspiration Ventures, Intercept Ventures, Kern Whelan Capital, OpenView Venture Partners, Wasabi Ventures</t>
        </is>
      </c>
      <c r="J763" s="18" t="inlineStr">
        <is>
          <t>www.usertesting.com</t>
        </is>
      </c>
      <c r="K763" s="19" t="inlineStr">
        <is>
          <t>info@usertesting.com</t>
        </is>
      </c>
      <c r="L763" s="20" t="inlineStr">
        <is>
          <t>+1 (650) 567-5626</t>
        </is>
      </c>
      <c r="M763" s="21" t="inlineStr">
        <is>
          <t>David Garr</t>
        </is>
      </c>
      <c r="N763" s="22" t="inlineStr">
        <is>
          <t>Co-Founder &amp; Senior Product Manager</t>
        </is>
      </c>
      <c r="O763" s="23" t="inlineStr">
        <is>
          <t>david@usertesting.com</t>
        </is>
      </c>
      <c r="P763" s="24" t="inlineStr">
        <is>
          <t>+1 (650) 567-5626</t>
        </is>
      </c>
      <c r="Q763" s="25" t="n">
        <v>2006.0</v>
      </c>
      <c r="R763" s="113">
        <f>HYPERLINK("https://my.pitchbook.com?c=54118-45", "View company online")</f>
      </c>
    </row>
    <row r="764">
      <c r="A764" s="27" t="inlineStr">
        <is>
          <t>59193-28</t>
        </is>
      </c>
      <c r="B764" s="28" t="inlineStr">
        <is>
          <t>User Replay</t>
        </is>
      </c>
      <c r="C764" s="29" t="inlineStr">
        <is>
          <t>RG7 4AB</t>
        </is>
      </c>
      <c r="D764" s="30" t="inlineStr">
        <is>
          <t>Provider of a website monitoring service for businesses. The company offers customer experience management software that enables its users to find and fix site bugs, resolve disputes, recover abandoned virtual shopping baskets and prevent fraudulent transactions.</t>
        </is>
      </c>
      <c r="E764" s="31" t="inlineStr">
        <is>
          <t>Software Development Applications</t>
        </is>
      </c>
      <c r="F764" s="32" t="inlineStr">
        <is>
          <t>Reading, United Kingdom</t>
        </is>
      </c>
      <c r="G764" s="33" t="inlineStr">
        <is>
          <t>Privately Held (backing)</t>
        </is>
      </c>
      <c r="H764" s="34" t="inlineStr">
        <is>
          <t>Venture Capital-Backed</t>
        </is>
      </c>
      <c r="I764" s="35" t="inlineStr">
        <is>
          <t>Damien Lane, EC1 Capital, Episode 1 Ventures, Individual Investor, Innovate UK, Longwall Ventures, Robin Klein, Simon Murdoch, Star-Achats, The FSE Group</t>
        </is>
      </c>
      <c r="J764" s="36" t="inlineStr">
        <is>
          <t>www.userreplay.com</t>
        </is>
      </c>
      <c r="K764" s="37" t="inlineStr">
        <is>
          <t/>
        </is>
      </c>
      <c r="L764" s="38" t="inlineStr">
        <is>
          <t>+44 (0)11 8902 6810</t>
        </is>
      </c>
      <c r="M764" s="39" t="inlineStr">
        <is>
          <t>Bob Winder</t>
        </is>
      </c>
      <c r="N764" s="40" t="inlineStr">
        <is>
          <t>Board Member &amp; Co-Founder</t>
        </is>
      </c>
      <c r="O764" s="41" t="inlineStr">
        <is>
          <t>bob@tails.com</t>
        </is>
      </c>
      <c r="P764" s="42" t="inlineStr">
        <is>
          <t>+44 (0)11 8902 6810</t>
        </is>
      </c>
      <c r="Q764" s="43" t="n">
        <v>2009.0</v>
      </c>
      <c r="R764" s="114">
        <f>HYPERLINK("https://my.pitchbook.com?c=59193-28", "View company online")</f>
      </c>
    </row>
    <row r="765">
      <c r="A765" s="9" t="inlineStr">
        <is>
          <t>113770-36</t>
        </is>
      </c>
      <c r="B765" s="10" t="inlineStr">
        <is>
          <t>uSens</t>
        </is>
      </c>
      <c r="C765" s="11" t="inlineStr">
        <is>
          <t>95110</t>
        </is>
      </c>
      <c r="D765" s="12" t="inlineStr">
        <is>
          <t>Provider of three dimension interactive software designed to bridge the gap between virtual reality and the real world. The company's three dimension interactive software offer 3D gesture recognition on mobile platforms that combines virtual and augmented reality and the service's massive, innovative power brings the true presence to the Oculus Rift and HTC Vive, as well as to mobile devices with the Samsung GearVR, Google Daydream and Cardboard and also provide inside-out 3D hand tracking as well as 6DOF head position tracking for both mobile and tethered AR/VR systems, enabling businesses to develop their talents with the help of freedom and space provided by the software.</t>
        </is>
      </c>
      <c r="E765" s="13" t="inlineStr">
        <is>
          <t>Electronics (B2C)</t>
        </is>
      </c>
      <c r="F765" s="14" t="inlineStr">
        <is>
          <t>San Jose, CA</t>
        </is>
      </c>
      <c r="G765" s="15" t="inlineStr">
        <is>
          <t>Privately Held (backing)</t>
        </is>
      </c>
      <c r="H765" s="16" t="inlineStr">
        <is>
          <t>Venture Capital-Backed</t>
        </is>
      </c>
      <c r="I765" s="17" t="inlineStr">
        <is>
          <t>ARM Innovation Ecosystem Accelerator, Chalor Capital, Chord Capital, ChuanCheng Fund, Fortune Venture Capital, Fulcrum Capital Group, Great Capital, IDG Capital, IDG Ventures USA, iResearch Consulting Group, Kinzon Capital, LeBox Capital, Maison Capital, Morningside Group, Oriental Fortune Capital, Stone Capital</t>
        </is>
      </c>
      <c r="J765" s="18" t="inlineStr">
        <is>
          <t>www.usens.com</t>
        </is>
      </c>
      <c r="K765" s="19" t="inlineStr">
        <is>
          <t>contact@usens.com</t>
        </is>
      </c>
      <c r="L765" s="20" t="inlineStr">
        <is>
          <t>+1 (408) 796-9070</t>
        </is>
      </c>
      <c r="M765" s="21" t="inlineStr">
        <is>
          <t>Chris Shi</t>
        </is>
      </c>
      <c r="N765" s="22" t="inlineStr">
        <is>
          <t>Co-Founder &amp; Chief Operating Officer</t>
        </is>
      </c>
      <c r="O765" s="23" t="inlineStr">
        <is>
          <t>chris@usens.com</t>
        </is>
      </c>
      <c r="P765" s="24" t="inlineStr">
        <is>
          <t>+1 (408) 796-9070</t>
        </is>
      </c>
      <c r="Q765" s="25" t="n">
        <v>2013.0</v>
      </c>
      <c r="R765" s="113">
        <f>HYPERLINK("https://my.pitchbook.com?c=113770-36", "View company online")</f>
      </c>
    </row>
    <row r="766">
      <c r="A766" s="27" t="inlineStr">
        <is>
          <t>167328-46</t>
        </is>
      </c>
      <c r="B766" s="28" t="inlineStr">
        <is>
          <t>UsedSportsExchange</t>
        </is>
      </c>
      <c r="C766" s="29" t="inlineStr">
        <is>
          <t/>
        </is>
      </c>
      <c r="D766" s="30" t="inlineStr">
        <is>
          <t>Developer of a marketplace for finding new and used sports gear. The company develops a marketplace for the sale and purchase of new or used sporting goods, sports related merchandise and sports memorabilia.</t>
        </is>
      </c>
      <c r="E766" s="31" t="inlineStr">
        <is>
          <t>Accessories</t>
        </is>
      </c>
      <c r="F766" s="32" t="inlineStr">
        <is>
          <t>Los Angeles, CA</t>
        </is>
      </c>
      <c r="G766" s="33" t="inlineStr">
        <is>
          <t>Privately Held (backing)</t>
        </is>
      </c>
      <c r="H766" s="34" t="inlineStr">
        <is>
          <t>Venture Capital-Backed</t>
        </is>
      </c>
      <c r="I766" s="35" t="inlineStr">
        <is>
          <t>K&amp;L Group</t>
        </is>
      </c>
      <c r="J766" s="36" t="inlineStr">
        <is>
          <t/>
        </is>
      </c>
      <c r="K766" s="37" t="inlineStr">
        <is>
          <t>info@usedsports.exchange</t>
        </is>
      </c>
      <c r="L766" s="38" t="inlineStr">
        <is>
          <t>+1 (702) 706-5083</t>
        </is>
      </c>
      <c r="M766" s="39" t="inlineStr">
        <is>
          <t/>
        </is>
      </c>
      <c r="N766" s="40" t="inlineStr">
        <is>
          <t/>
        </is>
      </c>
      <c r="O766" s="41" t="inlineStr">
        <is>
          <t/>
        </is>
      </c>
      <c r="P766" s="42" t="inlineStr">
        <is>
          <t/>
        </is>
      </c>
      <c r="Q766" s="43" t="n">
        <v>2015.0</v>
      </c>
      <c r="R766" s="114">
        <f>HYPERLINK("https://my.pitchbook.com?c=167328-46", "View company online")</f>
      </c>
    </row>
    <row r="767">
      <c r="A767" s="9" t="inlineStr">
        <is>
          <t>173551-15</t>
        </is>
      </c>
      <c r="B767" s="10" t="inlineStr">
        <is>
          <t>USAutoNews.com</t>
        </is>
      </c>
      <c r="C767" s="85">
        <f>HYPERLINK("https://my.pitchbook.com?rrp=173551-15&amp;type=c", "This Company's information is not available to download. Need this Company? Request availability")</f>
      </c>
      <c r="D767" s="12" t="inlineStr">
        <is>
          <t/>
        </is>
      </c>
      <c r="E767" s="13" t="inlineStr">
        <is>
          <t/>
        </is>
      </c>
      <c r="F767" s="14" t="inlineStr">
        <is>
          <t/>
        </is>
      </c>
      <c r="G767" s="15" t="inlineStr">
        <is>
          <t/>
        </is>
      </c>
      <c r="H767" s="16" t="inlineStr">
        <is>
          <t/>
        </is>
      </c>
      <c r="I767" s="17" t="inlineStr">
        <is>
          <t/>
        </is>
      </c>
      <c r="J767" s="18" t="inlineStr">
        <is>
          <t/>
        </is>
      </c>
      <c r="K767" s="19" t="inlineStr">
        <is>
          <t/>
        </is>
      </c>
      <c r="L767" s="20" t="inlineStr">
        <is>
          <t/>
        </is>
      </c>
      <c r="M767" s="21" t="inlineStr">
        <is>
          <t/>
        </is>
      </c>
      <c r="N767" s="22" t="inlineStr">
        <is>
          <t/>
        </is>
      </c>
      <c r="O767" s="23" t="inlineStr">
        <is>
          <t/>
        </is>
      </c>
      <c r="P767" s="24" t="inlineStr">
        <is>
          <t/>
        </is>
      </c>
      <c r="Q767" s="25" t="inlineStr">
        <is>
          <t/>
        </is>
      </c>
      <c r="R767" s="26" t="inlineStr">
        <is>
          <t/>
        </is>
      </c>
    </row>
    <row r="768">
      <c r="A768" s="27" t="inlineStr">
        <is>
          <t>11318-59</t>
        </is>
      </c>
      <c r="B768" s="28" t="inlineStr">
        <is>
          <t>US Renewables Group</t>
        </is>
      </c>
      <c r="C768" s="29" t="inlineStr">
        <is>
          <t>90404</t>
        </is>
      </c>
      <c r="D768" s="30" t="inlineStr">
        <is>
          <t>Provider of investment services for bio-fuel industries. The company seeks out renewable stationary power generation and clean fuel assets primarily in North America and has made 18 diversified investments across three investment funds.</t>
        </is>
      </c>
      <c r="E768" s="31" t="inlineStr">
        <is>
          <t>Energy Exploration</t>
        </is>
      </c>
      <c r="F768" s="32" t="inlineStr">
        <is>
          <t>Santa Monica, CA</t>
        </is>
      </c>
      <c r="G768" s="33" t="inlineStr">
        <is>
          <t>Privately Held (backing)</t>
        </is>
      </c>
      <c r="H768" s="34" t="inlineStr">
        <is>
          <t>Venture Capital-Backed</t>
        </is>
      </c>
      <c r="I768" s="35" t="inlineStr">
        <is>
          <t>Rustic Canyon Partners, Saints Capital</t>
        </is>
      </c>
      <c r="J768" s="36" t="inlineStr">
        <is>
          <t>www.usregroup.com</t>
        </is>
      </c>
      <c r="K768" s="37" t="inlineStr">
        <is>
          <t/>
        </is>
      </c>
      <c r="L768" s="38" t="inlineStr">
        <is>
          <t>+1 (310) 586-3900</t>
        </is>
      </c>
      <c r="M768" s="39" t="inlineStr">
        <is>
          <t>Lee Bailey</t>
        </is>
      </c>
      <c r="N768" s="40" t="inlineStr">
        <is>
          <t>Managing Director &amp; Managing Partner</t>
        </is>
      </c>
      <c r="O768" s="41" t="inlineStr">
        <is>
          <t>lee@usregroup.com</t>
        </is>
      </c>
      <c r="P768" s="42" t="inlineStr">
        <is>
          <t>+1 (310) 586-3900</t>
        </is>
      </c>
      <c r="Q768" s="43" t="n">
        <v>2003.0</v>
      </c>
      <c r="R768" s="114">
        <f>HYPERLINK("https://my.pitchbook.com?c=11318-59", "View company online")</f>
      </c>
    </row>
    <row r="769">
      <c r="A769" s="9" t="inlineStr">
        <is>
          <t>108316-09</t>
        </is>
      </c>
      <c r="B769" s="10" t="inlineStr">
        <is>
          <t>Urth Caffe</t>
        </is>
      </c>
      <c r="C769" s="11" t="inlineStr">
        <is>
          <t>90013</t>
        </is>
      </c>
      <c r="D769" s="12" t="inlineStr">
        <is>
          <t>Producer of organic coffee. The company specializes in production and distribution of organic coffees and fine teas.</t>
        </is>
      </c>
      <c r="E769" s="13" t="inlineStr">
        <is>
          <t>Beverages</t>
        </is>
      </c>
      <c r="F769" s="14" t="inlineStr">
        <is>
          <t>Los Angeles, CA</t>
        </is>
      </c>
      <c r="G769" s="15" t="inlineStr">
        <is>
          <t>Privately Held (backing)</t>
        </is>
      </c>
      <c r="H769" s="16" t="inlineStr">
        <is>
          <t>Venture Capital-Backed</t>
        </is>
      </c>
      <c r="I769" s="17" t="inlineStr">
        <is>
          <t>Juvo Capital</t>
        </is>
      </c>
      <c r="J769" s="18" t="inlineStr">
        <is>
          <t>www.urthcaffe.com</t>
        </is>
      </c>
      <c r="K769" s="19" t="inlineStr">
        <is>
          <t>info@urthcaffe.com</t>
        </is>
      </c>
      <c r="L769" s="20" t="inlineStr">
        <is>
          <t>+1 (213) 797-4527</t>
        </is>
      </c>
      <c r="M769" s="21" t="inlineStr">
        <is>
          <t>Henry Versendaal</t>
        </is>
      </c>
      <c r="N769" s="22" t="inlineStr">
        <is>
          <t>Chief Financial Officer</t>
        </is>
      </c>
      <c r="O769" s="23" t="inlineStr">
        <is>
          <t>hversendaal@urthcaffe.com</t>
        </is>
      </c>
      <c r="P769" s="24" t="inlineStr">
        <is>
          <t>+1 (213) 797-4527</t>
        </is>
      </c>
      <c r="Q769" s="25" t="n">
        <v>1989.0</v>
      </c>
      <c r="R769" s="113">
        <f>HYPERLINK("https://my.pitchbook.com?c=108316-09", "View company online")</f>
      </c>
    </row>
    <row r="770">
      <c r="A770" s="27" t="inlineStr">
        <is>
          <t>41947-75</t>
        </is>
      </c>
      <c r="B770" s="28" t="inlineStr">
        <is>
          <t>Urigen Pharmaceuticals</t>
        </is>
      </c>
      <c r="C770" s="29" t="inlineStr">
        <is>
          <t>94108</t>
        </is>
      </c>
      <c r="D770" s="30" t="inlineStr">
        <is>
          <t>Urigen Pharmaceuticals, Inc. was incorporated in Delaware on August 12, 1997. It was formerly known as Valentis, Inc. and was formed as the result of the merger of Megabios Corp. and GeneMedicine, Inc. in March 1999. The Company specializes in the development of innovative products for patients with urological ailments including, specifically, the development of innovative products for amelioration Painful Bladder Syndrome/Interstitial Cystitis ('PBS' or 'PBS/IC'), Urethritis, Nocturia and Overactive Bladder ('OAB'). Urigen's two clinical stage products target significant unmet medical needs with meaningful market opportunities in urology: URG101, a bladder instillation for Painful Bladder Syndrome/Interstitial Cystitis (PBS/IC), URG301, a female urethral suppository for urethritis and nocturia. It is developing an IND to initiate an exploratory study to evaluate the safety and efficacy of an intraurethral suppository to treat urethritis, nocturia and the symptoms of acute urinary urgency associated with overactive bladder. Approved prescription drugs used to treat overactive bladder. These approved drugs include oxybutynin (Ditropan(r), Ditropan XL(r) and Oxytrol(r), a skin patch); tolterodine (Detrol(r), Detrol LA(r)); trospium (Sanctura(r)); solifenacin (Vesicare(r)); and darifenacin (Enablex(r))-demonstrate remarkably similar efficacy. The production and marketing of its potential products would be subjected to extensive regulation for safety, efficacy and quality by numerous governmental authorities in the United States and other countries.</t>
        </is>
      </c>
      <c r="E770" s="31" t="inlineStr">
        <is>
          <t>Pharmaceuticals</t>
        </is>
      </c>
      <c r="F770" s="32" t="inlineStr">
        <is>
          <t>San Francisco, CA</t>
        </is>
      </c>
      <c r="G770" s="33" t="inlineStr">
        <is>
          <t>Privately Held (backing)</t>
        </is>
      </c>
      <c r="H770" s="34" t="inlineStr">
        <is>
          <t>Venture Capital-Backed</t>
        </is>
      </c>
      <c r="I770" s="35" t="inlineStr">
        <is>
          <t>Aisling Capital, CHL Medical Partners, UCL Business</t>
        </is>
      </c>
      <c r="J770" s="36" t="inlineStr">
        <is>
          <t>www.valentis.com</t>
        </is>
      </c>
      <c r="K770" s="37" t="inlineStr">
        <is>
          <t>herman@urigen.com</t>
        </is>
      </c>
      <c r="L770" s="38" t="inlineStr">
        <is>
          <t>+1 (415) 781-0350</t>
        </is>
      </c>
      <c r="M770" s="39" t="inlineStr">
        <is>
          <t>Charles Parsons</t>
        </is>
      </c>
      <c r="N770" s="40" t="inlineStr">
        <is>
          <t>Chief Medical Officer &amp; Board Member</t>
        </is>
      </c>
      <c r="O770" s="41" t="inlineStr">
        <is>
          <t>charles@urigen.com</t>
        </is>
      </c>
      <c r="P770" s="42" t="inlineStr">
        <is>
          <t>+1 (619) 543-3572</t>
        </is>
      </c>
      <c r="Q770" s="43" t="n">
        <v>1997.0</v>
      </c>
      <c r="R770" s="114">
        <f>HYPERLINK("https://my.pitchbook.com?c=41947-75", "View company online")</f>
      </c>
    </row>
    <row r="771">
      <c r="A771" s="9" t="inlineStr">
        <is>
          <t>151186-24</t>
        </is>
      </c>
      <c r="B771" s="10" t="inlineStr">
        <is>
          <t>Uriel Solar</t>
        </is>
      </c>
      <c r="C771" s="11" t="inlineStr">
        <is>
          <t>91361</t>
        </is>
      </c>
      <c r="D771" s="12" t="inlineStr">
        <is>
          <t>Owner and operator of renewable energy production company. The company offers a disruptive thin film photo-voltaic solar cell technology as the primary source of electric energy generation in America.</t>
        </is>
      </c>
      <c r="E771" s="13" t="inlineStr">
        <is>
          <t>Energy Production</t>
        </is>
      </c>
      <c r="F771" s="14" t="inlineStr">
        <is>
          <t>Westlake Village, CA</t>
        </is>
      </c>
      <c r="G771" s="15" t="inlineStr">
        <is>
          <t>Privately Held (backing)</t>
        </is>
      </c>
      <c r="H771" s="16" t="inlineStr">
        <is>
          <t>Venture Capital-Backed</t>
        </is>
      </c>
      <c r="I771" s="17" t="inlineStr">
        <is>
          <t/>
        </is>
      </c>
      <c r="J771" s="18" t="inlineStr">
        <is>
          <t>www.urielsolar.net</t>
        </is>
      </c>
      <c r="K771" s="19" t="inlineStr">
        <is>
          <t/>
        </is>
      </c>
      <c r="L771" s="20" t="inlineStr">
        <is>
          <t>+1 (805) 557-1131</t>
        </is>
      </c>
      <c r="M771" s="21" t="inlineStr">
        <is>
          <t>James Garnett</t>
        </is>
      </c>
      <c r="N771" s="22" t="inlineStr">
        <is>
          <t>Co-Founder, President &amp; Chief Executive Officer</t>
        </is>
      </c>
      <c r="O771" s="23" t="inlineStr">
        <is>
          <t>jamesgarnett@urielsolar.net</t>
        </is>
      </c>
      <c r="P771" s="24" t="inlineStr">
        <is>
          <t>+1 (805) 557-1131</t>
        </is>
      </c>
      <c r="Q771" s="25" t="n">
        <v>2008.0</v>
      </c>
      <c r="R771" s="113">
        <f>HYPERLINK("https://my.pitchbook.com?c=151186-24", "View company online")</f>
      </c>
    </row>
    <row r="772">
      <c r="A772" s="27" t="inlineStr">
        <is>
          <t>57848-95</t>
        </is>
      </c>
      <c r="B772" s="28" t="inlineStr">
        <is>
          <t>Urbita</t>
        </is>
      </c>
      <c r="C772" s="29" t="inlineStr">
        <is>
          <t/>
        </is>
      </c>
      <c r="D772" s="30" t="inlineStr">
        <is>
          <t>Operator of a platform that allows people to share their favorite places with others on the Web. The company operates a social network that enables users to share information and photos about their favorite local places, with links to interactive maps and opportunities for other members to like and follow their entries.</t>
        </is>
      </c>
      <c r="E772" s="31" t="inlineStr">
        <is>
          <t>Information Services (B2C)</t>
        </is>
      </c>
      <c r="F772" s="32" t="inlineStr">
        <is>
          <t>Buenos Aires, Argentina</t>
        </is>
      </c>
      <c r="G772" s="33" t="inlineStr">
        <is>
          <t>Privately Held (backing)</t>
        </is>
      </c>
      <c r="H772" s="34" t="inlineStr">
        <is>
          <t>Venture Capital-Backed</t>
        </is>
      </c>
      <c r="I772" s="35" t="inlineStr">
        <is>
          <t>Andy Kleinman, Ariel Arrieta, FounderFuel, Individual Investor, Jacaranda Ventures, NXTP Labs, Real Ventures, RealAssets, Yona Shtern</t>
        </is>
      </c>
      <c r="J772" s="36" t="inlineStr">
        <is>
          <t>www.urbita.com</t>
        </is>
      </c>
      <c r="K772" s="37" t="inlineStr">
        <is>
          <t>info@urbita.com</t>
        </is>
      </c>
      <c r="L772" s="38" t="inlineStr">
        <is>
          <t/>
        </is>
      </c>
      <c r="M772" s="39" t="inlineStr">
        <is>
          <t>Pablo Kleinman</t>
        </is>
      </c>
      <c r="N772" s="40" t="inlineStr">
        <is>
          <t>Chief Executive Officer &amp; Co-Founder</t>
        </is>
      </c>
      <c r="O772" s="41" t="inlineStr">
        <is>
          <t/>
        </is>
      </c>
      <c r="P772" s="42" t="inlineStr">
        <is>
          <t/>
        </is>
      </c>
      <c r="Q772" s="43" t="n">
        <v>2011.0</v>
      </c>
      <c r="R772" s="114">
        <f>HYPERLINK("https://my.pitchbook.com?c=57848-95", "View company online")</f>
      </c>
    </row>
    <row r="773">
      <c r="A773" s="9" t="inlineStr">
        <is>
          <t>96849-82</t>
        </is>
      </c>
      <c r="B773" s="10" t="inlineStr">
        <is>
          <t>Urbit</t>
        </is>
      </c>
      <c r="C773" s="11" t="inlineStr">
        <is>
          <t>94114</t>
        </is>
      </c>
      <c r="D773" s="12" t="inlineStr">
        <is>
          <t>Provider of a network operating system. The company provides a new operating system with a new programming language, which treats address space as property of the user.</t>
        </is>
      </c>
      <c r="E773" s="13" t="inlineStr">
        <is>
          <t>Network Management Software</t>
        </is>
      </c>
      <c r="F773" s="14" t="inlineStr">
        <is>
          <t>San Francisco, CA</t>
        </is>
      </c>
      <c r="G773" s="15" t="inlineStr">
        <is>
          <t>Privately Held (backing)</t>
        </is>
      </c>
      <c r="H773" s="16" t="inlineStr">
        <is>
          <t>Venture Capital-Backed</t>
        </is>
      </c>
      <c r="I773" s="17" t="inlineStr">
        <is>
          <t>Alex Morcos, Andreessen Horowitz, Ben Davenport, Founders Fund, Jaan Tallinn, Timothy Draper, ZhenFund</t>
        </is>
      </c>
      <c r="J773" s="18" t="inlineStr">
        <is>
          <t>www.urbit.org</t>
        </is>
      </c>
      <c r="K773" s="19" t="inlineStr">
        <is>
          <t>urbit@urbit.org</t>
        </is>
      </c>
      <c r="L773" s="20" t="inlineStr">
        <is>
          <t/>
        </is>
      </c>
      <c r="M773" s="21" t="inlineStr">
        <is>
          <t>Xanadu Tlon</t>
        </is>
      </c>
      <c r="N773" s="22" t="inlineStr">
        <is>
          <t>Co-Chief Executive Officer</t>
        </is>
      </c>
      <c r="O773" s="23" t="inlineStr">
        <is>
          <t/>
        </is>
      </c>
      <c r="P773" s="24" t="inlineStr">
        <is>
          <t/>
        </is>
      </c>
      <c r="Q773" s="25" t="n">
        <v>2013.0</v>
      </c>
      <c r="R773" s="113">
        <f>HYPERLINK("https://my.pitchbook.com?c=96849-82", "View company online")</f>
      </c>
    </row>
    <row r="774">
      <c r="A774" s="27" t="inlineStr">
        <is>
          <t>53695-54</t>
        </is>
      </c>
      <c r="B774" s="28" t="inlineStr">
        <is>
          <t>UrbanSitter</t>
        </is>
      </c>
      <c r="C774" s="29" t="inlineStr">
        <is>
          <t>94104</t>
        </is>
      </c>
      <c r="D774" s="30" t="inlineStr">
        <is>
          <t>Provider of an online platform to book babysitters. The company offers a platform that enables babysitters to post their credentials and availability and parents to search and book sitters online.</t>
        </is>
      </c>
      <c r="E774" s="31" t="inlineStr">
        <is>
          <t>Social/Platform Software</t>
        </is>
      </c>
      <c r="F774" s="32" t="inlineStr">
        <is>
          <t>San Francisco, CA</t>
        </is>
      </c>
      <c r="G774" s="33" t="inlineStr">
        <is>
          <t>Privately Held (backing)</t>
        </is>
      </c>
      <c r="H774" s="34" t="inlineStr">
        <is>
          <t>Venture Capital-Backed</t>
        </is>
      </c>
      <c r="I774" s="35" t="inlineStr">
        <is>
          <t>A-Grade Investments, Aspect Venture Partners, Canaan Partners, DBL Partners, First Round Capital, Menlo Ventures, Primal Ventures, Russell Siegelman, Rustic Canyon Partners</t>
        </is>
      </c>
      <c r="J774" s="36" t="inlineStr">
        <is>
          <t>www.urbansitter.com</t>
        </is>
      </c>
      <c r="K774" s="37" t="inlineStr">
        <is>
          <t>info@urbansitter.com</t>
        </is>
      </c>
      <c r="L774" s="38" t="inlineStr">
        <is>
          <t>+1 (415) 653-1340</t>
        </is>
      </c>
      <c r="M774" s="39" t="inlineStr">
        <is>
          <t>Lynn Perkins</t>
        </is>
      </c>
      <c r="N774" s="40" t="inlineStr">
        <is>
          <t>Chief Executive Officer, Board Member &amp; Co-Founder</t>
        </is>
      </c>
      <c r="O774" s="41" t="inlineStr">
        <is>
          <t>lynn.perkins@urbansitter.com</t>
        </is>
      </c>
      <c r="P774" s="42" t="inlineStr">
        <is>
          <t>+1 (415) 653-1340</t>
        </is>
      </c>
      <c r="Q774" s="43" t="n">
        <v>2011.0</v>
      </c>
      <c r="R774" s="114">
        <f>HYPERLINK("https://my.pitchbook.com?c=53695-54", "View company online")</f>
      </c>
    </row>
    <row r="775">
      <c r="A775" s="9" t="inlineStr">
        <is>
          <t>55602-28</t>
        </is>
      </c>
      <c r="B775" s="10" t="inlineStr">
        <is>
          <t>Urban Remedy</t>
        </is>
      </c>
      <c r="C775" s="11" t="inlineStr">
        <is>
          <t>90401</t>
        </is>
      </c>
      <c r="D775" s="12" t="inlineStr">
        <is>
          <t>Provider of pressed juice and nutrition-based drinks, snacks and meals. The company operates retail stores as well as offers online retail of ready-to-eat meals, snacks and cold pressed juices which are organic, non-GMO, gluten free and have low glycemic.</t>
        </is>
      </c>
      <c r="E775" s="13" t="inlineStr">
        <is>
          <t>Beverages</t>
        </is>
      </c>
      <c r="F775" s="14" t="inlineStr">
        <is>
          <t>Santa Monica, CA</t>
        </is>
      </c>
      <c r="G775" s="15" t="inlineStr">
        <is>
          <t>Privately Held (backing)</t>
        </is>
      </c>
      <c r="H775" s="16" t="inlineStr">
        <is>
          <t>Venture Capital-Backed</t>
        </is>
      </c>
      <c r="I775" s="17" t="inlineStr">
        <is>
          <t>Mike Jones, Mindfull Investors, Obvious Ventures, Science, Slow Ventures, Stoneway Capital, Venture51</t>
        </is>
      </c>
      <c r="J775" s="18" t="inlineStr">
        <is>
          <t>www.urbanremedy.com</t>
        </is>
      </c>
      <c r="K775" s="19" t="inlineStr">
        <is>
          <t>connect@urbanremedy.com</t>
        </is>
      </c>
      <c r="L775" s="20" t="inlineStr">
        <is>
          <t>+1 (855) 875-8423</t>
        </is>
      </c>
      <c r="M775" s="21" t="inlineStr">
        <is>
          <t>Neka Pasquale</t>
        </is>
      </c>
      <c r="N775" s="22" t="inlineStr">
        <is>
          <t>Founder, Co-Chief Executive Officer and President</t>
        </is>
      </c>
      <c r="O775" s="23" t="inlineStr">
        <is>
          <t>neka@urbanremedy.com</t>
        </is>
      </c>
      <c r="P775" s="24" t="inlineStr">
        <is>
          <t>+1 (855) 875-8423</t>
        </is>
      </c>
      <c r="Q775" s="25" t="n">
        <v>2010.0</v>
      </c>
      <c r="R775" s="113">
        <f>HYPERLINK("https://my.pitchbook.com?c=55602-28", "View company online")</f>
      </c>
    </row>
    <row r="776">
      <c r="A776" s="27" t="inlineStr">
        <is>
          <t>55759-87</t>
        </is>
      </c>
      <c r="B776" s="28" t="inlineStr">
        <is>
          <t>Urban FT</t>
        </is>
      </c>
      <c r="C776" s="29" t="inlineStr">
        <is>
          <t>10004</t>
        </is>
      </c>
      <c r="D776" s="30" t="inlineStr">
        <is>
          <t>Provider of digital banking platform designed to enhance digital banking services for customers of financial institutions. The company's digital banking platform enables financial institutions with advanced analytics and the ability to push targeted deals and allows customers to manage their finances and discover venues and deals.</t>
        </is>
      </c>
      <c r="E776" s="31" t="inlineStr">
        <is>
          <t>Financial Software</t>
        </is>
      </c>
      <c r="F776" s="32" t="inlineStr">
        <is>
          <t>New York, NY</t>
        </is>
      </c>
      <c r="G776" s="33" t="inlineStr">
        <is>
          <t>Privately Held (backing)</t>
        </is>
      </c>
      <c r="H776" s="34" t="inlineStr">
        <is>
          <t>Venture Capital-Backed</t>
        </is>
      </c>
      <c r="I776" s="35" t="inlineStr">
        <is>
          <t/>
        </is>
      </c>
      <c r="J776" s="36" t="inlineStr">
        <is>
          <t>www.urbanft.com</t>
        </is>
      </c>
      <c r="K776" s="37" t="inlineStr">
        <is>
          <t>contact@urbanft.com</t>
        </is>
      </c>
      <c r="L776" s="38" t="inlineStr">
        <is>
          <t>+1 (646) 661-1330</t>
        </is>
      </c>
      <c r="M776" s="39" t="inlineStr">
        <is>
          <t>Richard Steggall</t>
        </is>
      </c>
      <c r="N776" s="40" t="inlineStr">
        <is>
          <t>Co-Founder, Chief Executive Officer and Board Member</t>
        </is>
      </c>
      <c r="O776" s="41" t="inlineStr">
        <is>
          <t>richard@urbanft.com</t>
        </is>
      </c>
      <c r="P776" s="42" t="inlineStr">
        <is>
          <t>+1 (646) 661-1330</t>
        </is>
      </c>
      <c r="Q776" s="43" t="n">
        <v>2012.0</v>
      </c>
      <c r="R776" s="114">
        <f>HYPERLINK("https://my.pitchbook.com?c=55759-87", "View company online")</f>
      </c>
    </row>
    <row r="777">
      <c r="A777" s="9" t="inlineStr">
        <is>
          <t>43016-41</t>
        </is>
      </c>
      <c r="B777" s="10" t="inlineStr">
        <is>
          <t>Urban Airship</t>
        </is>
      </c>
      <c r="C777" s="11" t="inlineStr">
        <is>
          <t>97209</t>
        </is>
      </c>
      <c r="D777" s="12" t="inlineStr">
        <is>
          <t>Provider of mobile push messaging software designed to help businesses drive customer growth. The company's push messaging software helps businesses to build relationships with their always-connected customers through services that streamline delivering cross-platform mobile push messages, enabling marketers and developers deliver more than one billion mobile moments that inspire interest and drive action.</t>
        </is>
      </c>
      <c r="E777" s="13" t="inlineStr">
        <is>
          <t>Media and Information Services (B2B)</t>
        </is>
      </c>
      <c r="F777" s="14" t="inlineStr">
        <is>
          <t>Portland, OR</t>
        </is>
      </c>
      <c r="G777" s="15" t="inlineStr">
        <is>
          <t>Privately Held (backing)</t>
        </is>
      </c>
      <c r="H777" s="16" t="inlineStr">
        <is>
          <t>Venture Capital-Backed</t>
        </is>
      </c>
      <c r="I777" s="17" t="inlineStr">
        <is>
          <t>August Capital, Bullpen Capital, Chris DeVore, Christopher Sacca, First Round Capital, Founder's Co-Op, Foundry Group, Franklin Park Associates, Intel Capital, Lowercase Capital, ORIX Growth Capital, Pete Grillo, Portland Incubator Experiment, QuestMark Partners, Rick Webb, Salesforce Ventures, Transmedia Capital, True Ventures, Verizon Ventures</t>
        </is>
      </c>
      <c r="J777" s="18" t="inlineStr">
        <is>
          <t>www.urbanairship.com</t>
        </is>
      </c>
      <c r="K777" s="19" t="inlineStr">
        <is>
          <t>info@urbanairship.com</t>
        </is>
      </c>
      <c r="L777" s="20" t="inlineStr">
        <is>
          <t>+1 (855) 385-3155</t>
        </is>
      </c>
      <c r="M777" s="21" t="inlineStr">
        <is>
          <t>Erin Hintz</t>
        </is>
      </c>
      <c r="N777" s="22" t="inlineStr">
        <is>
          <t>Chief Marketing Officer</t>
        </is>
      </c>
      <c r="O777" s="23" t="inlineStr">
        <is>
          <t>erin.hintz@urbanairship.com</t>
        </is>
      </c>
      <c r="P777" s="24" t="inlineStr">
        <is>
          <t>+1 (855) 385-3155</t>
        </is>
      </c>
      <c r="Q777" s="25" t="n">
        <v>2009.0</v>
      </c>
      <c r="R777" s="113">
        <f>HYPERLINK("https://my.pitchbook.com?c=43016-41", "View company online")</f>
      </c>
    </row>
    <row r="778">
      <c r="A778" s="27" t="inlineStr">
        <is>
          <t>181058-86</t>
        </is>
      </c>
      <c r="B778" s="28" t="inlineStr">
        <is>
          <t>Upwork</t>
        </is>
      </c>
      <c r="C778" s="29" t="inlineStr">
        <is>
          <t>94043</t>
        </is>
      </c>
      <c r="D778" s="30" t="inlineStr">
        <is>
          <t>Provider of freelancing services intended to help independent professionals in finding their perfect projects. The company's freelancing services includes Web development services, mobile development services, designing services, writing services, virtual assistants, customer services, accounting and consulting, enabling its clients with talented freelancers to get the work done at the right time.</t>
        </is>
      </c>
      <c r="E778" s="31" t="inlineStr">
        <is>
          <t>Human Capital Services</t>
        </is>
      </c>
      <c r="F778" s="32" t="inlineStr">
        <is>
          <t>Mountain View, CA</t>
        </is>
      </c>
      <c r="G778" s="33" t="inlineStr">
        <is>
          <t>Privately Held (backing)</t>
        </is>
      </c>
      <c r="H778" s="34" t="inlineStr">
        <is>
          <t>Venture Capital-Backed</t>
        </is>
      </c>
      <c r="I778" s="35" t="inlineStr">
        <is>
          <t>Benchmark Capital, C&amp;T Access Ventures Fund, Cambrian Ventures, CrossBridge Venture Partners, Duff Ackerman &amp; Goodrich, Firstmark, FirstMark Capital, Focus Ventures, GC&amp;H Investments, Globespan Capital Partners, GSV Capital, Industry Ventures, Integral Capital Partners, Jackson Square Ventures, Kennet Partners, Kleiner Perkins Caufield &amp; Byers, Lawrence Lenihan, New Enterprise Associates, Sherpalo Ventures, Sigma Partners, Stripes Group, SV Angel, T. Rowe Price</t>
        </is>
      </c>
      <c r="J778" s="36" t="inlineStr">
        <is>
          <t>www.upwork.com</t>
        </is>
      </c>
      <c r="K778" s="37" t="inlineStr">
        <is>
          <t/>
        </is>
      </c>
      <c r="L778" s="38" t="inlineStr">
        <is>
          <t>+1 (650) 316-7500</t>
        </is>
      </c>
      <c r="M778" s="39" t="inlineStr">
        <is>
          <t>Brian Levey</t>
        </is>
      </c>
      <c r="N778" s="40" t="inlineStr">
        <is>
          <t>Chief Financial Officer &amp; General Counsel</t>
        </is>
      </c>
      <c r="O778" s="41" t="inlineStr">
        <is>
          <t>blevey@upwork.com</t>
        </is>
      </c>
      <c r="P778" s="42" t="inlineStr">
        <is>
          <t>+1 (866) 262-4478</t>
        </is>
      </c>
      <c r="Q778" s="43" t="n">
        <v>2014.0</v>
      </c>
      <c r="R778" s="114">
        <f>HYPERLINK("https://my.pitchbook.com?c=181058-86", "View company online")</f>
      </c>
    </row>
    <row r="779">
      <c r="A779" s="9" t="inlineStr">
        <is>
          <t>54159-49</t>
        </is>
      </c>
      <c r="B779" s="10" t="inlineStr">
        <is>
          <t>UpWest Labs</t>
        </is>
      </c>
      <c r="C779" s="11" t="inlineStr">
        <is>
          <t>94036</t>
        </is>
      </c>
      <c r="D779" s="12" t="inlineStr">
        <is>
          <t>Provider of incubation and acceleration services. The company offers a mentorship-based three month program which provides startups with seed investment and access to a network of customers and capital.</t>
        </is>
      </c>
      <c r="E779" s="13" t="inlineStr">
        <is>
          <t>Other Financial Services</t>
        </is>
      </c>
      <c r="F779" s="14" t="inlineStr">
        <is>
          <t>Palo Alto, CA</t>
        </is>
      </c>
      <c r="G779" s="15" t="inlineStr">
        <is>
          <t>Privately Held (backing)</t>
        </is>
      </c>
      <c r="H779" s="16" t="inlineStr">
        <is>
          <t>Venture Capital-Backed</t>
        </is>
      </c>
      <c r="I779" s="17" t="inlineStr">
        <is>
          <t>Individual Investor, Kaedan Capital, SGVC</t>
        </is>
      </c>
      <c r="J779" s="18" t="inlineStr">
        <is>
          <t>www.upwestlabs.com</t>
        </is>
      </c>
      <c r="K779" s="19" t="inlineStr">
        <is>
          <t>info@upwestlabs.com</t>
        </is>
      </c>
      <c r="L779" s="20" t="inlineStr">
        <is>
          <t/>
        </is>
      </c>
      <c r="M779" s="21" t="inlineStr">
        <is>
          <t>Shuly Galili</t>
        </is>
      </c>
      <c r="N779" s="22" t="inlineStr">
        <is>
          <t>Co-Founder &amp; Partner</t>
        </is>
      </c>
      <c r="O779" s="23" t="inlineStr">
        <is>
          <t>shuly@upwestlabs.com</t>
        </is>
      </c>
      <c r="P779" s="24" t="inlineStr">
        <is>
          <t/>
        </is>
      </c>
      <c r="Q779" s="25" t="n">
        <v>2011.0</v>
      </c>
      <c r="R779" s="113">
        <f>HYPERLINK("https://my.pitchbook.com?c=54159-49", "View company online")</f>
      </c>
    </row>
    <row r="780">
      <c r="A780" s="27" t="inlineStr">
        <is>
          <t>55620-28</t>
        </is>
      </c>
      <c r="B780" s="28" t="inlineStr">
        <is>
          <t>Upthere</t>
        </is>
      </c>
      <c r="C780" s="29" t="inlineStr">
        <is>
          <t>94063</t>
        </is>
      </c>
      <c r="D780" s="30" t="inlineStr">
        <is>
          <t>Provider of a consumer cloud-storage platform. The company's platform builds a full technology stack from the ground up to help consumers keep, find and share important and meaningful content. Its product is available for Android phone, iPhone, Mac, Windows and Web.</t>
        </is>
      </c>
      <c r="E780" s="31" t="inlineStr">
        <is>
          <t>Social/Platform Software</t>
        </is>
      </c>
      <c r="F780" s="32" t="inlineStr">
        <is>
          <t>Redwood City, CA</t>
        </is>
      </c>
      <c r="G780" s="33" t="inlineStr">
        <is>
          <t>Privately Held (backing)</t>
        </is>
      </c>
      <c r="H780" s="34" t="inlineStr">
        <is>
          <t>Venture Capital-Backed</t>
        </is>
      </c>
      <c r="I780" s="35" t="inlineStr">
        <is>
          <t>Dell Technologies Capital, Elevation Partners, Floodgate Fund, GV, Kleiner Perkins Caufield &amp; Byers, NTT Docomo Ventures, Western Digital, Western Digital Capital</t>
        </is>
      </c>
      <c r="J780" s="36" t="inlineStr">
        <is>
          <t>www.upthere.com</t>
        </is>
      </c>
      <c r="K780" s="37" t="inlineStr">
        <is>
          <t>hi@upthere.com</t>
        </is>
      </c>
      <c r="L780" s="38" t="inlineStr">
        <is>
          <t>+1 (650) 561-4580</t>
        </is>
      </c>
      <c r="M780" s="39" t="inlineStr">
        <is>
          <t>Chris Bourdon</t>
        </is>
      </c>
      <c r="N780" s="40" t="inlineStr">
        <is>
          <t>Chief Executive Officer, Vice President of Product &amp; Board Member</t>
        </is>
      </c>
      <c r="O780" s="41" t="inlineStr">
        <is>
          <t>chris@upthere.com</t>
        </is>
      </c>
      <c r="P780" s="42" t="inlineStr">
        <is>
          <t>+1 (650) 561-4580</t>
        </is>
      </c>
      <c r="Q780" s="43" t="n">
        <v>2011.0</v>
      </c>
      <c r="R780" s="114">
        <f>HYPERLINK("https://my.pitchbook.com?c=55620-28", "View company online")</f>
      </c>
    </row>
    <row r="781">
      <c r="A781" s="9" t="inlineStr">
        <is>
          <t>54948-79</t>
        </is>
      </c>
      <c r="B781" s="10" t="inlineStr">
        <is>
          <t>Upstart Network</t>
        </is>
      </c>
      <c r="C781" s="11" t="inlineStr">
        <is>
          <t>94070</t>
        </is>
      </c>
      <c r="D781" s="12" t="inlineStr">
        <is>
          <t>Operator of an online lending marketplace intended to provide personal loans. The company's online lending marketplace offers 3-year and 5-year fixed loans based on signals of customer's potential, including schools attended, area of study, academic performance and work history, enabling customers to pay for a coding bootcamp, eliminate student debt or pay off credit cards.</t>
        </is>
      </c>
      <c r="E781" s="13" t="inlineStr">
        <is>
          <t>Financial Software</t>
        </is>
      </c>
      <c r="F781" s="14" t="inlineStr">
        <is>
          <t>San Carlos, CA</t>
        </is>
      </c>
      <c r="G781" s="15" t="inlineStr">
        <is>
          <t>Privately Held (backing)</t>
        </is>
      </c>
      <c r="H781" s="16" t="inlineStr">
        <is>
          <t>Venture Capital-Backed</t>
        </is>
      </c>
      <c r="I781" s="17" t="inlineStr">
        <is>
          <t>Andrew Palmer, Blue Ivy Ventures, Collaborative Fund, Correlation Ventures, CrunchFund, Eric Schmidt, First Round Capital, Founders Fund, Green D Ventures, GV, Innovation Endeavors, Joe Liemandt, Joshua Kopelman, Khosla Ventures, Kleiner Perkins Caufield &amp; Byers, Koa Labs, Marc Benioff, Mark Cuban, New Enterprise Associates, Rakuten, Scott Banister, Third Point Ventures</t>
        </is>
      </c>
      <c r="J781" s="18" t="inlineStr">
        <is>
          <t>www.upstart.com</t>
        </is>
      </c>
      <c r="K781" s="19" t="inlineStr">
        <is>
          <t>info@upstart.com</t>
        </is>
      </c>
      <c r="L781" s="20" t="inlineStr">
        <is>
          <t>+1 (650) 204-1000</t>
        </is>
      </c>
      <c r="M781" s="21" t="inlineStr">
        <is>
          <t>David Girouard</t>
        </is>
      </c>
      <c r="N781" s="22" t="inlineStr">
        <is>
          <t>Co-Founder &amp; Chief Executive Officer</t>
        </is>
      </c>
      <c r="O781" s="23" t="inlineStr">
        <is>
          <t>dave@upstart.com</t>
        </is>
      </c>
      <c r="P781" s="24" t="inlineStr">
        <is>
          <t>+1 (650) 204-1000</t>
        </is>
      </c>
      <c r="Q781" s="25" t="n">
        <v>2012.0</v>
      </c>
      <c r="R781" s="113">
        <f>HYPERLINK("https://my.pitchbook.com?c=54948-79", "View company online")</f>
      </c>
    </row>
    <row r="782">
      <c r="A782" s="27" t="inlineStr">
        <is>
          <t>152735-50</t>
        </is>
      </c>
      <c r="B782" s="28" t="inlineStr">
        <is>
          <t>Upsight</t>
        </is>
      </c>
      <c r="C782" s="29" t="inlineStr">
        <is>
          <t>94105</t>
        </is>
      </c>
      <c r="D782" s="30" t="inlineStr">
        <is>
          <t>Provider of a business analytics and marketing platform for application developers. The company's platform provides business with key performance indicators and turns them into custom metrics to see what is impacting application performance. The platform also provides a tool through its dashboard enabling developers to share performance data with specific stakeholders.</t>
        </is>
      </c>
      <c r="E782" s="31" t="inlineStr">
        <is>
          <t>Business/Productivity Software</t>
        </is>
      </c>
      <c r="F782" s="32" t="inlineStr">
        <is>
          <t>San Francisco, CA</t>
        </is>
      </c>
      <c r="G782" s="33" t="inlineStr">
        <is>
          <t>Privately Held (backing)</t>
        </is>
      </c>
      <c r="H782" s="34" t="inlineStr">
        <is>
          <t>Venture Capital-Backed</t>
        </is>
      </c>
      <c r="I782" s="35" t="inlineStr">
        <is>
          <t>Altos Ventures, Auren Hoffman, Battery Ventures, e.ventures, Extreme Venture Partners, GGV Capital, Greg Thomson, James Hong, Jameson Hsu, LaunchTime, Maverick Capital, Mike Sego, Morgan Creek Capital Management, Plaza Ventures, Primary Venture Partners, Sand Hill Angels, Tandem Capital, William Lohse</t>
        </is>
      </c>
      <c r="J782" s="36" t="inlineStr">
        <is>
          <t>www.upsight.com</t>
        </is>
      </c>
      <c r="K782" s="37" t="inlineStr">
        <is>
          <t/>
        </is>
      </c>
      <c r="L782" s="38" t="inlineStr">
        <is>
          <t/>
        </is>
      </c>
      <c r="M782" s="39" t="inlineStr">
        <is>
          <t>Jon Walsh</t>
        </is>
      </c>
      <c r="N782" s="40" t="inlineStr">
        <is>
          <t>President</t>
        </is>
      </c>
      <c r="O782" s="41" t="inlineStr">
        <is>
          <t>jon.walsh@upsight.com</t>
        </is>
      </c>
      <c r="P782" s="42" t="inlineStr">
        <is>
          <t/>
        </is>
      </c>
      <c r="Q782" s="43" t="inlineStr">
        <is>
          <t/>
        </is>
      </c>
      <c r="R782" s="114">
        <f>HYPERLINK("https://my.pitchbook.com?c=152735-50", "View company online")</f>
      </c>
    </row>
    <row r="783">
      <c r="A783" s="9" t="inlineStr">
        <is>
          <t>64516-51</t>
        </is>
      </c>
      <c r="B783" s="10" t="inlineStr">
        <is>
          <t>Uproxx Media Group</t>
        </is>
      </c>
      <c r="C783" s="11" t="inlineStr">
        <is>
          <t>90232</t>
        </is>
      </c>
      <c r="D783" s="12" t="inlineStr">
        <is>
          <t>Operator of a male-focused digital media and content company. The company specializes in the production and publishing of male focused online and mobile news, entertainment and lifestyle content. It offers Uproxx for news, sports &amp; culture; Hitfix for entertainment reviews &amp; recaps and BroBible for young men's lifestyle.</t>
        </is>
      </c>
      <c r="E783" s="13" t="inlineStr">
        <is>
          <t>Social Content</t>
        </is>
      </c>
      <c r="F783" s="14" t="inlineStr">
        <is>
          <t>Culver City, CA</t>
        </is>
      </c>
      <c r="G783" s="15" t="inlineStr">
        <is>
          <t>Privately Held (backing)</t>
        </is>
      </c>
      <c r="H783" s="16" t="inlineStr">
        <is>
          <t>Venture Capital-Backed</t>
        </is>
      </c>
      <c r="I783" s="17" t="inlineStr">
        <is>
          <t>Advancit Capital, Baron Davis, Brendan Wallace, Chris DeWolfe, IVP, Jermaine O'Neal, Mike Lazerow, Otter Rock Capital, The San Francisco 49ers, United Talent Agency, WPP Ventures, Ziffren Brittenham LLP</t>
        </is>
      </c>
      <c r="J783" s="18" t="inlineStr">
        <is>
          <t>www.uproxxmediagroup.com</t>
        </is>
      </c>
      <c r="K783" s="19" t="inlineStr">
        <is>
          <t>generalinquiries@woven.com</t>
        </is>
      </c>
      <c r="L783" s="20" t="inlineStr">
        <is>
          <t/>
        </is>
      </c>
      <c r="M783" s="21" t="inlineStr">
        <is>
          <t>Colin Digiaro</t>
        </is>
      </c>
      <c r="N783" s="22" t="inlineStr">
        <is>
          <t>Executive Chairman</t>
        </is>
      </c>
      <c r="O783" s="23" t="inlineStr">
        <is>
          <t>colin@woven.com</t>
        </is>
      </c>
      <c r="P783" s="24" t="inlineStr">
        <is>
          <t/>
        </is>
      </c>
      <c r="Q783" s="25" t="n">
        <v>2010.0</v>
      </c>
      <c r="R783" s="113">
        <f>HYPERLINK("https://my.pitchbook.com?c=64516-51", "View company online")</f>
      </c>
    </row>
    <row r="784">
      <c r="A784" s="27" t="inlineStr">
        <is>
          <t>57062-26</t>
        </is>
      </c>
      <c r="B784" s="28" t="inlineStr">
        <is>
          <t>UpOut</t>
        </is>
      </c>
      <c r="C784" s="29" t="inlineStr">
        <is>
          <t>94107</t>
        </is>
      </c>
      <c r="D784" s="30" t="inlineStr">
        <is>
          <t>Provider of an online event-discovery platform. The company provides information about entertainment events for the underground culture, including happy hours, loft rock concerts, bike parties, masquerades, burlesque and other social events along with an invite-only membership for the users.</t>
        </is>
      </c>
      <c r="E784" s="31" t="inlineStr">
        <is>
          <t>Information Services (B2C)</t>
        </is>
      </c>
      <c r="F784" s="32" t="inlineStr">
        <is>
          <t>San Francisco, CA</t>
        </is>
      </c>
      <c r="G784" s="33" t="inlineStr">
        <is>
          <t>Privately Held (backing)</t>
        </is>
      </c>
      <c r="H784" s="34" t="inlineStr">
        <is>
          <t>Venture Capital-Backed</t>
        </is>
      </c>
      <c r="I784" s="35" t="inlineStr">
        <is>
          <t>Bodley Group, IDG Ventures USA, Michael Liou, North Bay Angels, Sand Hill Angels, Sierra Angels, Tandem Capital, Tsingyuan Ventures</t>
        </is>
      </c>
      <c r="J784" s="36" t="inlineStr">
        <is>
          <t>www.upout.com</t>
        </is>
      </c>
      <c r="K784" s="37" t="inlineStr">
        <is>
          <t>martin@upout.com</t>
        </is>
      </c>
      <c r="L784" s="38" t="inlineStr">
        <is>
          <t/>
        </is>
      </c>
      <c r="M784" s="39" t="inlineStr">
        <is>
          <t>Sam Ho</t>
        </is>
      </c>
      <c r="N784" s="40" t="inlineStr">
        <is>
          <t>Chief Executive Officer</t>
        </is>
      </c>
      <c r="O784" s="41" t="inlineStr">
        <is>
          <t>sam@upout.com</t>
        </is>
      </c>
      <c r="P784" s="42" t="inlineStr">
        <is>
          <t/>
        </is>
      </c>
      <c r="Q784" s="43" t="n">
        <v>2011.0</v>
      </c>
      <c r="R784" s="114">
        <f>HYPERLINK("https://my.pitchbook.com?c=57062-26", "View company online")</f>
      </c>
    </row>
    <row r="785">
      <c r="A785" s="9" t="inlineStr">
        <is>
          <t>117536-77</t>
        </is>
      </c>
      <c r="B785" s="10" t="inlineStr">
        <is>
          <t>Upload</t>
        </is>
      </c>
      <c r="C785" s="11" t="inlineStr">
        <is>
          <t>94103</t>
        </is>
      </c>
      <c r="D785" s="12" t="inlineStr">
        <is>
          <t>Operator of a media platform to provide information related to virtual reality topics. The company offers a platform that publishes virtual reality industry driven events, covers industry news and creates tools to connect the community.</t>
        </is>
      </c>
      <c r="E785" s="13" t="inlineStr">
        <is>
          <t>Information Services (B2C)</t>
        </is>
      </c>
      <c r="F785" s="14" t="inlineStr">
        <is>
          <t>San Francisco, CA</t>
        </is>
      </c>
      <c r="G785" s="15" t="inlineStr">
        <is>
          <t>Privately Held (backing)</t>
        </is>
      </c>
      <c r="H785" s="16" t="inlineStr">
        <is>
          <t>Venture Capital-Backed</t>
        </is>
      </c>
      <c r="I785" s="17" t="inlineStr">
        <is>
          <t>ChinaRock Capital Management, COLOPL, David Chao, General Catalyst Partners, GREE, Greg Castle, Greycroft Partners, Joe Kraus, Julia Popowitz, NetEase, Outpost Capital, Philip Rosedale, Presence Capital, Shanda Group, Sparkland Capital, Sunny Dhillon, Tony Parisi, Unity Ventures, Virtual Reality Investments</t>
        </is>
      </c>
      <c r="J785" s="18" t="inlineStr">
        <is>
          <t>www.uploadvr.com</t>
        </is>
      </c>
      <c r="K785" s="19" t="inlineStr">
        <is>
          <t/>
        </is>
      </c>
      <c r="L785" s="20" t="inlineStr">
        <is>
          <t>+1 (310) 773-7672</t>
        </is>
      </c>
      <c r="M785" s="21" t="inlineStr">
        <is>
          <t>William Mason</t>
        </is>
      </c>
      <c r="N785" s="22" t="inlineStr">
        <is>
          <t>Co-Founder, President &amp; Board Member</t>
        </is>
      </c>
      <c r="O785" s="23" t="inlineStr">
        <is>
          <t>will@uploadvr.com</t>
        </is>
      </c>
      <c r="P785" s="24" t="inlineStr">
        <is>
          <t>+1 (310) 773-7672</t>
        </is>
      </c>
      <c r="Q785" s="25" t="n">
        <v>2015.0</v>
      </c>
      <c r="R785" s="113">
        <f>HYPERLINK("https://my.pitchbook.com?c=117536-77", "View company online")</f>
      </c>
    </row>
    <row r="786">
      <c r="A786" s="27" t="inlineStr">
        <is>
          <t>99445-24</t>
        </is>
      </c>
      <c r="B786" s="28" t="inlineStr">
        <is>
          <t>UpLift</t>
        </is>
      </c>
      <c r="C786" s="29" t="inlineStr">
        <is>
          <t>94085</t>
        </is>
      </c>
      <c r="D786" s="30" t="inlineStr">
        <is>
          <t>Developer of a payment marketing platform designed to facilitate payment patters. The company's payment marketing platform empowers large online merchants to promote preferred payment types, drive acquisition and increased usage of merchant co-branded cards, build brand loyalty and propel channel shift, enabling travel and e-commerce industries build merchant brand affinity and create long-lasting customer and donor relationships.</t>
        </is>
      </c>
      <c r="E786" s="31" t="inlineStr">
        <is>
          <t>Media and Information Services (B2B)</t>
        </is>
      </c>
      <c r="F786" s="32" t="inlineStr">
        <is>
          <t>Sunnyvale, CA</t>
        </is>
      </c>
      <c r="G786" s="33" t="inlineStr">
        <is>
          <t>Privately Held (backing)</t>
        </is>
      </c>
      <c r="H786" s="34" t="inlineStr">
        <is>
          <t>Venture Capital-Backed</t>
        </is>
      </c>
      <c r="I786" s="35" t="inlineStr">
        <is>
          <t>IDG Ventures USA, Individual Investor, LaunchCapital, PAR Capital Management, Thayer Ventures</t>
        </is>
      </c>
      <c r="J786" s="36" t="inlineStr">
        <is>
          <t>www.uplift.com</t>
        </is>
      </c>
      <c r="K786" s="37" t="inlineStr">
        <is>
          <t>info@uplift.com</t>
        </is>
      </c>
      <c r="L786" s="38" t="inlineStr">
        <is>
          <t>+1 (408) 524-3000</t>
        </is>
      </c>
      <c r="M786" s="39" t="inlineStr">
        <is>
          <t>Brian Barth</t>
        </is>
      </c>
      <c r="N786" s="40" t="inlineStr">
        <is>
          <t>Co-Founder, Chief Executive Officer &amp; Board Member</t>
        </is>
      </c>
      <c r="O786" s="41" t="inlineStr">
        <is>
          <t>bbarth@uplift.com</t>
        </is>
      </c>
      <c r="P786" s="42" t="inlineStr">
        <is>
          <t>+1 (408) 524-3000</t>
        </is>
      </c>
      <c r="Q786" s="43" t="n">
        <v>2013.0</v>
      </c>
      <c r="R786" s="114">
        <f>HYPERLINK("https://my.pitchbook.com?c=99445-24", "View company online")</f>
      </c>
    </row>
    <row r="787">
      <c r="A787" s="9" t="inlineStr">
        <is>
          <t>155877-58</t>
        </is>
      </c>
      <c r="B787" s="10" t="inlineStr">
        <is>
          <t>UpLabs</t>
        </is>
      </c>
      <c r="C787" s="11" t="inlineStr">
        <is>
          <t/>
        </is>
      </c>
      <c r="D787" s="12" t="inlineStr">
        <is>
          <t>Provider of an online platform for application development. The company provides an online platform for designers and developers to find and share resources to build apps and sites.</t>
        </is>
      </c>
      <c r="E787" s="13" t="inlineStr">
        <is>
          <t>Application Software</t>
        </is>
      </c>
      <c r="F787" s="14" t="inlineStr">
        <is>
          <t>Mountain View, CA</t>
        </is>
      </c>
      <c r="G787" s="15" t="inlineStr">
        <is>
          <t>Privately Held (backing)</t>
        </is>
      </c>
      <c r="H787" s="16" t="inlineStr">
        <is>
          <t>Venture Capital-Backed</t>
        </is>
      </c>
      <c r="I787" s="17" t="inlineStr">
        <is>
          <t>Sparkland Capital, Y Combinator, Zillionize</t>
        </is>
      </c>
      <c r="J787" s="18" t="inlineStr">
        <is>
          <t>www.uplabs.com</t>
        </is>
      </c>
      <c r="K787" s="19" t="inlineStr">
        <is>
          <t/>
        </is>
      </c>
      <c r="L787" s="20" t="inlineStr">
        <is>
          <t/>
        </is>
      </c>
      <c r="M787" s="21" t="inlineStr">
        <is>
          <t>Guillemette Dejean</t>
        </is>
      </c>
      <c r="N787" s="22" t="inlineStr">
        <is>
          <t>Co-Founder &amp; Communications Manager</t>
        </is>
      </c>
      <c r="O787" s="23" t="inlineStr">
        <is>
          <t/>
        </is>
      </c>
      <c r="P787" s="24" t="inlineStr">
        <is>
          <t/>
        </is>
      </c>
      <c r="Q787" s="25" t="n">
        <v>2014.0</v>
      </c>
      <c r="R787" s="113">
        <f>HYPERLINK("https://my.pitchbook.com?c=155877-58", "View company online")</f>
      </c>
    </row>
    <row r="788">
      <c r="A788" s="27" t="inlineStr">
        <is>
          <t>113726-98</t>
        </is>
      </c>
      <c r="B788" s="28" t="inlineStr">
        <is>
          <t>UpKeep Maintenance Management</t>
        </is>
      </c>
      <c r="C788" s="29" t="inlineStr">
        <is>
          <t/>
        </is>
      </c>
      <c r="D788" s="30" t="inlineStr">
        <is>
          <t>Developer of an enterprise asset and maintenance management created for managing work orders in manufacturing on mobile devices. The company's maintenance management software UpKeep, stores, maintains and monitors work orders, inventory, reports, costs and view reports and also facilitates seamless communication within teams for creating new inventory requests, enabling maintenance technicians and managers to speed up the maintenance work order process, increase visibility, enhance productivity and save money and time.</t>
        </is>
      </c>
      <c r="E788" s="31" t="inlineStr">
        <is>
          <t>Business/Productivity Software</t>
        </is>
      </c>
      <c r="F788" s="32" t="inlineStr">
        <is>
          <t>Los Angeles, CA</t>
        </is>
      </c>
      <c r="G788" s="33" t="inlineStr">
        <is>
          <t>Privately Held (backing)</t>
        </is>
      </c>
      <c r="H788" s="34" t="inlineStr">
        <is>
          <t>Venture Capital-Backed</t>
        </is>
      </c>
      <c r="I788" s="35" t="inlineStr">
        <is>
          <t>FundersClub, Y Combinator</t>
        </is>
      </c>
      <c r="J788" s="36" t="inlineStr">
        <is>
          <t>www.onupkeep.com</t>
        </is>
      </c>
      <c r="K788" s="37" t="inlineStr">
        <is>
          <t>info@onupkeep.com</t>
        </is>
      </c>
      <c r="L788" s="38" t="inlineStr">
        <is>
          <t>+1 (818) 448-3128</t>
        </is>
      </c>
      <c r="M788" s="39" t="inlineStr">
        <is>
          <t>Ryan Chan</t>
        </is>
      </c>
      <c r="N788" s="40" t="inlineStr">
        <is>
          <t>Founder &amp; Chief Executive Officer</t>
        </is>
      </c>
      <c r="O788" s="41" t="inlineStr">
        <is>
          <t>ryanc@onupkeep.com</t>
        </is>
      </c>
      <c r="P788" s="42" t="inlineStr">
        <is>
          <t>+1 (323) 510-7268</t>
        </is>
      </c>
      <c r="Q788" s="43" t="n">
        <v>2014.0</v>
      </c>
      <c r="R788" s="114">
        <f>HYPERLINK("https://my.pitchbook.com?c=113726-98", "View company online")</f>
      </c>
    </row>
    <row r="789">
      <c r="A789" s="9" t="inlineStr">
        <is>
          <t>54869-86</t>
        </is>
      </c>
      <c r="B789" s="10" t="inlineStr">
        <is>
          <t>UpGuard</t>
        </is>
      </c>
      <c r="C789" s="11" t="inlineStr">
        <is>
          <t>94104</t>
        </is>
      </c>
      <c r="D789" s="12" t="inlineStr">
        <is>
          <t>Provider of a digital resilience platform. The company provides a software that certifies configurations of applications hosted internally or externally, allowing companies to test complex system configurations and share them across internal teams.</t>
        </is>
      </c>
      <c r="E789" s="13" t="inlineStr">
        <is>
          <t>Social/Platform Software</t>
        </is>
      </c>
      <c r="F789" s="14" t="inlineStr">
        <is>
          <t>San Francisco, CA</t>
        </is>
      </c>
      <c r="G789" s="15" t="inlineStr">
        <is>
          <t>Privately Held (backing)</t>
        </is>
      </c>
      <c r="H789" s="16" t="inlineStr">
        <is>
          <t>Venture Capital-Backed</t>
        </is>
      </c>
      <c r="I789" s="17" t="inlineStr">
        <is>
          <t>500 Startups, Alan Jones, Anthony Marcar, Ashley Fontana, August Capital, Citrix Startup Accelerator, Insurance Australia Group, Larry Marshall, Mark Jung, Pelion Venture Partners, Scott Petry, Square Peg Capital, Starfish Ventures, Startmate, Valar Ventures</t>
        </is>
      </c>
      <c r="J789" s="18" t="inlineStr">
        <is>
          <t>www.upguard.com</t>
        </is>
      </c>
      <c r="K789" s="19" t="inlineStr">
        <is>
          <t>hello@scriptrock.com</t>
        </is>
      </c>
      <c r="L789" s="20" t="inlineStr">
        <is>
          <t>+1 (888) 882-3223</t>
        </is>
      </c>
      <c r="M789" s="21" t="inlineStr">
        <is>
          <t>Michael Baukes</t>
        </is>
      </c>
      <c r="N789" s="22" t="inlineStr">
        <is>
          <t>Co-Founder, Board Member &amp; Co-Chief Executive Officer</t>
        </is>
      </c>
      <c r="O789" s="23" t="inlineStr">
        <is>
          <t>mike@scriptrock.com</t>
        </is>
      </c>
      <c r="P789" s="24" t="inlineStr">
        <is>
          <t>+1 (888) 882-3223</t>
        </is>
      </c>
      <c r="Q789" s="25" t="n">
        <v>2012.0</v>
      </c>
      <c r="R789" s="113">
        <f>HYPERLINK("https://my.pitchbook.com?c=54869-86", "View company online")</f>
      </c>
    </row>
    <row r="790">
      <c r="A790" s="27" t="inlineStr">
        <is>
          <t>179520-76</t>
        </is>
      </c>
      <c r="B790" s="28" t="inlineStr">
        <is>
          <t>Upgrade (US)</t>
        </is>
      </c>
      <c r="C790" s="29" t="inlineStr">
        <is>
          <t>94104</t>
        </is>
      </c>
      <c r="D790" s="30" t="inlineStr">
        <is>
          <t>Provider of marketing tools intended to help users in understanding and improving their credit score. The company's marketing tools through an online platform, enables the clients to check their credit rate, choose the optimum offer and accept or deposit any loan.</t>
        </is>
      </c>
      <c r="E790" s="31" t="inlineStr">
        <is>
          <t>Other Financial Services</t>
        </is>
      </c>
      <c r="F790" s="32" t="inlineStr">
        <is>
          <t>San Francisco, CA</t>
        </is>
      </c>
      <c r="G790" s="33" t="inlineStr">
        <is>
          <t>Privately Held (backing)</t>
        </is>
      </c>
      <c r="H790" s="34" t="inlineStr">
        <is>
          <t>Venture Capital-Backed</t>
        </is>
      </c>
      <c r="I790" s="35" t="inlineStr">
        <is>
          <t>CreditEase, FirstMark Capital, Noah Holdings, Ribbit Capital, Sands Capital Ventures, Silicon Valley Bank, Union Square Ventures, Uprising, Vy Capital, Yuri Milner</t>
        </is>
      </c>
      <c r="J790" s="36" t="inlineStr">
        <is>
          <t>www.upgrade.com</t>
        </is>
      </c>
      <c r="K790" s="37" t="inlineStr">
        <is>
          <t>contact@upgrade.com</t>
        </is>
      </c>
      <c r="L790" s="38" t="inlineStr">
        <is>
          <t/>
        </is>
      </c>
      <c r="M790" s="39" t="inlineStr">
        <is>
          <t>Renaud Laplanche</t>
        </is>
      </c>
      <c r="N790" s="40" t="inlineStr">
        <is>
          <t>Co-Founder &amp; Chief Executive Officer</t>
        </is>
      </c>
      <c r="O790" s="41" t="inlineStr">
        <is>
          <t>renaud.laplanche@upgrade.com</t>
        </is>
      </c>
      <c r="P790" s="42" t="inlineStr">
        <is>
          <t/>
        </is>
      </c>
      <c r="Q790" s="43" t="n">
        <v>2016.0</v>
      </c>
      <c r="R790" s="114">
        <f>HYPERLINK("https://my.pitchbook.com?c=179520-76", "View company online")</f>
      </c>
    </row>
    <row r="791">
      <c r="A791" s="9" t="inlineStr">
        <is>
          <t>59262-58</t>
        </is>
      </c>
      <c r="B791" s="10" t="inlineStr">
        <is>
          <t>UpCounsel</t>
        </is>
      </c>
      <c r="C791" s="11" t="inlineStr">
        <is>
          <t>94104</t>
        </is>
      </c>
      <c r="D791" s="12" t="inlineStr">
        <is>
          <t>Provider of an online workplace for businesses to find, hire and work with legal attorneys. The company provides a marketplace for large and small businesses to access a community of independent lawyers for legal needs.</t>
        </is>
      </c>
      <c r="E791" s="13" t="inlineStr">
        <is>
          <t>Legal Services (B2B)</t>
        </is>
      </c>
      <c r="F791" s="14" t="inlineStr">
        <is>
          <t>San Francisco, CA</t>
        </is>
      </c>
      <c r="G791" s="15" t="inlineStr">
        <is>
          <t>Privately Held (backing)</t>
        </is>
      </c>
      <c r="H791" s="16" t="inlineStr">
        <is>
          <t>Venture Capital-Backed</t>
        </is>
      </c>
      <c r="I791" s="17" t="inlineStr">
        <is>
          <t>Adam Sharp, AngelPad, Anthony Marlowe, Barbara Corcoran Venture Partners, Ben Pouladian, BluePointe Ventures, Bobby Yazdani, Collaborative Fund, Compound Ventures, Cota Capital, Crosslink Capital, Dan Rose, FundersClub, Haroon Mokhtarzada, Homebrew, Idris Mokhtarzada, Iowa City Capital Partners, Jared Kopf, Johnny Goodman, Joshua Baer, Justin Darcy, Menlo Ventures, Noosheen Hashemi, Paul Holliman, RONA Holdings, Shawn V. Gruver, Signatures Capital, Streamlined Ventures, SV Angel, Thomas Korte, Ullas Naik, ZenStone Venture Capital</t>
        </is>
      </c>
      <c r="J791" s="18" t="inlineStr">
        <is>
          <t>www.upcounsel.com</t>
        </is>
      </c>
      <c r="K791" s="19" t="inlineStr">
        <is>
          <t>info@upcounsel.com</t>
        </is>
      </c>
      <c r="L791" s="20" t="inlineStr">
        <is>
          <t>+1 (888) 981-7449</t>
        </is>
      </c>
      <c r="M791" s="21" t="inlineStr">
        <is>
          <t>Matthew Faustman</t>
        </is>
      </c>
      <c r="N791" s="22" t="inlineStr">
        <is>
          <t>Chief Executive Officer &amp; Co-Founder</t>
        </is>
      </c>
      <c r="O791" s="23" t="inlineStr">
        <is>
          <t>matt@upcounsel.com</t>
        </is>
      </c>
      <c r="P791" s="24" t="inlineStr">
        <is>
          <t>+1 (888) 981-7449</t>
        </is>
      </c>
      <c r="Q791" s="25" t="n">
        <v>2012.0</v>
      </c>
      <c r="R791" s="113">
        <f>HYPERLINK("https://my.pitchbook.com?c=59262-58", "View company online")</f>
      </c>
    </row>
    <row r="792">
      <c r="A792" s="27" t="inlineStr">
        <is>
          <t>168664-33</t>
        </is>
      </c>
      <c r="B792" s="28" t="inlineStr">
        <is>
          <t>Upbeat</t>
        </is>
      </c>
      <c r="C792" s="29" t="inlineStr">
        <is>
          <t>94103</t>
        </is>
      </c>
      <c r="D792" s="30" t="inlineStr">
        <is>
          <t>Provider of public relation services designed to offer accountability advice. The company's public relation services include services from public relation experts who guides the media outreach process, as well as offers real-time analytics on dashboard for all media outreach efforts, enabling clients to launch outreach campaigns.</t>
        </is>
      </c>
      <c r="E792" s="31" t="inlineStr">
        <is>
          <t>Social/Platform Software</t>
        </is>
      </c>
      <c r="F792" s="32" t="inlineStr">
        <is>
          <t>San Francisco, CA</t>
        </is>
      </c>
      <c r="G792" s="33" t="inlineStr">
        <is>
          <t>Privately Held (backing)</t>
        </is>
      </c>
      <c r="H792" s="34" t="inlineStr">
        <is>
          <t>Venture Capital-Backed</t>
        </is>
      </c>
      <c r="I792" s="35" t="inlineStr">
        <is>
          <t>500 Startups, Charles River Ventures, Draper Associates, Esther Dyson, Firstrock Capital, Kleiner Perkins Caufield &amp; Byers, Maverick Capital, Maverick Ventures (San Francisco), Philip Kaplan, Quest Venture Partners, Stanford StartX, StartX, SV Angel, UpHonest Capital, Y Combinator</t>
        </is>
      </c>
      <c r="J792" s="36" t="inlineStr">
        <is>
          <t>www.upbeatpr.com</t>
        </is>
      </c>
      <c r="K792" s="37" t="inlineStr">
        <is>
          <t/>
        </is>
      </c>
      <c r="L792" s="38" t="inlineStr">
        <is>
          <t>+1 (888) 944-9466</t>
        </is>
      </c>
      <c r="M792" s="39" t="inlineStr">
        <is>
          <t>Ricky Yean</t>
        </is>
      </c>
      <c r="N792" s="40" t="inlineStr">
        <is>
          <t>Co-Founder &amp; Chief Executive Officer</t>
        </is>
      </c>
      <c r="O792" s="41" t="inlineStr">
        <is>
          <t>ryean@prx.co</t>
        </is>
      </c>
      <c r="P792" s="42" t="inlineStr">
        <is>
          <t>+1 (888) 944-9466</t>
        </is>
      </c>
      <c r="Q792" s="43" t="inlineStr">
        <is>
          <t/>
        </is>
      </c>
      <c r="R792" s="114">
        <f>HYPERLINK("https://my.pitchbook.com?c=168664-33", "View company online")</f>
      </c>
    </row>
    <row r="793">
      <c r="A793" s="9" t="inlineStr">
        <is>
          <t>56881-36</t>
        </is>
      </c>
      <c r="B793" s="10" t="inlineStr">
        <is>
          <t>uParts</t>
        </is>
      </c>
      <c r="C793" s="11" t="inlineStr">
        <is>
          <t>92618</t>
        </is>
      </c>
      <c r="D793" s="12" t="inlineStr">
        <is>
          <t>Provider of an electronic parts procurement platform. The company's cloud-based platform enables repair shops and insurance carriers to obtain part information, communicate with suppliers and procure auto parts.</t>
        </is>
      </c>
      <c r="E793" s="13" t="inlineStr">
        <is>
          <t>Social/Platform Software</t>
        </is>
      </c>
      <c r="F793" s="14" t="inlineStr">
        <is>
          <t>Irvine, CA</t>
        </is>
      </c>
      <c r="G793" s="15" t="inlineStr">
        <is>
          <t>Privately Held (backing)</t>
        </is>
      </c>
      <c r="H793" s="16" t="inlineStr">
        <is>
          <t>Venture Capital-Backed</t>
        </is>
      </c>
      <c r="I793" s="17" t="inlineStr">
        <is>
          <t>Kamran Pourzanjani, Upfront Ventures</t>
        </is>
      </c>
      <c r="J793" s="18" t="inlineStr">
        <is>
          <t>www.uparts.com</t>
        </is>
      </c>
      <c r="K793" s="19" t="inlineStr">
        <is>
          <t>info@uparts.com</t>
        </is>
      </c>
      <c r="L793" s="20" t="inlineStr">
        <is>
          <t>+1 (310) 657-3000</t>
        </is>
      </c>
      <c r="M793" s="21" t="inlineStr">
        <is>
          <t>Alexander Adegan</t>
        </is>
      </c>
      <c r="N793" s="22" t="inlineStr">
        <is>
          <t>Founder, Chief Executive Officer and President</t>
        </is>
      </c>
      <c r="O793" s="23" t="inlineStr">
        <is>
          <t>alexander@uparts.com</t>
        </is>
      </c>
      <c r="P793" s="24" t="inlineStr">
        <is>
          <t>+1 (310) 657-3000</t>
        </is>
      </c>
      <c r="Q793" s="25" t="n">
        <v>2009.0</v>
      </c>
      <c r="R793" s="113">
        <f>HYPERLINK("https://my.pitchbook.com?c=56881-36", "View company online")</f>
      </c>
    </row>
    <row r="794">
      <c r="A794" s="27" t="inlineStr">
        <is>
          <t>64320-49</t>
        </is>
      </c>
      <c r="B794" s="28" t="inlineStr">
        <is>
          <t>Unyq</t>
        </is>
      </c>
      <c r="C794" s="29" t="inlineStr">
        <is>
          <t>94111</t>
        </is>
      </c>
      <c r="D794" s="30" t="inlineStr">
        <is>
          <t>Developer of prosthetic covers designed to restore body symmetry. The company's prosthetic covers are customized with 3D prints and different color combinations, enabling amputees to access stylish life enhancing devices.</t>
        </is>
      </c>
      <c r="E794" s="31" t="inlineStr">
        <is>
          <t>Other Devices and Supplies</t>
        </is>
      </c>
      <c r="F794" s="32" t="inlineStr">
        <is>
          <t>San Francisco, CA</t>
        </is>
      </c>
      <c r="G794" s="33" t="inlineStr">
        <is>
          <t>Privately Held (backing)</t>
        </is>
      </c>
      <c r="H794" s="34" t="inlineStr">
        <is>
          <t>Venture Capital-Backed</t>
        </is>
      </c>
      <c r="I794" s="35" t="inlineStr">
        <is>
          <t>Anthony Guilder, Bob Bradley, Center for Translation of Rehabilitation Engineering Advances and Technology, Foundation for Physical Therapy, Graph Ventures, HealthTech Capital, Jim Wirth, Justin Dorfman, New England Pediatric Device Consortium, Pediatric Orthopaedic Society of North America, Robert Dorfman, Seedchange</t>
        </is>
      </c>
      <c r="J794" s="36" t="inlineStr">
        <is>
          <t>www.unyq.com</t>
        </is>
      </c>
      <c r="K794" s="37" t="inlineStr">
        <is>
          <t>hello@unyq.com</t>
        </is>
      </c>
      <c r="L794" s="38" t="inlineStr">
        <is>
          <t>+1 (866) 286-9773</t>
        </is>
      </c>
      <c r="M794" s="39" t="inlineStr">
        <is>
          <t>Eythor Bender</t>
        </is>
      </c>
      <c r="N794" s="40" t="inlineStr">
        <is>
          <t>Chief Executive Officer &amp; Co-Founder</t>
        </is>
      </c>
      <c r="O794" s="41" t="inlineStr">
        <is>
          <t>eythor@unyq.com</t>
        </is>
      </c>
      <c r="P794" s="42" t="inlineStr">
        <is>
          <t>+1 (866) 286-9773</t>
        </is>
      </c>
      <c r="Q794" s="43" t="n">
        <v>2014.0</v>
      </c>
      <c r="R794" s="114">
        <f>HYPERLINK("https://my.pitchbook.com?c=64320-49", "View company online")</f>
      </c>
    </row>
    <row r="795">
      <c r="A795" s="9" t="inlineStr">
        <is>
          <t>118961-65</t>
        </is>
      </c>
      <c r="B795" s="10" t="inlineStr">
        <is>
          <t>Unsugarcoat Media</t>
        </is>
      </c>
      <c r="C795" s="11" t="inlineStr">
        <is>
          <t>94402</t>
        </is>
      </c>
      <c r="D795" s="12" t="inlineStr">
        <is>
          <t>The company is currently operating in stealth mode.</t>
        </is>
      </c>
      <c r="E795" s="13" t="inlineStr">
        <is>
          <t>Other Business Products and Services</t>
        </is>
      </c>
      <c r="F795" s="14" t="inlineStr">
        <is>
          <t>San Mateo, CA</t>
        </is>
      </c>
      <c r="G795" s="15" t="inlineStr">
        <is>
          <t>Privately Held (backing)</t>
        </is>
      </c>
      <c r="H795" s="16" t="inlineStr">
        <is>
          <t>Venture Capital-Backed</t>
        </is>
      </c>
      <c r="I795" s="17" t="inlineStr">
        <is>
          <t/>
        </is>
      </c>
      <c r="J795" s="18" t="inlineStr">
        <is>
          <t>www.unsugarcoat.com</t>
        </is>
      </c>
      <c r="K795" s="19" t="inlineStr">
        <is>
          <t/>
        </is>
      </c>
      <c r="L795" s="20" t="inlineStr">
        <is>
          <t>+1 (310) 909-3493</t>
        </is>
      </c>
      <c r="M795" s="21" t="inlineStr">
        <is>
          <t>Sunil Rajaraman</t>
        </is>
      </c>
      <c r="N795" s="22" t="inlineStr">
        <is>
          <t>Co-Founder &amp; Chief Executive Officer</t>
        </is>
      </c>
      <c r="O795" s="23" t="inlineStr">
        <is>
          <t/>
        </is>
      </c>
      <c r="P795" s="24" t="inlineStr">
        <is>
          <t/>
        </is>
      </c>
      <c r="Q795" s="25" t="n">
        <v>2015.0</v>
      </c>
      <c r="R795" s="113">
        <f>HYPERLINK("https://my.pitchbook.com?c=118961-65", "View company online")</f>
      </c>
    </row>
    <row r="796">
      <c r="A796" s="27" t="inlineStr">
        <is>
          <t>102790-00</t>
        </is>
      </c>
      <c r="B796" s="28" t="inlineStr">
        <is>
          <t>UnSpun</t>
        </is>
      </c>
      <c r="C796" s="29" t="inlineStr">
        <is>
          <t>94301</t>
        </is>
      </c>
      <c r="D796" s="30" t="inlineStr">
        <is>
          <t>Developer of textile product producing technologies. The company's textile product producing technologies use additive manufacturing, robotic controls and polymer synthesis to reinvent soft goods.</t>
        </is>
      </c>
      <c r="E796" s="31" t="inlineStr">
        <is>
          <t>Synthetic Textiles</t>
        </is>
      </c>
      <c r="F796" s="32" t="inlineStr">
        <is>
          <t>Palo Alto, CA</t>
        </is>
      </c>
      <c r="G796" s="33" t="inlineStr">
        <is>
          <t>Privately Held (backing)</t>
        </is>
      </c>
      <c r="H796" s="34" t="inlineStr">
        <is>
          <t>Venture Capital-Backed</t>
        </is>
      </c>
      <c r="I796" s="35" t="inlineStr">
        <is>
          <t>Highland Capital Partners</t>
        </is>
      </c>
      <c r="J796" s="36" t="inlineStr">
        <is>
          <t>www.unspuntech.com</t>
        </is>
      </c>
      <c r="K796" s="37" t="inlineStr">
        <is>
          <t/>
        </is>
      </c>
      <c r="L796" s="38" t="inlineStr">
        <is>
          <t/>
        </is>
      </c>
      <c r="M796" s="39" t="inlineStr">
        <is>
          <t>Elizabeth Esponnette</t>
        </is>
      </c>
      <c r="N796" s="40" t="inlineStr">
        <is>
          <t>Co-Founder</t>
        </is>
      </c>
      <c r="O796" s="41" t="inlineStr">
        <is>
          <t>beth@unspuntech.com</t>
        </is>
      </c>
      <c r="P796" s="42" t="inlineStr">
        <is>
          <t/>
        </is>
      </c>
      <c r="Q796" s="43" t="n">
        <v>2015.0</v>
      </c>
      <c r="R796" s="114">
        <f>HYPERLINK("https://my.pitchbook.com?c=102790-00", "View company online")</f>
      </c>
    </row>
    <row r="797">
      <c r="A797" s="9" t="inlineStr">
        <is>
          <t>52213-96</t>
        </is>
      </c>
      <c r="B797" s="10" t="inlineStr">
        <is>
          <t>Unsocial</t>
        </is>
      </c>
      <c r="C797" s="11" t="inlineStr">
        <is>
          <t>91361</t>
        </is>
      </c>
      <c r="D797" s="12" t="inlineStr">
        <is>
          <t>Developer of a mobile software which helps in connecting professionals. The company develops an application which connects new people at business events like conferences and tradeshows and provides secure mobile communications for voice, video and data between mobile devices.</t>
        </is>
      </c>
      <c r="E797" s="13" t="inlineStr">
        <is>
          <t>Communication Software</t>
        </is>
      </c>
      <c r="F797" s="14" t="inlineStr">
        <is>
          <t>Thousand Oaks, CA</t>
        </is>
      </c>
      <c r="G797" s="15" t="inlineStr">
        <is>
          <t>Privately Held (backing)</t>
        </is>
      </c>
      <c r="H797" s="16" t="inlineStr">
        <is>
          <t>Venture Capital-Backed</t>
        </is>
      </c>
      <c r="I797" s="17" t="inlineStr">
        <is>
          <t>Individual Investor</t>
        </is>
      </c>
      <c r="J797" s="18" t="inlineStr">
        <is>
          <t>www.unsocialinc.com</t>
        </is>
      </c>
      <c r="K797" s="19" t="inlineStr">
        <is>
          <t>info@unsocialinc.com</t>
        </is>
      </c>
      <c r="L797" s="20" t="inlineStr">
        <is>
          <t>+1 (855) 232-9627</t>
        </is>
      </c>
      <c r="M797" s="21" t="inlineStr">
        <is>
          <t>Bruce Brown</t>
        </is>
      </c>
      <c r="N797" s="22" t="inlineStr">
        <is>
          <t>Co-Founder , Chairman and Chief Executive Officer</t>
        </is>
      </c>
      <c r="O797" s="23" t="inlineStr">
        <is>
          <t>bruce@unsocialinc.com</t>
        </is>
      </c>
      <c r="P797" s="24" t="inlineStr">
        <is>
          <t>+1 (805) 427-2122</t>
        </is>
      </c>
      <c r="Q797" s="25" t="n">
        <v>2010.0</v>
      </c>
      <c r="R797" s="113">
        <f>HYPERLINK("https://my.pitchbook.com?c=52213-96", "View company online")</f>
      </c>
    </row>
    <row r="798">
      <c r="A798" s="27" t="inlineStr">
        <is>
          <t>59198-59</t>
        </is>
      </c>
      <c r="B798" s="28" t="inlineStr">
        <is>
          <t>Unsilo</t>
        </is>
      </c>
      <c r="C798" s="29" t="inlineStr">
        <is>
          <t>8000</t>
        </is>
      </c>
      <c r="D798" s="30" t="inlineStr">
        <is>
          <t>Provider of automated text intelligence tools. The company provides tools for modern search and discovery services. It's analytics engine uses pervasive semantics and machine learning to extract the substance of every document.</t>
        </is>
      </c>
      <c r="E798" s="31" t="inlineStr">
        <is>
          <t>Media and Information Services (B2B)</t>
        </is>
      </c>
      <c r="F798" s="32" t="inlineStr">
        <is>
          <t>Aarhus, Denmark</t>
        </is>
      </c>
      <c r="G798" s="33" t="inlineStr">
        <is>
          <t>Privately Held (backing)</t>
        </is>
      </c>
      <c r="H798" s="34" t="inlineStr">
        <is>
          <t>Venture Capital-Backed</t>
        </is>
      </c>
      <c r="I798" s="35" t="inlineStr">
        <is>
          <t>Capnova, Infosys, Scale Capital</t>
        </is>
      </c>
      <c r="J798" s="36" t="inlineStr">
        <is>
          <t>site.unsilo.com</t>
        </is>
      </c>
      <c r="K798" s="37" t="inlineStr">
        <is>
          <t>info@unsilo.com</t>
        </is>
      </c>
      <c r="L798" s="38" t="inlineStr">
        <is>
          <t/>
        </is>
      </c>
      <c r="M798" s="39" t="inlineStr">
        <is>
          <t>Thomas Laursen</t>
        </is>
      </c>
      <c r="N798" s="40" t="inlineStr">
        <is>
          <t>Co-Founder &amp; Chief Executive Officer</t>
        </is>
      </c>
      <c r="O798" s="41" t="inlineStr">
        <is>
          <t>thomas.laursen@unsilo.com</t>
        </is>
      </c>
      <c r="P798" s="42" t="inlineStr">
        <is>
          <t/>
        </is>
      </c>
      <c r="Q798" s="43" t="n">
        <v>2012.0</v>
      </c>
      <c r="R798" s="114">
        <f>HYPERLINK("https://my.pitchbook.com?c=59198-59", "View company online")</f>
      </c>
    </row>
    <row r="799">
      <c r="A799" s="9" t="inlineStr">
        <is>
          <t>98454-52</t>
        </is>
      </c>
      <c r="B799" s="10" t="inlineStr">
        <is>
          <t>Unshackled Ventures</t>
        </is>
      </c>
      <c r="C799" s="11" t="inlineStr">
        <is>
          <t>94301</t>
        </is>
      </c>
      <c r="D799" s="12" t="inlineStr">
        <is>
          <t>Provider of angel and early stage venture capital funding. The company provides financial services that extends the entrepreneurship opportunity to all entrepreneurs in country.</t>
        </is>
      </c>
      <c r="E799" s="13" t="inlineStr">
        <is>
          <t>Other Commercial Services</t>
        </is>
      </c>
      <c r="F799" s="14" t="inlineStr">
        <is>
          <t>Palo Alto, CA</t>
        </is>
      </c>
      <c r="G799" s="15" t="inlineStr">
        <is>
          <t>Privately Held (backing)</t>
        </is>
      </c>
      <c r="H799" s="16" t="inlineStr">
        <is>
          <t>Venture Capital-Backed</t>
        </is>
      </c>
      <c r="I799" s="17" t="inlineStr">
        <is>
          <t>500 Startups, AME Cloud Ventures, Avnish Patel, Bantam Group, Brad Garlinghouse, Bradley Feld, Brett Cummings, Cynthia Padnos, David Straus, Dinesh Patel, Don Morrison, Edge Harris Ventures, Emerson Collective, Eric Chen, First Round Capital, Harris Barton, Howard Wolf, James Reinhart, Jay Eum, Joe Lonsdale, John O'Conne, Joshua Kopelman, Lance White, Marco Marinucci, Maurice Werdegar, Mike Walsh, Mind the Bridge Foundation, Mitali Pattnaik, Naval Ravikant, Nick Wyman, Nitin Khanna, NKM Capital, Osman Rashid, Pankaj Jain, Pankaj Shah, Rahim Fazal, Rajiv Parikh, Ravi Belani, Richard Firshein, Rudy Ruano, Samir Kaji, Sanjay Reddy, Shamik Mehta, Shamir Karkal, Stanford Angels and Entrepreneurs, Structure Capital, Sumit Gupta, Telemachus Luu, Trevor Zimmerman, TriplePoint Capital, TYLT Ventures, Ullas Naik, Victor Chiang, Vijay Chattha, Vivek Shah</t>
        </is>
      </c>
      <c r="J799" s="18" t="inlineStr">
        <is>
          <t>www.unshackledvc.com</t>
        </is>
      </c>
      <c r="K799" s="19" t="inlineStr">
        <is>
          <t/>
        </is>
      </c>
      <c r="L799" s="20" t="inlineStr">
        <is>
          <t/>
        </is>
      </c>
      <c r="M799" s="21" t="inlineStr">
        <is>
          <t>Nitin Pachisia</t>
        </is>
      </c>
      <c r="N799" s="22" t="inlineStr">
        <is>
          <t>Co-Founding Partner</t>
        </is>
      </c>
      <c r="O799" s="23" t="inlineStr">
        <is>
          <t>nitin@unshackled.co</t>
        </is>
      </c>
      <c r="P799" s="24" t="inlineStr">
        <is>
          <t/>
        </is>
      </c>
      <c r="Q799" s="25" t="n">
        <v>2014.0</v>
      </c>
      <c r="R799" s="113">
        <f>HYPERLINK("https://my.pitchbook.com?c=98454-52", "View company online")</f>
      </c>
    </row>
    <row r="800">
      <c r="A800" s="27" t="inlineStr">
        <is>
          <t>128107-99</t>
        </is>
      </c>
      <c r="B800" s="28" t="inlineStr">
        <is>
          <t>Unreel.me</t>
        </is>
      </c>
      <c r="C800" s="29" t="inlineStr">
        <is>
          <t>94404</t>
        </is>
      </c>
      <c r="D800" s="30" t="inlineStr">
        <is>
          <t>Provider of an online video-streaming platform. The company's platform enables users to search trending videos, scenes and moments. It also provides tools enabling users to build their own video streaming sites and apps.</t>
        </is>
      </c>
      <c r="E800" s="31" t="inlineStr">
        <is>
          <t>Application Software</t>
        </is>
      </c>
      <c r="F800" s="32" t="inlineStr">
        <is>
          <t>Foster City, CA</t>
        </is>
      </c>
      <c r="G800" s="33" t="inlineStr">
        <is>
          <t>Privately Held (backing)</t>
        </is>
      </c>
      <c r="H800" s="34" t="inlineStr">
        <is>
          <t>Venture Capital-Backed</t>
        </is>
      </c>
      <c r="I800" s="35" t="inlineStr">
        <is>
          <t>Adam Yarnold, Building 20 Labs, Gordon Whitener, Jackson Huynh, Poise Ventures, Steel Pier Capital Advisors, Vineyard Point Associates</t>
        </is>
      </c>
      <c r="J800" s="36" t="inlineStr">
        <is>
          <t>www.unreel.me</t>
        </is>
      </c>
      <c r="K800" s="37" t="inlineStr">
        <is>
          <t>hello@unreel.me</t>
        </is>
      </c>
      <c r="L800" s="38" t="inlineStr">
        <is>
          <t/>
        </is>
      </c>
      <c r="M800" s="39" t="inlineStr">
        <is>
          <t>Krish Arvapally</t>
        </is>
      </c>
      <c r="N800" s="40" t="inlineStr">
        <is>
          <t>Co-Founder, Chief Technology Officer, President &amp; Board Member</t>
        </is>
      </c>
      <c r="O800" s="41" t="inlineStr">
        <is>
          <t>krish@unreel.co</t>
        </is>
      </c>
      <c r="P800" s="42" t="inlineStr">
        <is>
          <t/>
        </is>
      </c>
      <c r="Q800" s="43" t="n">
        <v>2014.0</v>
      </c>
      <c r="R800" s="114">
        <f>HYPERLINK("https://my.pitchbook.com?c=128107-99", "View company online")</f>
      </c>
    </row>
    <row r="801">
      <c r="A801" s="9" t="inlineStr">
        <is>
          <t>95645-26</t>
        </is>
      </c>
      <c r="B801" s="10" t="inlineStr">
        <is>
          <t>Unravel Data Systems</t>
        </is>
      </c>
      <c r="C801" s="11" t="inlineStr">
        <is>
          <t>94025</t>
        </is>
      </c>
      <c r="D801" s="12" t="inlineStr">
        <is>
          <t>Provider of a big data systems management platform. The company offers a performance management platform for big data systems and also helps in the management of modern data applications and systems.</t>
        </is>
      </c>
      <c r="E801" s="13" t="inlineStr">
        <is>
          <t>Social/Platform Software</t>
        </is>
      </c>
      <c r="F801" s="14" t="inlineStr">
        <is>
          <t>Menlo Park, CA</t>
        </is>
      </c>
      <c r="G801" s="15" t="inlineStr">
        <is>
          <t>Privately Held (backing)</t>
        </is>
      </c>
      <c r="H801" s="16" t="inlineStr">
        <is>
          <t>Venture Capital-Backed</t>
        </is>
      </c>
      <c r="I801" s="17" t="inlineStr">
        <is>
          <t>Cisco Entrepreneurs in Residence, Data Elite, Menlo Ventures</t>
        </is>
      </c>
      <c r="J801" s="18" t="inlineStr">
        <is>
          <t>www.unraveldata.com</t>
        </is>
      </c>
      <c r="K801" s="19" t="inlineStr">
        <is>
          <t>info@unraveldata.com</t>
        </is>
      </c>
      <c r="L801" s="20" t="inlineStr">
        <is>
          <t/>
        </is>
      </c>
      <c r="M801" s="21" t="inlineStr">
        <is>
          <t>Kunal Agarwal</t>
        </is>
      </c>
      <c r="N801" s="22" t="inlineStr">
        <is>
          <t>Co-Founder, Board Member and Chief Executive Officer</t>
        </is>
      </c>
      <c r="O801" s="23" t="inlineStr">
        <is>
          <t>kunal@unraveldata.com</t>
        </is>
      </c>
      <c r="P801" s="24" t="inlineStr">
        <is>
          <t/>
        </is>
      </c>
      <c r="Q801" s="25" t="n">
        <v>2013.0</v>
      </c>
      <c r="R801" s="113">
        <f>HYPERLINK("https://my.pitchbook.com?c=95645-26", "View company online")</f>
      </c>
    </row>
    <row r="802">
      <c r="A802" s="27" t="inlineStr">
        <is>
          <t>169533-82</t>
        </is>
      </c>
      <c r="B802" s="28" t="inlineStr">
        <is>
          <t>Unravel Analytics</t>
        </is>
      </c>
      <c r="C802" s="29" t="inlineStr">
        <is>
          <t>A94 F5Y3</t>
        </is>
      </c>
      <c r="D802" s="30" t="inlineStr">
        <is>
          <t>Developer of quality assurance tool. The company develops a tool for detection of problems that prevent online conversions, break analytics and advertising tracking through its quality auditing software.</t>
        </is>
      </c>
      <c r="E802" s="31" t="inlineStr">
        <is>
          <t>Business/Productivity Software</t>
        </is>
      </c>
      <c r="F802" s="32" t="inlineStr">
        <is>
          <t>Dublin, Ireland</t>
        </is>
      </c>
      <c r="G802" s="33" t="inlineStr">
        <is>
          <t>Privately Held (backing)</t>
        </is>
      </c>
      <c r="H802" s="34" t="inlineStr">
        <is>
          <t>Venture Capital-Backed</t>
        </is>
      </c>
      <c r="I802" s="35" t="inlineStr">
        <is>
          <t>Tribal.vc</t>
        </is>
      </c>
      <c r="J802" s="36" t="inlineStr">
        <is>
          <t>www.unravel.io</t>
        </is>
      </c>
      <c r="K802" s="37" t="inlineStr">
        <is>
          <t>mail@unravel.io</t>
        </is>
      </c>
      <c r="L802" s="38" t="inlineStr">
        <is>
          <t>+353 (0)1 906 6437</t>
        </is>
      </c>
      <c r="M802" s="39" t="inlineStr">
        <is>
          <t>Santina Doherty</t>
        </is>
      </c>
      <c r="N802" s="40" t="inlineStr">
        <is>
          <t>Co-Founder &amp; Chief Executive Officer</t>
        </is>
      </c>
      <c r="O802" s="41" t="inlineStr">
        <is>
          <t>santina@getunravel.com</t>
        </is>
      </c>
      <c r="P802" s="42" t="inlineStr">
        <is>
          <t>+353 (0)1 906 6437</t>
        </is>
      </c>
      <c r="Q802" s="43" t="n">
        <v>2013.0</v>
      </c>
      <c r="R802" s="114">
        <f>HYPERLINK("https://my.pitchbook.com?c=169533-82", "View company online")</f>
      </c>
    </row>
    <row r="803">
      <c r="A803" s="9" t="inlineStr">
        <is>
          <t>61263-73</t>
        </is>
      </c>
      <c r="B803" s="10" t="inlineStr">
        <is>
          <t>Uno</t>
        </is>
      </c>
      <c r="C803" s="11" t="inlineStr">
        <is>
          <t>2010</t>
        </is>
      </c>
      <c r="D803" s="12" t="inlineStr">
        <is>
          <t>Provider of an online marketplace for home loans. The company offers a Web-based platform enabling Australian consumers to search, compare and choose the home-loan product that suits their individual needs. It also offers support for the loan-application process and advice from a team of financial experts.</t>
        </is>
      </c>
      <c r="E803" s="13" t="inlineStr">
        <is>
          <t>Social/Platform Software</t>
        </is>
      </c>
      <c r="F803" s="14" t="inlineStr">
        <is>
          <t>Surry Hills, Australia</t>
        </is>
      </c>
      <c r="G803" s="15" t="inlineStr">
        <is>
          <t>Privately Held (backing)</t>
        </is>
      </c>
      <c r="H803" s="16" t="inlineStr">
        <is>
          <t>Venture Capital-Backed</t>
        </is>
      </c>
      <c r="I803" s="17" t="inlineStr">
        <is>
          <t>Carter Kennedy, Envestnet|Yodlee, Finovate, Homeloans, REach Accelerator, Second Century Ventures, Village Capital, Westpac Banking, Ynext Incubator</t>
        </is>
      </c>
      <c r="J803" s="18" t="inlineStr">
        <is>
          <t>www.unohomeloans.com.au</t>
        </is>
      </c>
      <c r="K803" s="19" t="inlineStr">
        <is>
          <t>hello@unohomeloans.com.au</t>
        </is>
      </c>
      <c r="L803" s="20" t="inlineStr">
        <is>
          <t>+61 (0)1 3313 3866</t>
        </is>
      </c>
      <c r="M803" s="21" t="inlineStr">
        <is>
          <t>Vincent Turner</t>
        </is>
      </c>
      <c r="N803" s="22" t="inlineStr">
        <is>
          <t>Co-Founder and Chief Executive Officer</t>
        </is>
      </c>
      <c r="O803" s="23" t="inlineStr">
        <is>
          <t>vincent.turner@unohomeloans.com.au</t>
        </is>
      </c>
      <c r="P803" s="24" t="inlineStr">
        <is>
          <t>+61 (0)1 3313 3866</t>
        </is>
      </c>
      <c r="Q803" s="25" t="n">
        <v>2011.0</v>
      </c>
      <c r="R803" s="113">
        <f>HYPERLINK("https://my.pitchbook.com?c=61263-73", "View company online")</f>
      </c>
    </row>
    <row r="804">
      <c r="A804" s="27" t="inlineStr">
        <is>
          <t>151474-87</t>
        </is>
      </c>
      <c r="B804" s="28" t="inlineStr">
        <is>
          <t>Unmute</t>
        </is>
      </c>
      <c r="C804" s="29" t="inlineStr">
        <is>
          <t/>
        </is>
      </c>
      <c r="D804" s="30" t="inlineStr">
        <is>
          <t>Provider of an audio calling application. The company provides a conversation application with which users can host and share interactive phone calls with people around the world.</t>
        </is>
      </c>
      <c r="E804" s="31" t="inlineStr">
        <is>
          <t>Application Software</t>
        </is>
      </c>
      <c r="F804" s="32" t="inlineStr">
        <is>
          <t>Los Angeles, CA</t>
        </is>
      </c>
      <c r="G804" s="33" t="inlineStr">
        <is>
          <t>Privately Held (backing)</t>
        </is>
      </c>
      <c r="H804" s="34" t="inlineStr">
        <is>
          <t>Venture Capital-Backed</t>
        </is>
      </c>
      <c r="I804" s="35" t="inlineStr">
        <is>
          <t>Bertelsmann Digital Media Investments, Betaworks, Comcast Ventures, Crosscut Ventures, David Stern, Greycroft Partners, Greylock Partners</t>
        </is>
      </c>
      <c r="J804" s="36" t="inlineStr">
        <is>
          <t>www.itsunmute.com</t>
        </is>
      </c>
      <c r="K804" s="37" t="inlineStr">
        <is>
          <t>talk@onunmute.com</t>
        </is>
      </c>
      <c r="L804" s="38" t="inlineStr">
        <is>
          <t/>
        </is>
      </c>
      <c r="M804" s="39" t="inlineStr">
        <is>
          <t>Justin Spraggins</t>
        </is>
      </c>
      <c r="N804" s="40" t="inlineStr">
        <is>
          <t>Chief Executive Officer &amp; Co-Founder</t>
        </is>
      </c>
      <c r="O804" s="41" t="inlineStr">
        <is>
          <t>justin@onunmute.com</t>
        </is>
      </c>
      <c r="P804" s="42" t="inlineStr">
        <is>
          <t/>
        </is>
      </c>
      <c r="Q804" s="43" t="n">
        <v>2015.0</v>
      </c>
      <c r="R804" s="114">
        <f>HYPERLINK("https://my.pitchbook.com?c=151474-87", "View company online")</f>
      </c>
    </row>
    <row r="805">
      <c r="A805" s="9" t="inlineStr">
        <is>
          <t>54107-02</t>
        </is>
      </c>
      <c r="B805" s="10" t="inlineStr">
        <is>
          <t>UniversityNow</t>
        </is>
      </c>
      <c r="C805" s="11" t="inlineStr">
        <is>
          <t>94105</t>
        </is>
      </c>
      <c r="D805" s="12" t="inlineStr">
        <is>
          <t>Provider of an online education platform designed to ensure that a quality higher education is available to people everywhere. The company's educational platform provides peer-to-peer learning communities, pedagogical models and tuition models and also operates a network of online schools that provides higher education programs, enabling people to get a proper degree, who might not otherwise get a college degree, due to cost or other commitments.</t>
        </is>
      </c>
      <c r="E805" s="13" t="inlineStr">
        <is>
          <t>Educational Software</t>
        </is>
      </c>
      <c r="F805" s="14" t="inlineStr">
        <is>
          <t>San Francisco, CA</t>
        </is>
      </c>
      <c r="G805" s="15" t="inlineStr">
        <is>
          <t>Privately Held (backing)</t>
        </is>
      </c>
      <c r="H805" s="16" t="inlineStr">
        <is>
          <t>Venture Capital-Backed</t>
        </is>
      </c>
      <c r="I805" s="17" t="inlineStr">
        <is>
          <t>500 Startups, Bertelsmann Capital Ventures, Bill &amp; Melinda Gates Foundation, Bronze Investments, Charles River Ventures, First Analysis Group, Floodgate Fund, Greylock Partners, Kapor Capital, Miles Lasater, Novak Biddle Venture Partners, Originate, Sean Glass, SV Angel, University Ventures, William &amp; Flora Hewlett Foundation</t>
        </is>
      </c>
      <c r="J805" s="18" t="inlineStr">
        <is>
          <t>www.unow.com</t>
        </is>
      </c>
      <c r="K805" s="19" t="inlineStr">
        <is>
          <t/>
        </is>
      </c>
      <c r="L805" s="20" t="inlineStr">
        <is>
          <t/>
        </is>
      </c>
      <c r="M805" s="21" t="inlineStr">
        <is>
          <t>EuGene Wade</t>
        </is>
      </c>
      <c r="N805" s="22" t="inlineStr">
        <is>
          <t>Co-Founder, Board Member &amp; Chief Executive Officer</t>
        </is>
      </c>
      <c r="O805" s="23" t="inlineStr">
        <is>
          <t>gene@oneuni.co</t>
        </is>
      </c>
      <c r="P805" s="24" t="inlineStr">
        <is>
          <t>+1 (510) 560-6000</t>
        </is>
      </c>
      <c r="Q805" s="25" t="n">
        <v>2010.0</v>
      </c>
      <c r="R805" s="113">
        <f>HYPERLINK("https://my.pitchbook.com?c=54107-02", "View company online")</f>
      </c>
    </row>
    <row r="806">
      <c r="A806" s="27" t="inlineStr">
        <is>
          <t>52143-58</t>
        </is>
      </c>
      <c r="B806" s="28" t="inlineStr">
        <is>
          <t>University Games</t>
        </is>
      </c>
      <c r="C806" s="29" t="inlineStr">
        <is>
          <t>94110</t>
        </is>
      </c>
      <c r="D806" s="30" t="inlineStr">
        <is>
          <t>Developer of interactive and educational games for adults and children. The company has an in-house product development enabling it to specialize in products such as games, puzzles and toys.</t>
        </is>
      </c>
      <c r="E806" s="31" t="inlineStr">
        <is>
          <t>Recreational Goods</t>
        </is>
      </c>
      <c r="F806" s="32" t="inlineStr">
        <is>
          <t>San Francisco, CA</t>
        </is>
      </c>
      <c r="G806" s="33" t="inlineStr">
        <is>
          <t>Privately Held (backing)</t>
        </is>
      </c>
      <c r="H806" s="34" t="inlineStr">
        <is>
          <t>Venture Capital-Backed</t>
        </is>
      </c>
      <c r="I806" s="35" t="inlineStr">
        <is>
          <t>Mayfield Fund</t>
        </is>
      </c>
      <c r="J806" s="36" t="inlineStr">
        <is>
          <t>www.universitygames.com</t>
        </is>
      </c>
      <c r="K806" s="37" t="inlineStr">
        <is>
          <t>info@ugames.com</t>
        </is>
      </c>
      <c r="L806" s="38" t="inlineStr">
        <is>
          <t>+1 (415) 503-1600</t>
        </is>
      </c>
      <c r="M806" s="39" t="inlineStr">
        <is>
          <t>Cris Lehman</t>
        </is>
      </c>
      <c r="N806" s="40" t="inlineStr">
        <is>
          <t>Co-Founder &amp; Co-Chief Financial Officer</t>
        </is>
      </c>
      <c r="O806" s="41" t="inlineStr">
        <is>
          <t>hclehman@ugames.com</t>
        </is>
      </c>
      <c r="P806" s="42" t="inlineStr">
        <is>
          <t>+1 (415) 503-1600</t>
        </is>
      </c>
      <c r="Q806" s="43" t="n">
        <v>1985.0</v>
      </c>
      <c r="R806" s="114">
        <f>HYPERLINK("https://my.pitchbook.com?c=52143-58", "View company online")</f>
      </c>
    </row>
    <row r="807">
      <c r="A807" s="9" t="inlineStr">
        <is>
          <t>153103-33</t>
        </is>
      </c>
      <c r="B807" s="10" t="inlineStr">
        <is>
          <t>Unity Biotechnology</t>
        </is>
      </c>
      <c r="C807" s="11" t="inlineStr">
        <is>
          <t>94005</t>
        </is>
      </c>
      <c r="D807" s="12" t="inlineStr">
        <is>
          <t>Provider of medicine for aging-related diseases. The company develops therapeutics designed to prevent, halt or reverse diseases associated with aging, including osteoarthritis, glaucoma, heart disease and kidney failure.</t>
        </is>
      </c>
      <c r="E807" s="13" t="inlineStr">
        <is>
          <t>Biotechnology</t>
        </is>
      </c>
      <c r="F807" s="14" t="inlineStr">
        <is>
          <t>Brisbane, CA</t>
        </is>
      </c>
      <c r="G807" s="15" t="inlineStr">
        <is>
          <t>Privately Held (backing)</t>
        </is>
      </c>
      <c r="H807" s="16" t="inlineStr">
        <is>
          <t>Venture Capital-Backed</t>
        </is>
      </c>
      <c r="I807" s="17" t="inlineStr">
        <is>
          <t>ARCH Venture Partners, Baillie Gifford, Bezos Expeditions, Fidelity Management &amp; Research, Jeffrey Bezos, Mayo Clinic Ventures, Partner Fund Management, Venrock, WuXi Healthcare Investment Consulting (Shanghai)</t>
        </is>
      </c>
      <c r="J807" s="18" t="inlineStr">
        <is>
          <t>www.unitybiotechnology.com</t>
        </is>
      </c>
      <c r="K807" s="19" t="inlineStr">
        <is>
          <t>info@unitybiotechnology.com</t>
        </is>
      </c>
      <c r="L807" s="20" t="inlineStr">
        <is>
          <t>+1 (650) 416-1192</t>
        </is>
      </c>
      <c r="M807" s="21" t="inlineStr">
        <is>
          <t>Nathaniel David</t>
        </is>
      </c>
      <c r="N807" s="22" t="inlineStr">
        <is>
          <t>Co-Founder, Board Member &amp; President</t>
        </is>
      </c>
      <c r="O807" s="23" t="inlineStr">
        <is>
          <t>nathaniel.david@unitybiotechnology.com</t>
        </is>
      </c>
      <c r="P807" s="24" t="inlineStr">
        <is>
          <t>+1 (650) 416-1192</t>
        </is>
      </c>
      <c r="Q807" s="25" t="n">
        <v>2011.0</v>
      </c>
      <c r="R807" s="113">
        <f>HYPERLINK("https://my.pitchbook.com?c=153103-33", "View company online")</f>
      </c>
    </row>
    <row r="808">
      <c r="A808" s="27" t="inlineStr">
        <is>
          <t>51156-64</t>
        </is>
      </c>
      <c r="B808" s="28" t="inlineStr">
        <is>
          <t>Unity</t>
        </is>
      </c>
      <c r="C808" s="29" t="inlineStr">
        <is>
          <t>94103</t>
        </is>
      </c>
      <c r="D808" s="30" t="inlineStr">
        <is>
          <t>Developer of a virtual reality game development platform designed to create 2D, 3D, VR and AR games and applications. The company's virtual reality game development platform offers a graphics engine and full-featured editor to develop games and applications and it easily connects to the audiences on PCs, consoles, the web, mobile devices, home entertainment systems, embedded systems, or head-mounted displays, enabling businesses to realize their creative vision fast and deliver content to virtually any media or device.</t>
        </is>
      </c>
      <c r="E808" s="31" t="inlineStr">
        <is>
          <t>Entertainment Software</t>
        </is>
      </c>
      <c r="F808" s="32" t="inlineStr">
        <is>
          <t>San Francisco, CA</t>
        </is>
      </c>
      <c r="G808" s="33" t="inlineStr">
        <is>
          <t>Privately Held (backing)</t>
        </is>
      </c>
      <c r="H808" s="34" t="inlineStr">
        <is>
          <t>Venture Capital-Backed</t>
        </is>
      </c>
      <c r="I808" s="35" t="inlineStr">
        <is>
          <t>China Investment Corporation, David Gardner, DFJ Growth, Diane Greene, Frees Fund, iGlobe Partners, London Venture Partners, Max Levchin, Sequoia Capital, Silver Lake Management, Thrive Capital, Vanedge Capital, WestSummit Capital</t>
        </is>
      </c>
      <c r="J808" s="36" t="inlineStr">
        <is>
          <t>www.unity3d.com</t>
        </is>
      </c>
      <c r="K808" s="37" t="inlineStr">
        <is>
          <t>info@unity3d.com</t>
        </is>
      </c>
      <c r="L808" s="38" t="inlineStr">
        <is>
          <t/>
        </is>
      </c>
      <c r="M808" s="39" t="inlineStr">
        <is>
          <t>Mike Foley</t>
        </is>
      </c>
      <c r="N808" s="40" t="inlineStr">
        <is>
          <t>Chief Financial Officer</t>
        </is>
      </c>
      <c r="O808" s="41" t="inlineStr">
        <is>
          <t>mike@unity3d.com</t>
        </is>
      </c>
      <c r="P808" s="42" t="inlineStr">
        <is>
          <t/>
        </is>
      </c>
      <c r="Q808" s="43" t="n">
        <v>2003.0</v>
      </c>
      <c r="R808" s="114">
        <f>HYPERLINK("https://my.pitchbook.com?c=51156-64", "View company online")</f>
      </c>
    </row>
    <row r="809">
      <c r="A809" s="9" t="inlineStr">
        <is>
          <t>52722-28</t>
        </is>
      </c>
      <c r="B809" s="10" t="inlineStr">
        <is>
          <t>UnitedLex</t>
        </is>
      </c>
      <c r="C809" s="11" t="inlineStr">
        <is>
          <t>66211</t>
        </is>
      </c>
      <c r="D809" s="12" t="inlineStr">
        <is>
          <t>Provider of legal consulting and outsourcing services designed to address the most complex business challenges. The company's legal consulting and outsourcing services integrate strategy, consulting, technology and operations to create a standard of excellence and offers litigation, contracts and sourcing, intellectual property (IP), trademark, program, immigration and law firm support services, enabling law departments, law firms and academic institutions to improve their performance, efficiency and cost optimization.</t>
        </is>
      </c>
      <c r="E809" s="13" t="inlineStr">
        <is>
          <t>Legal Services (B2B)</t>
        </is>
      </c>
      <c r="F809" s="14" t="inlineStr">
        <is>
          <t>Overland Park, KS</t>
        </is>
      </c>
      <c r="G809" s="15" t="inlineStr">
        <is>
          <t>Privately Held (backing)</t>
        </is>
      </c>
      <c r="H809" s="16" t="inlineStr">
        <is>
          <t>Venture Capital-Backed</t>
        </is>
      </c>
      <c r="I809" s="17" t="inlineStr">
        <is>
          <t>Canaan Partners, Helion Venture Partners, Madison India Capital, Sequoia Capital India, WestBridge Capital (Mauritius)</t>
        </is>
      </c>
      <c r="J809" s="18" t="inlineStr">
        <is>
          <t>www.unitedlex.com</t>
        </is>
      </c>
      <c r="K809" s="19" t="inlineStr">
        <is>
          <t/>
        </is>
      </c>
      <c r="L809" s="20" t="inlineStr">
        <is>
          <t>+1 (913) 685-8900</t>
        </is>
      </c>
      <c r="M809" s="21" t="inlineStr">
        <is>
          <t>Daniel Reed</t>
        </is>
      </c>
      <c r="N809" s="22" t="inlineStr">
        <is>
          <t>Co-Founder &amp; Chief Executive Officer</t>
        </is>
      </c>
      <c r="O809" s="23" t="inlineStr">
        <is>
          <t>daniel.reed@unitedlex.com</t>
        </is>
      </c>
      <c r="P809" s="24" t="inlineStr">
        <is>
          <t>+1 (913) 685-8900</t>
        </is>
      </c>
      <c r="Q809" s="25" t="n">
        <v>2006.0</v>
      </c>
      <c r="R809" s="113">
        <f>HYPERLINK("https://my.pitchbook.com?c=52722-28", "View company online")</f>
      </c>
    </row>
    <row r="810">
      <c r="A810" s="27" t="inlineStr">
        <is>
          <t>11983-69</t>
        </is>
      </c>
      <c r="B810" s="28" t="inlineStr">
        <is>
          <t>United Information Technology</t>
        </is>
      </c>
      <c r="C810" s="29" t="inlineStr">
        <is>
          <t>100191</t>
        </is>
      </c>
      <c r="D810" s="30" t="inlineStr">
        <is>
          <t>Provider of data storage products and application software for cloud storage. The company offers storage appliance, unified storage, data management storage, disk array controller and cloud storage file system for various enterprises.</t>
        </is>
      </c>
      <c r="E810" s="31" t="inlineStr">
        <is>
          <t>Other Hardware</t>
        </is>
      </c>
      <c r="F810" s="32" t="inlineStr">
        <is>
          <t>Beijing, China</t>
        </is>
      </c>
      <c r="G810" s="33" t="inlineStr">
        <is>
          <t>Privately Held (backing)</t>
        </is>
      </c>
      <c r="H810" s="34" t="inlineStr">
        <is>
          <t>Venture Capital-Backed</t>
        </is>
      </c>
      <c r="I810" s="35" t="inlineStr">
        <is>
          <t>Canadian Broadcasting, Intel Capital, J.P. Morgan, Orchid Asia Group Management, Patricia Industries</t>
        </is>
      </c>
      <c r="J810" s="36" t="inlineStr">
        <is>
          <t>www.uitstor.com</t>
        </is>
      </c>
      <c r="K810" s="37" t="inlineStr">
        <is>
          <t>channel@uit.com.cn</t>
        </is>
      </c>
      <c r="L810" s="38" t="inlineStr">
        <is>
          <t>+86 (0)10 6230 9966</t>
        </is>
      </c>
      <c r="M810" s="39" t="inlineStr">
        <is>
          <t>Tony Chen</t>
        </is>
      </c>
      <c r="N810" s="40" t="inlineStr">
        <is>
          <t>Co-Founder, Chairman &amp; Chief Executive Officer</t>
        </is>
      </c>
      <c r="O810" s="41" t="inlineStr">
        <is>
          <t>tony@uit.com.cn</t>
        </is>
      </c>
      <c r="P810" s="42" t="inlineStr">
        <is>
          <t>+86 (0)10 6230 9966</t>
        </is>
      </c>
      <c r="Q810" s="43" t="n">
        <v>2001.0</v>
      </c>
      <c r="R810" s="114">
        <f>HYPERLINK("https://my.pitchbook.com?c=11983-69", "View company online")</f>
      </c>
    </row>
    <row r="811">
      <c r="A811" s="9" t="inlineStr">
        <is>
          <t>180194-14</t>
        </is>
      </c>
      <c r="B811" s="10" t="inlineStr">
        <is>
          <t>Unite (Media and Information Services)</t>
        </is>
      </c>
      <c r="C811" s="11" t="inlineStr">
        <is>
          <t/>
        </is>
      </c>
      <c r="D811" s="12" t="inlineStr">
        <is>
          <t>Operator of an online advertising marketplace. The company's advertising online tool offers marketplace for sellers to have the same online advertising tools that are available to big brands, enabling business to reach out to the right people with their advertising and increase their sales.</t>
        </is>
      </c>
      <c r="E811" s="13" t="inlineStr">
        <is>
          <t>Media and Information Services (B2B)</t>
        </is>
      </c>
      <c r="F811" s="14" t="inlineStr">
        <is>
          <t>Los Angeles, CA</t>
        </is>
      </c>
      <c r="G811" s="15" t="inlineStr">
        <is>
          <t>Privately Held (backing)</t>
        </is>
      </c>
      <c r="H811" s="16" t="inlineStr">
        <is>
          <t>Venture Capital-Backed</t>
        </is>
      </c>
      <c r="I811" s="17" t="inlineStr">
        <is>
          <t>I2BF Global Ventures</t>
        </is>
      </c>
      <c r="J811" s="18" t="inlineStr">
        <is>
          <t>www.unite.io</t>
        </is>
      </c>
      <c r="K811" s="19" t="inlineStr">
        <is>
          <t>info@unite.io</t>
        </is>
      </c>
      <c r="L811" s="20" t="inlineStr">
        <is>
          <t/>
        </is>
      </c>
      <c r="M811" s="21" t="inlineStr">
        <is>
          <t>Graham Garner</t>
        </is>
      </c>
      <c r="N811" s="22" t="inlineStr">
        <is>
          <t>Co-Founder</t>
        </is>
      </c>
      <c r="O811" s="23" t="inlineStr">
        <is>
          <t>graham@unite.io</t>
        </is>
      </c>
      <c r="P811" s="24" t="inlineStr">
        <is>
          <t/>
        </is>
      </c>
      <c r="Q811" s="25" t="n">
        <v>2011.0</v>
      </c>
      <c r="R811" s="113">
        <f>HYPERLINK("https://my.pitchbook.com?c=180194-14", "View company online")</f>
      </c>
    </row>
    <row r="812">
      <c r="A812" s="27" t="inlineStr">
        <is>
          <t>61361-20</t>
        </is>
      </c>
      <c r="B812" s="28" t="inlineStr">
        <is>
          <t>Unitas Global</t>
        </is>
      </c>
      <c r="C812" s="29" t="inlineStr">
        <is>
          <t>90013</t>
        </is>
      </c>
      <c r="D812" s="30" t="inlineStr">
        <is>
          <t>Provider of secure private and hybrid cloud solutions for enterprise clients. The company designs, deploys, and manages enterprise IT infrastructure that is technology-agnostic, carrier-neutral, and globally deployed.</t>
        </is>
      </c>
      <c r="E812" s="31" t="inlineStr">
        <is>
          <t>IT Consulting and Outsourcing</t>
        </is>
      </c>
      <c r="F812" s="32" t="inlineStr">
        <is>
          <t>Los Angeles, CA</t>
        </is>
      </c>
      <c r="G812" s="33" t="inlineStr">
        <is>
          <t>Privately Held (backing)</t>
        </is>
      </c>
      <c r="H812" s="34" t="inlineStr">
        <is>
          <t>Venture Capital-Backed</t>
        </is>
      </c>
      <c r="I812" s="35" t="inlineStr">
        <is>
          <t>Azure Capital Partners, MK Capital, Wintrust Financial</t>
        </is>
      </c>
      <c r="J812" s="36" t="inlineStr">
        <is>
          <t>www.unitasglobal.com</t>
        </is>
      </c>
      <c r="K812" s="37" t="inlineStr">
        <is>
          <t>inquiries@unitasglobal.com</t>
        </is>
      </c>
      <c r="L812" s="38" t="inlineStr">
        <is>
          <t>+1 (213) 785-6200</t>
        </is>
      </c>
      <c r="M812" s="39" t="inlineStr">
        <is>
          <t>Patrick Shutt</t>
        </is>
      </c>
      <c r="N812" s="40" t="inlineStr">
        <is>
          <t>Chief Executive Officer &amp; Board Member</t>
        </is>
      </c>
      <c r="O812" s="41" t="inlineStr">
        <is>
          <t>patrick.shutt@unitasglobal.com</t>
        </is>
      </c>
      <c r="P812" s="42" t="inlineStr">
        <is>
          <t>+1 (213) 785-6200</t>
        </is>
      </c>
      <c r="Q812" s="43" t="n">
        <v>2011.0</v>
      </c>
      <c r="R812" s="114">
        <f>HYPERLINK("https://my.pitchbook.com?c=61361-20", "View company online")</f>
      </c>
    </row>
    <row r="813">
      <c r="A813" s="9" t="inlineStr">
        <is>
          <t>179806-06</t>
        </is>
      </c>
      <c r="B813" s="10" t="inlineStr">
        <is>
          <t>Unisound (Norway)</t>
        </is>
      </c>
      <c r="C813" s="11" t="inlineStr">
        <is>
          <t>0349</t>
        </is>
      </c>
      <c r="D813" s="12" t="inlineStr">
        <is>
          <t>Developer of smart high definition 3D sound system designed to offer conference speakers. The company's smart high definition 3D sound system develops audiovisual technology equipped with newly developed hardware for audio pinpointing and tracking of sound sources that helps to detect the sound source in the room, filtrate the sound and suppress surrounding noise, enabling people communicate and interact better, without actively using the equipment.</t>
        </is>
      </c>
      <c r="E813" s="13" t="inlineStr">
        <is>
          <t>Electronic Equipment and Instruments</t>
        </is>
      </c>
      <c r="F813" s="14" t="inlineStr">
        <is>
          <t>Oslo, Norway</t>
        </is>
      </c>
      <c r="G813" s="15" t="inlineStr">
        <is>
          <t>Privately Held (backing)</t>
        </is>
      </c>
      <c r="H813" s="16" t="inlineStr">
        <is>
          <t>Venture Capital-Backed</t>
        </is>
      </c>
      <c r="I813" s="17" t="inlineStr">
        <is>
          <t>Innovation (Norway), Research Council of Norway, StartupLab</t>
        </is>
      </c>
      <c r="J813" s="18" t="inlineStr">
        <is>
          <t/>
        </is>
      </c>
      <c r="K813" s="19" t="inlineStr">
        <is>
          <t>contact@unisound.no</t>
        </is>
      </c>
      <c r="L813" s="20" t="inlineStr">
        <is>
          <t>+47 93 22 33 89</t>
        </is>
      </c>
      <c r="M813" s="21" t="inlineStr">
        <is>
          <t>Christian Eskeland Hauan</t>
        </is>
      </c>
      <c r="N813" s="22" t="inlineStr">
        <is>
          <t>Chief Financial Officer</t>
        </is>
      </c>
      <c r="O813" s="23" t="inlineStr">
        <is>
          <t>christian@unisound.no</t>
        </is>
      </c>
      <c r="P813" s="24" t="inlineStr">
        <is>
          <t>+47 93 22 33 89</t>
        </is>
      </c>
      <c r="Q813" s="25" t="n">
        <v>2013.0</v>
      </c>
      <c r="R813" s="113">
        <f>HYPERLINK("https://my.pitchbook.com?c=179806-06", "View company online")</f>
      </c>
    </row>
    <row r="814">
      <c r="A814" s="27" t="inlineStr">
        <is>
          <t>56364-85</t>
        </is>
      </c>
      <c r="B814" s="28" t="inlineStr">
        <is>
          <t>Unison Home Ownership Investors</t>
        </is>
      </c>
      <c r="C814" s="29" t="inlineStr">
        <is>
          <t>94108</t>
        </is>
      </c>
      <c r="D814" s="30" t="inlineStr">
        <is>
          <t>Provider of home ownership investments designed for long-term financing. The company's home ownership investments offers long-term investments in individual residential properties through their innovative programs in exchange for the opportunity to share gain or loss in the home's value when they decide to sell, enabling applicants to buy homes without interest or monthly payments.</t>
        </is>
      </c>
      <c r="E814" s="31" t="inlineStr">
        <is>
          <t>Consumer Finance</t>
        </is>
      </c>
      <c r="F814" s="32" t="inlineStr">
        <is>
          <t>San Francisco, CA</t>
        </is>
      </c>
      <c r="G814" s="33" t="inlineStr">
        <is>
          <t>Privately Held (backing)</t>
        </is>
      </c>
      <c r="H814" s="34" t="inlineStr">
        <is>
          <t>Venture Capital-Backed</t>
        </is>
      </c>
      <c r="I814" s="35" t="inlineStr">
        <is>
          <t>Exigent Ventures, Ron Suber</t>
        </is>
      </c>
      <c r="J814" s="36" t="inlineStr">
        <is>
          <t>www.myunison.com</t>
        </is>
      </c>
      <c r="K814" s="37" t="inlineStr">
        <is>
          <t>info@myunison.com</t>
        </is>
      </c>
      <c r="L814" s="38" t="inlineStr">
        <is>
          <t>+1 (415) 992-4200</t>
        </is>
      </c>
      <c r="M814" s="39" t="inlineStr">
        <is>
          <t>Thomas Sponholtz</t>
        </is>
      </c>
      <c r="N814" s="40" t="inlineStr">
        <is>
          <t>Chairman, Co-Chief Executive Officer &amp; Co-Founder</t>
        </is>
      </c>
      <c r="O814" s="41" t="inlineStr">
        <is>
          <t>tsponholtz@rexandco.com</t>
        </is>
      </c>
      <c r="P814" s="42" t="inlineStr">
        <is>
          <t>+1 (415) 992-4200</t>
        </is>
      </c>
      <c r="Q814" s="43" t="n">
        <v>2004.0</v>
      </c>
      <c r="R814" s="114">
        <f>HYPERLINK("https://my.pitchbook.com?c=56364-85", "View company online")</f>
      </c>
    </row>
    <row r="815">
      <c r="A815" s="9" t="inlineStr">
        <is>
          <t>59948-11</t>
        </is>
      </c>
      <c r="B815" s="10" t="inlineStr">
        <is>
          <t>uniRow</t>
        </is>
      </c>
      <c r="C815" s="11" t="inlineStr">
        <is>
          <t>94040</t>
        </is>
      </c>
      <c r="D815" s="12" t="inlineStr">
        <is>
          <t>Provider of a competency-based sales training platform. The company offers an online platform that enables organizations to track salesforce readiness and deliver precise training. It also offers necessary tools to deliver virtual trainings, assess sales executives on both knowledge and skills, as well as generate in-depth analytics for identifying training needs.</t>
        </is>
      </c>
      <c r="E815" s="13" t="inlineStr">
        <is>
          <t>Business/Productivity Software</t>
        </is>
      </c>
      <c r="F815" s="14" t="inlineStr">
        <is>
          <t>Mountain View, CA</t>
        </is>
      </c>
      <c r="G815" s="15" t="inlineStr">
        <is>
          <t>Privately Held (backing)</t>
        </is>
      </c>
      <c r="H815" s="16" t="inlineStr">
        <is>
          <t>Venture Capital-Backed</t>
        </is>
      </c>
      <c r="I815" s="17" t="inlineStr">
        <is>
          <t>Pallav Pandey, Purvi Capital, Richard Calmbach</t>
        </is>
      </c>
      <c r="J815" s="18" t="inlineStr">
        <is>
          <t>www.trainingcloud.com</t>
        </is>
      </c>
      <c r="K815" s="19" t="inlineStr">
        <is>
          <t/>
        </is>
      </c>
      <c r="L815" s="20" t="inlineStr">
        <is>
          <t>+1 (650) 318-3852</t>
        </is>
      </c>
      <c r="M815" s="21" t="inlineStr">
        <is>
          <t>Vikram Aggarwal</t>
        </is>
      </c>
      <c r="N815" s="22" t="inlineStr">
        <is>
          <t>Co-Founder</t>
        </is>
      </c>
      <c r="O815" s="23" t="inlineStr">
        <is>
          <t>vikram.aggarwal@trainingcloud.com</t>
        </is>
      </c>
      <c r="P815" s="24" t="inlineStr">
        <is>
          <t>+1 (650) 318-3852</t>
        </is>
      </c>
      <c r="Q815" s="25" t="n">
        <v>2013.0</v>
      </c>
      <c r="R815" s="113">
        <f>HYPERLINK("https://my.pitchbook.com?c=59948-11", "View company online")</f>
      </c>
    </row>
    <row r="816">
      <c r="A816" s="27" t="inlineStr">
        <is>
          <t>120681-46</t>
        </is>
      </c>
      <c r="B816" s="28" t="inlineStr">
        <is>
          <t>Uniquify</t>
        </is>
      </c>
      <c r="C816" s="29" t="inlineStr">
        <is>
          <t>95131</t>
        </is>
      </c>
      <c r="D816" s="30" t="inlineStr">
        <is>
          <t>Manufacturer of fabless semiconductor products designed for new design principles and software algorithms. The company's semiconductor products are high-end system-on-a-chip based on internal next-generation architecture enabling visual, mobile and networking segments to increase their performance and lower development cost and time-to-market of their semiconductor products.</t>
        </is>
      </c>
      <c r="E816" s="31" t="inlineStr">
        <is>
          <t>Application Specific Semiconductors</t>
        </is>
      </c>
      <c r="F816" s="32" t="inlineStr">
        <is>
          <t>San Jose, CA</t>
        </is>
      </c>
      <c r="G816" s="33" t="inlineStr">
        <is>
          <t>Privately Held (backing)</t>
        </is>
      </c>
      <c r="H816" s="34" t="inlineStr">
        <is>
          <t>Venture Capital-Backed</t>
        </is>
      </c>
      <c r="I816" s="35" t="inlineStr">
        <is>
          <t/>
        </is>
      </c>
      <c r="J816" s="36" t="inlineStr">
        <is>
          <t>www.uniquify.com</t>
        </is>
      </c>
      <c r="K816" s="37" t="inlineStr">
        <is>
          <t>info@uniquify.com</t>
        </is>
      </c>
      <c r="L816" s="38" t="inlineStr">
        <is>
          <t>+1 (408) 235-8810</t>
        </is>
      </c>
      <c r="M816" s="39" t="inlineStr">
        <is>
          <t>Robert Sheffield</t>
        </is>
      </c>
      <c r="N816" s="40" t="inlineStr">
        <is>
          <t>Chief Financial Officer</t>
        </is>
      </c>
      <c r="O816" s="41" t="inlineStr">
        <is>
          <t/>
        </is>
      </c>
      <c r="P816" s="42" t="inlineStr">
        <is>
          <t>+1 (408) 235-8810</t>
        </is>
      </c>
      <c r="Q816" s="43" t="n">
        <v>2005.0</v>
      </c>
      <c r="R816" s="114">
        <f>HYPERLINK("https://my.pitchbook.com?c=120681-46", "View company online")</f>
      </c>
    </row>
    <row r="817">
      <c r="A817" s="9" t="inlineStr">
        <is>
          <t>56865-34</t>
        </is>
      </c>
      <c r="B817" s="10" t="inlineStr">
        <is>
          <t>UniKey Technologies</t>
        </is>
      </c>
      <c r="C817" s="11" t="inlineStr">
        <is>
          <t>32801</t>
        </is>
      </c>
      <c r="D817" s="12" t="inlineStr">
        <is>
          <t>Developer of a technology to unlock doors with their cell phones. The company offers biometric locking technology to the consumer channel. It develops a proprietary and patented "touch-to-open" system that can be integrated into existing doors by simply replacing the current lock.</t>
        </is>
      </c>
      <c r="E817" s="13" t="inlineStr">
        <is>
          <t>Electronics (B2C)</t>
        </is>
      </c>
      <c r="F817" s="14" t="inlineStr">
        <is>
          <t>Orlando, FL</t>
        </is>
      </c>
      <c r="G817" s="15" t="inlineStr">
        <is>
          <t>Privately Held (backing)</t>
        </is>
      </c>
      <c r="H817" s="16" t="inlineStr">
        <is>
          <t>Venture Capital-Backed</t>
        </is>
      </c>
      <c r="I817" s="17" t="inlineStr">
        <is>
          <t>ACXIT Capital Partners, Allison Bhusri, Asset Management Ventures, Broadway Angels, CBRE Group, Daniel Gutenberg, Dave Lerner, ff Venture Capital, Haas Portman, Igniting Innovation, Individual Investor, Kevin O'Leary, Mark Cuban, Michael Liou, Oriza Ventures, Paul Sethi, Rani Aliahmad, Samsung Electronics, Samsung NEXT Ventures, Sumit Gupta</t>
        </is>
      </c>
      <c r="J817" s="18" t="inlineStr">
        <is>
          <t>www.unikey.com</t>
        </is>
      </c>
      <c r="K817" s="19" t="inlineStr">
        <is>
          <t>info@unikey.com</t>
        </is>
      </c>
      <c r="L817" s="20" t="inlineStr">
        <is>
          <t>+1 (407) 434-1539</t>
        </is>
      </c>
      <c r="M817" s="21" t="inlineStr">
        <is>
          <t>Phil Dumas</t>
        </is>
      </c>
      <c r="N817" s="22" t="inlineStr">
        <is>
          <t>Founder, President, Chief Executive Officer and Board Member</t>
        </is>
      </c>
      <c r="O817" s="23" t="inlineStr">
        <is>
          <t>phil@unikey.com</t>
        </is>
      </c>
      <c r="P817" s="24" t="inlineStr">
        <is>
          <t>+1 (407) 434-1539</t>
        </is>
      </c>
      <c r="Q817" s="25" t="n">
        <v>2010.0</v>
      </c>
      <c r="R817" s="113">
        <f>HYPERLINK("https://my.pitchbook.com?c=56865-34", "View company online")</f>
      </c>
    </row>
    <row r="818">
      <c r="A818" s="27" t="inlineStr">
        <is>
          <t>155218-15</t>
        </is>
      </c>
      <c r="B818" s="28" t="inlineStr">
        <is>
          <t>Uniformity Labs</t>
        </is>
      </c>
      <c r="C818" s="29" t="inlineStr">
        <is>
          <t>94025</t>
        </is>
      </c>
      <c r="D818" s="30" t="inlineStr">
        <is>
          <t>Developer of optimised feedstock powders for 3D printing. The company engages in research and offers information on additive manufacturing production.</t>
        </is>
      </c>
      <c r="E818" s="31" t="inlineStr">
        <is>
          <t>Media and Information Services (B2B)</t>
        </is>
      </c>
      <c r="F818" s="32" t="inlineStr">
        <is>
          <t>Menlo Park, CA</t>
        </is>
      </c>
      <c r="G818" s="33" t="inlineStr">
        <is>
          <t>Privately Held (backing)</t>
        </is>
      </c>
      <c r="H818" s="34" t="inlineStr">
        <is>
          <t>Venture Capital-Backed</t>
        </is>
      </c>
      <c r="I818" s="35" t="inlineStr">
        <is>
          <t>IP Group</t>
        </is>
      </c>
      <c r="J818" s="36" t="inlineStr">
        <is>
          <t>www.uniformitylabs.com</t>
        </is>
      </c>
      <c r="K818" s="37" t="inlineStr">
        <is>
          <t/>
        </is>
      </c>
      <c r="L818" s="38" t="inlineStr">
        <is>
          <t>+1 (650) 835-7732</t>
        </is>
      </c>
      <c r="M818" s="39" t="inlineStr">
        <is>
          <t>Adam Hopkins</t>
        </is>
      </c>
      <c r="N818" s="40" t="inlineStr">
        <is>
          <t>Chief Executive Officer and Board Member</t>
        </is>
      </c>
      <c r="O818" s="41" t="inlineStr">
        <is>
          <t>hopkins@uniformitylabs.com</t>
        </is>
      </c>
      <c r="P818" s="42" t="inlineStr">
        <is>
          <t>+1 (214) 288-2217</t>
        </is>
      </c>
      <c r="Q818" s="43" t="n">
        <v>2014.0</v>
      </c>
      <c r="R818" s="114">
        <f>HYPERLINK("https://my.pitchbook.com?c=155218-15", "View company online")</f>
      </c>
    </row>
    <row r="819">
      <c r="A819" s="9" t="inlineStr">
        <is>
          <t>170477-38</t>
        </is>
      </c>
      <c r="B819" s="10" t="inlineStr">
        <is>
          <t>Unified Pictures</t>
        </is>
      </c>
      <c r="C819" s="11" t="inlineStr">
        <is>
          <t>91324</t>
        </is>
      </c>
      <c r="D819" s="12" t="inlineStr">
        <is>
          <t>Operator of a film production and distribution company created to produce cutting-edge and artistically innovative films. The company's motion picture production and distribution house offers casts, stories, and photography in multiple film-making areas, from development to release enabling the motion picture industry to develop, finance, produce and distribute top-tier filmed entertainment.</t>
        </is>
      </c>
      <c r="E819" s="13" t="inlineStr">
        <is>
          <t>Movies, Music and Entertainment</t>
        </is>
      </c>
      <c r="F819" s="14" t="inlineStr">
        <is>
          <t>Northridge, CA</t>
        </is>
      </c>
      <c r="G819" s="15" t="inlineStr">
        <is>
          <t>Privately Held (backing)</t>
        </is>
      </c>
      <c r="H819" s="16" t="inlineStr">
        <is>
          <t>Venture Capital-Backed</t>
        </is>
      </c>
      <c r="I819" s="17" t="inlineStr">
        <is>
          <t>Panacea Capital Advisors, Rising India, Victory Square Labs</t>
        </is>
      </c>
      <c r="J819" s="18" t="inlineStr">
        <is>
          <t>www.unifiedpictures.com</t>
        </is>
      </c>
      <c r="K819" s="19" t="inlineStr">
        <is>
          <t>info@unifiedpictures.com</t>
        </is>
      </c>
      <c r="L819" s="20" t="inlineStr">
        <is>
          <t>+1 (818) 576-1006</t>
        </is>
      </c>
      <c r="M819" s="21" t="inlineStr">
        <is>
          <t>Lois Ungar</t>
        </is>
      </c>
      <c r="N819" s="22" t="inlineStr">
        <is>
          <t>Chief Financial Officer</t>
        </is>
      </c>
      <c r="O819" s="23" t="inlineStr">
        <is>
          <t/>
        </is>
      </c>
      <c r="P819" s="24" t="inlineStr">
        <is>
          <t>+1 (818) 576-1006</t>
        </is>
      </c>
      <c r="Q819" s="25" t="n">
        <v>2004.0</v>
      </c>
      <c r="R819" s="113">
        <f>HYPERLINK("https://my.pitchbook.com?c=170477-38", "View company online")</f>
      </c>
    </row>
    <row r="820">
      <c r="A820" s="27" t="inlineStr">
        <is>
          <t>66353-41</t>
        </is>
      </c>
      <c r="B820" s="28" t="inlineStr">
        <is>
          <t>Unifi Software</t>
        </is>
      </c>
      <c r="C820" s="29" t="inlineStr">
        <is>
          <t>94404</t>
        </is>
      </c>
      <c r="D820" s="30" t="inlineStr">
        <is>
          <t>Developer of a cloud-based Data-as-a-Service platform designed to break down the barriers of operational data silos and democratize information across the enterprise. The company's Data-as-a-Service platform is a self-service catalog and preparation tool that makes the entire data preparation process easy, hassle free and can be accessed from multiple sources, enabling end-users to avail convenient self-service of data integration.</t>
        </is>
      </c>
      <c r="E820" s="31" t="inlineStr">
        <is>
          <t>Database Software</t>
        </is>
      </c>
      <c r="F820" s="32" t="inlineStr">
        <is>
          <t>San Mateo, CA</t>
        </is>
      </c>
      <c r="G820" s="33" t="inlineStr">
        <is>
          <t>Privately Held (backing)</t>
        </is>
      </c>
      <c r="H820" s="34" t="inlineStr">
        <is>
          <t>Venture Capital-Backed</t>
        </is>
      </c>
      <c r="I820" s="35" t="inlineStr">
        <is>
          <t>Canaan Partners, Microsoft Accelerator, Omaha Capital, Pelion Venture Partners, Scale Venture Partners</t>
        </is>
      </c>
      <c r="J820" s="36" t="inlineStr">
        <is>
          <t>www.unifisoftware.com</t>
        </is>
      </c>
      <c r="K820" s="37" t="inlineStr">
        <is>
          <t>info@unifisoftware.com</t>
        </is>
      </c>
      <c r="L820" s="38" t="inlineStr">
        <is>
          <t>+1 (844) 868-6434</t>
        </is>
      </c>
      <c r="M820" s="39" t="inlineStr">
        <is>
          <t>Robert Carlson</t>
        </is>
      </c>
      <c r="N820" s="40" t="inlineStr">
        <is>
          <t>Co-Founder, Chief Executive Officer &amp; Board Member</t>
        </is>
      </c>
      <c r="O820" s="41" t="inlineStr">
        <is>
          <t>rob@unifisoftware.com</t>
        </is>
      </c>
      <c r="P820" s="42" t="inlineStr">
        <is>
          <t>+1 (844) 868-6434</t>
        </is>
      </c>
      <c r="Q820" s="43" t="n">
        <v>2014.0</v>
      </c>
      <c r="R820" s="114">
        <f>HYPERLINK("https://my.pitchbook.com?c=66353-41", "View company online")</f>
      </c>
    </row>
    <row r="821">
      <c r="A821" s="9" t="inlineStr">
        <is>
          <t>180185-41</t>
        </is>
      </c>
      <c r="B821" s="10" t="inlineStr">
        <is>
          <t>Unicobag</t>
        </is>
      </c>
      <c r="C821" s="85">
        <f>HYPERLINK("https://my.pitchbook.com?rrp=180185-41&amp;type=c", "This Company's information is not available to download. Need this Company? Request availability")</f>
      </c>
      <c r="D821" s="12" t="inlineStr">
        <is>
          <t/>
        </is>
      </c>
      <c r="E821" s="13" t="inlineStr">
        <is>
          <t/>
        </is>
      </c>
      <c r="F821" s="14" t="inlineStr">
        <is>
          <t/>
        </is>
      </c>
      <c r="G821" s="15" t="inlineStr">
        <is>
          <t/>
        </is>
      </c>
      <c r="H821" s="16" t="inlineStr">
        <is>
          <t/>
        </is>
      </c>
      <c r="I821" s="17" t="inlineStr">
        <is>
          <t/>
        </is>
      </c>
      <c r="J821" s="18" t="inlineStr">
        <is>
          <t/>
        </is>
      </c>
      <c r="K821" s="19" t="inlineStr">
        <is>
          <t/>
        </is>
      </c>
      <c r="L821" s="20" t="inlineStr">
        <is>
          <t/>
        </is>
      </c>
      <c r="M821" s="21" t="inlineStr">
        <is>
          <t/>
        </is>
      </c>
      <c r="N821" s="22" t="inlineStr">
        <is>
          <t/>
        </is>
      </c>
      <c r="O821" s="23" t="inlineStr">
        <is>
          <t/>
        </is>
      </c>
      <c r="P821" s="24" t="inlineStr">
        <is>
          <t/>
        </is>
      </c>
      <c r="Q821" s="25" t="inlineStr">
        <is>
          <t/>
        </is>
      </c>
      <c r="R821" s="26" t="inlineStr">
        <is>
          <t/>
        </is>
      </c>
    </row>
    <row r="822">
      <c r="A822" s="27" t="inlineStr">
        <is>
          <t>157001-50</t>
        </is>
      </c>
      <c r="B822" s="28" t="inlineStr">
        <is>
          <t>Unibreeze</t>
        </is>
      </c>
      <c r="C822" s="29" t="inlineStr">
        <is>
          <t>8051</t>
        </is>
      </c>
      <c r="D822" s="30" t="inlineStr">
        <is>
          <t>Provider of a search engine application. The company offers an application enabling college students to search for live campus events in their respective cities.</t>
        </is>
      </c>
      <c r="E822" s="31" t="inlineStr">
        <is>
          <t>Application Software</t>
        </is>
      </c>
      <c r="F822" s="32" t="inlineStr">
        <is>
          <t>Sárkeresztes, Hungary</t>
        </is>
      </c>
      <c r="G822" s="33" t="inlineStr">
        <is>
          <t>Privately Held (backing)</t>
        </is>
      </c>
      <c r="H822" s="34" t="inlineStr">
        <is>
          <t>Venture Capital-Backed</t>
        </is>
      </c>
      <c r="I822" s="35" t="inlineStr">
        <is>
          <t>Traction Tribe</t>
        </is>
      </c>
      <c r="J822" s="36" t="inlineStr">
        <is>
          <t>www.unibreeze.com</t>
        </is>
      </c>
      <c r="K822" s="37" t="inlineStr">
        <is>
          <t>hello@unibreeze.com</t>
        </is>
      </c>
      <c r="L822" s="38" t="inlineStr">
        <is>
          <t/>
        </is>
      </c>
      <c r="M822" s="39" t="inlineStr">
        <is>
          <t>Daniel Vincz</t>
        </is>
      </c>
      <c r="N822" s="40" t="inlineStr">
        <is>
          <t>Co-Founder &amp; Chief Executive Officer</t>
        </is>
      </c>
      <c r="O822" s="41" t="inlineStr">
        <is>
          <t/>
        </is>
      </c>
      <c r="P822" s="42" t="inlineStr">
        <is>
          <t/>
        </is>
      </c>
      <c r="Q822" s="43" t="n">
        <v>2014.0</v>
      </c>
      <c r="R822" s="114">
        <f>HYPERLINK("https://my.pitchbook.com?c=157001-50", "View company online")</f>
      </c>
    </row>
    <row r="823">
      <c r="A823" s="9" t="inlineStr">
        <is>
          <t>161996-59</t>
        </is>
      </c>
      <c r="B823" s="10" t="inlineStr">
        <is>
          <t>unGlue</t>
        </is>
      </c>
      <c r="C823" s="11" t="inlineStr">
        <is>
          <t>90291</t>
        </is>
      </c>
      <c r="D823" s="12" t="inlineStr">
        <is>
          <t>Developer of a parental control application software designed to help parents manage their children's internet usage across all devices. The company offers a mobile application that allows parents to be informed of and control the amount of time and content their children consume on games, videos and social media sites vs. the rest of the internet, regardless of the device or the physical location of the child enabling parents to help their children manage their on time between studies and entertainment.</t>
        </is>
      </c>
      <c r="E823" s="13" t="inlineStr">
        <is>
          <t>Application Software</t>
        </is>
      </c>
      <c r="F823" s="14" t="inlineStr">
        <is>
          <t>Los Angeles, CA</t>
        </is>
      </c>
      <c r="G823" s="15" t="inlineStr">
        <is>
          <t>Privately Held (backing)</t>
        </is>
      </c>
      <c r="H823" s="16" t="inlineStr">
        <is>
          <t>Venture Capital-Backed</t>
        </is>
      </c>
      <c r="I823" s="17" t="inlineStr">
        <is>
          <t>Amplify.LA, Arena Ventures, Baroda Ventures, Wavemaker Partners</t>
        </is>
      </c>
      <c r="J823" s="18" t="inlineStr">
        <is>
          <t>www.unglue.net</t>
        </is>
      </c>
      <c r="K823" s="19" t="inlineStr">
        <is>
          <t/>
        </is>
      </c>
      <c r="L823" s="20" t="inlineStr">
        <is>
          <t>+1 (888) 586-4583</t>
        </is>
      </c>
      <c r="M823" s="21" t="inlineStr">
        <is>
          <t>Alexander Zherdev</t>
        </is>
      </c>
      <c r="N823" s="22" t="inlineStr">
        <is>
          <t>Co-Founder &amp; Chief Technology Officer</t>
        </is>
      </c>
      <c r="O823" s="23" t="inlineStr">
        <is>
          <t>alex@unglue.net</t>
        </is>
      </c>
      <c r="P823" s="24" t="inlineStr">
        <is>
          <t>+1 (888) 586-4583</t>
        </is>
      </c>
      <c r="Q823" s="25" t="n">
        <v>2015.0</v>
      </c>
      <c r="R823" s="113">
        <f>HYPERLINK("https://my.pitchbook.com?c=161996-59", "View company online")</f>
      </c>
    </row>
    <row r="824">
      <c r="A824" s="27" t="inlineStr">
        <is>
          <t>13224-79</t>
        </is>
      </c>
      <c r="B824" s="28" t="inlineStr">
        <is>
          <t>Underlying</t>
        </is>
      </c>
      <c r="C824" s="29" t="inlineStr">
        <is>
          <t>94110</t>
        </is>
      </c>
      <c r="D824" s="30" t="inlineStr">
        <is>
          <t>Provider of a platform that enables users to create interactive widgets. The company provides fastest and easiest way to visually search for a topic and can gather real-time sources from social media, traditional search services and RSS to aggregate them.</t>
        </is>
      </c>
      <c r="E824" s="31" t="inlineStr">
        <is>
          <t>Information Services (B2C)</t>
        </is>
      </c>
      <c r="F824" s="32" t="inlineStr">
        <is>
          <t>San Francisco, CA</t>
        </is>
      </c>
      <c r="G824" s="33" t="inlineStr">
        <is>
          <t>Privately Held (backing)</t>
        </is>
      </c>
      <c r="H824" s="34" t="inlineStr">
        <is>
          <t>Venture Capital-Backed</t>
        </is>
      </c>
      <c r="I824" s="35" t="inlineStr">
        <is>
          <t>Anil Singh, Individual Investor, Rustic Canyon Partners, Ryan Scott</t>
        </is>
      </c>
      <c r="J824" s="36" t="inlineStr">
        <is>
          <t>www.dipity.com</t>
        </is>
      </c>
      <c r="K824" s="37" t="inlineStr">
        <is>
          <t/>
        </is>
      </c>
      <c r="L824" s="38" t="inlineStr">
        <is>
          <t/>
        </is>
      </c>
      <c r="M824" s="39" t="inlineStr">
        <is>
          <t>Nii Annoh</t>
        </is>
      </c>
      <c r="N824" s="40" t="inlineStr">
        <is>
          <t>Chief Executive Officer &amp; Creative Director</t>
        </is>
      </c>
      <c r="O824" s="41" t="inlineStr">
        <is>
          <t/>
        </is>
      </c>
      <c r="P824" s="42" t="inlineStr">
        <is>
          <t/>
        </is>
      </c>
      <c r="Q824" s="43" t="n">
        <v>2007.0</v>
      </c>
      <c r="R824" s="114">
        <f>HYPERLINK("https://my.pitchbook.com?c=13224-79", "View company online")</f>
      </c>
    </row>
    <row r="825">
      <c r="A825" s="9" t="inlineStr">
        <is>
          <t>91266-40</t>
        </is>
      </c>
      <c r="B825" s="10" t="inlineStr">
        <is>
          <t>Underground Cellar</t>
        </is>
      </c>
      <c r="C825" s="11" t="inlineStr">
        <is>
          <t>94105</t>
        </is>
      </c>
      <c r="D825" s="12" t="inlineStr">
        <is>
          <t>Provider of an online market for wines. The company provides an online marketplace for wines. It platform also offers marketing and branding of wines.</t>
        </is>
      </c>
      <c r="E825" s="13" t="inlineStr">
        <is>
          <t>Social/Platform Software</t>
        </is>
      </c>
      <c r="F825" s="14" t="inlineStr">
        <is>
          <t>San Francisco, CA</t>
        </is>
      </c>
      <c r="G825" s="15" t="inlineStr">
        <is>
          <t>Privately Held (backing)</t>
        </is>
      </c>
      <c r="H825" s="16" t="inlineStr">
        <is>
          <t>Venture Capital-Backed</t>
        </is>
      </c>
      <c r="I825" s="17" t="inlineStr">
        <is>
          <t>Alex Goldberg, Alexander Gerko, Barbara Corcoran, Barbara Corcoran Venture Partners, Bradley Feld, Cindy Bi, Euan Guttridge, Individual Investor, Isocline Ventures, Kevin Simback, Robert Kunz, Startup Monthly, Y Combinator</t>
        </is>
      </c>
      <c r="J825" s="18" t="inlineStr">
        <is>
          <t>www.undergroundcellar.com</t>
        </is>
      </c>
      <c r="K825" s="19" t="inlineStr">
        <is>
          <t>info@undergroundcellar.com</t>
        </is>
      </c>
      <c r="L825" s="20" t="inlineStr">
        <is>
          <t>+1 (888) 977-9899</t>
        </is>
      </c>
      <c r="M825" s="21" t="inlineStr">
        <is>
          <t>Jeffrey Shaw</t>
        </is>
      </c>
      <c r="N825" s="22" t="inlineStr">
        <is>
          <t>Co-founder, Chief Executive Officer and Owner</t>
        </is>
      </c>
      <c r="O825" s="23" t="inlineStr">
        <is>
          <t>jeffrey@undergroundcellar.com</t>
        </is>
      </c>
      <c r="P825" s="24" t="inlineStr">
        <is>
          <t>+1 (888) 977-9899</t>
        </is>
      </c>
      <c r="Q825" s="25" t="n">
        <v>2014.0</v>
      </c>
      <c r="R825" s="113">
        <f>HYPERLINK("https://my.pitchbook.com?c=91266-40", "View company online")</f>
      </c>
    </row>
    <row r="826">
      <c r="A826" s="27" t="inlineStr">
        <is>
          <t>158508-19</t>
        </is>
      </c>
      <c r="B826" s="28" t="inlineStr">
        <is>
          <t>Underdog</t>
        </is>
      </c>
      <c r="C826" s="29" t="inlineStr">
        <is>
          <t>01030</t>
        </is>
      </c>
      <c r="D826" s="30" t="inlineStr">
        <is>
          <t>Operator of a soccer digital media site. The company offers a digital platform that empowers fans in the US to follow and access all the information about world events of soccer.</t>
        </is>
      </c>
      <c r="E826" s="31" t="inlineStr">
        <is>
          <t>Social/Platform Software</t>
        </is>
      </c>
      <c r="F826" s="32" t="inlineStr">
        <is>
          <t>Distrito Federal, Mexico</t>
        </is>
      </c>
      <c r="G826" s="33" t="inlineStr">
        <is>
          <t>Privately Held (backing)</t>
        </is>
      </c>
      <c r="H826" s="34" t="inlineStr">
        <is>
          <t>Venture Capital-Backed</t>
        </is>
      </c>
      <c r="I826" s="35" t="inlineStr">
        <is>
          <t>Gerbera Capital, Ignia, Mexico Ventures, Startup Circle, Sun Mountain Capital</t>
        </is>
      </c>
      <c r="J826" s="36" t="inlineStr">
        <is>
          <t>www.juanfutbol.com</t>
        </is>
      </c>
      <c r="K826" s="37" t="inlineStr">
        <is>
          <t>hey@juanfutbol.com</t>
        </is>
      </c>
      <c r="L826" s="38" t="inlineStr">
        <is>
          <t/>
        </is>
      </c>
      <c r="M826" s="39" t="inlineStr">
        <is>
          <t>Miguel Ramírez Lombana</t>
        </is>
      </c>
      <c r="N826" s="40" t="inlineStr">
        <is>
          <t>Co-Chief Executive Officer &amp; Co-Founder</t>
        </is>
      </c>
      <c r="O826" s="41" t="inlineStr">
        <is>
          <t>mike@underdog.gs</t>
        </is>
      </c>
      <c r="P826" s="42" t="inlineStr">
        <is>
          <t/>
        </is>
      </c>
      <c r="Q826" s="43" t="n">
        <v>2012.0</v>
      </c>
      <c r="R826" s="114">
        <f>HYPERLINK("https://my.pitchbook.com?c=158508-19", "View company online")</f>
      </c>
    </row>
    <row r="827">
      <c r="A827" s="9" t="inlineStr">
        <is>
          <t>161911-00</t>
        </is>
      </c>
      <c r="B827" s="10" t="inlineStr">
        <is>
          <t>Uncommon Cacao</t>
        </is>
      </c>
      <c r="C827" s="11" t="inlineStr">
        <is>
          <t>94703</t>
        </is>
      </c>
      <c r="D827" s="12" t="inlineStr">
        <is>
          <t>Producer of cocoa beans. The company specializes in farming premium quality and transparently sourced cacao.</t>
        </is>
      </c>
      <c r="E827" s="13" t="inlineStr">
        <is>
          <t>Cultivation</t>
        </is>
      </c>
      <c r="F827" s="14" t="inlineStr">
        <is>
          <t>Berkeley, CA</t>
        </is>
      </c>
      <c r="G827" s="15" t="inlineStr">
        <is>
          <t>Privately Held (backing)</t>
        </is>
      </c>
      <c r="H827" s="16" t="inlineStr">
        <is>
          <t>Venture Capital-Backed</t>
        </is>
      </c>
      <c r="I827" s="17" t="inlineStr">
        <is>
          <t>1to4 Foundation, Acumen Fund, Pi Investments, The Eleos Foundation</t>
        </is>
      </c>
      <c r="J827" s="18" t="inlineStr">
        <is>
          <t>www.uncommoncacao.com</t>
        </is>
      </c>
      <c r="K827" s="19" t="inlineStr">
        <is>
          <t>emily@uncommoncacao.com</t>
        </is>
      </c>
      <c r="L827" s="20" t="inlineStr">
        <is>
          <t>+1 (857) 389-1627</t>
        </is>
      </c>
      <c r="M827" s="21" t="inlineStr">
        <is>
          <t>David Guendelman</t>
        </is>
      </c>
      <c r="N827" s="22" t="inlineStr">
        <is>
          <t>Chief Financial Officer</t>
        </is>
      </c>
      <c r="O827" s="23" t="inlineStr">
        <is>
          <t/>
        </is>
      </c>
      <c r="P827" s="24" t="inlineStr">
        <is>
          <t>+1 (857) 389-1627</t>
        </is>
      </c>
      <c r="Q827" s="25" t="n">
        <v>2010.0</v>
      </c>
      <c r="R827" s="113">
        <f>HYPERLINK("https://my.pitchbook.com?c=161911-00", "View company online")</f>
      </c>
    </row>
    <row r="828">
      <c r="A828" s="27" t="inlineStr">
        <is>
          <t>122649-13</t>
        </is>
      </c>
      <c r="B828" s="28" t="inlineStr">
        <is>
          <t>UNCL</t>
        </is>
      </c>
      <c r="C828" s="29" t="inlineStr">
        <is>
          <t>92780</t>
        </is>
      </c>
      <c r="D828" s="30" t="inlineStr">
        <is>
          <t>Manufacturer of men's clothing designed to offer comfort that can be worn in a more sophisticated setting. The company's online site sells men's clothing which includes shorts, pants, t-shirts, hoodies and other products, enabling users to chose from a range of products.</t>
        </is>
      </c>
      <c r="E828" s="31" t="inlineStr">
        <is>
          <t>Clothing</t>
        </is>
      </c>
      <c r="F828" s="32" t="inlineStr">
        <is>
          <t>Tustin, CA</t>
        </is>
      </c>
      <c r="G828" s="33" t="inlineStr">
        <is>
          <t>Privately Held (backing)</t>
        </is>
      </c>
      <c r="H828" s="34" t="inlineStr">
        <is>
          <t>Venture Capital-Backed</t>
        </is>
      </c>
      <c r="I828" s="35" t="inlineStr">
        <is>
          <t>1st Round Capital</t>
        </is>
      </c>
      <c r="J828" s="36" t="inlineStr">
        <is>
          <t>www.shopuncl.com</t>
        </is>
      </c>
      <c r="K828" s="37" t="inlineStr">
        <is>
          <t>info@shopuncl.com</t>
        </is>
      </c>
      <c r="L828" s="38" t="inlineStr">
        <is>
          <t/>
        </is>
      </c>
      <c r="M828" s="39" t="inlineStr">
        <is>
          <t>Brian Moshayedi</t>
        </is>
      </c>
      <c r="N828" s="40" t="inlineStr">
        <is>
          <t>Chief Executive Officer &amp; Owner</t>
        </is>
      </c>
      <c r="O828" s="41" t="inlineStr">
        <is>
          <t>bmoshayedi@shopuncl.com</t>
        </is>
      </c>
      <c r="P828" s="42" t="inlineStr">
        <is>
          <t/>
        </is>
      </c>
      <c r="Q828" s="43" t="n">
        <v>2009.0</v>
      </c>
      <c r="R828" s="114">
        <f>HYPERLINK("https://my.pitchbook.com?c=122649-13", "View company online")</f>
      </c>
    </row>
    <row r="829">
      <c r="A829" s="9" t="inlineStr">
        <is>
          <t>108133-66</t>
        </is>
      </c>
      <c r="B829" s="10" t="inlineStr">
        <is>
          <t>Unchained Labs</t>
        </is>
      </c>
      <c r="C829" s="11" t="inlineStr">
        <is>
          <t>94566</t>
        </is>
      </c>
      <c r="D829" s="12" t="inlineStr">
        <is>
          <t>Developer of life science biologics tools. The company offers protein stability platform and products for biologics that helps researchers to measure multiple protein stability parameters.</t>
        </is>
      </c>
      <c r="E829" s="13" t="inlineStr">
        <is>
          <t>Diagnostic Equipment</t>
        </is>
      </c>
      <c r="F829" s="14" t="inlineStr">
        <is>
          <t>Pleasanton, CA</t>
        </is>
      </c>
      <c r="G829" s="15" t="inlineStr">
        <is>
          <t>Privately Held (backing)</t>
        </is>
      </c>
      <c r="H829" s="16" t="inlineStr">
        <is>
          <t>Venture Capital-Backed</t>
        </is>
      </c>
      <c r="I829" s="17" t="inlineStr">
        <is>
          <t>Canaan Partners, Novo, TPG Biotech</t>
        </is>
      </c>
      <c r="J829" s="18" t="inlineStr">
        <is>
          <t>www.unchainedlabs.com</t>
        </is>
      </c>
      <c r="K829" s="19" t="inlineStr">
        <is>
          <t>info@unchainedlabs.com</t>
        </is>
      </c>
      <c r="L829" s="20" t="inlineStr">
        <is>
          <t>+1 (925) 587-9800</t>
        </is>
      </c>
      <c r="M829" s="21" t="inlineStr">
        <is>
          <t>Jason Novi</t>
        </is>
      </c>
      <c r="N829" s="22" t="inlineStr">
        <is>
          <t>Chief Financial Officer &amp; Chief Operating Officer</t>
        </is>
      </c>
      <c r="O829" s="23" t="inlineStr">
        <is>
          <t>jason.novi@unchainedlabs.com</t>
        </is>
      </c>
      <c r="P829" s="24" t="inlineStr">
        <is>
          <t>+1 (925) 587-9800</t>
        </is>
      </c>
      <c r="Q829" s="25" t="n">
        <v>2015.0</v>
      </c>
      <c r="R829" s="113">
        <f>HYPERLINK("https://my.pitchbook.com?c=108133-66", "View company online")</f>
      </c>
    </row>
    <row r="830">
      <c r="A830" s="27" t="inlineStr">
        <is>
          <t>59938-75</t>
        </is>
      </c>
      <c r="B830" s="28" t="inlineStr">
        <is>
          <t>Unbxd</t>
        </is>
      </c>
      <c r="C830" s="29" t="inlineStr">
        <is>
          <t>94043</t>
        </is>
      </c>
      <c r="D830" s="30" t="inlineStr">
        <is>
          <t>Developer of a cloud based product-recommendation platform designed to help online visitors on an E-Commerce website find the right product through a powerful search. The company's cloud based product-recommendation platform offers search, navigation, merchandizing and analytics services for e-commerce companies and help website visitors to find perfect products, enabling e-commerce companies increase conversions and improve the online shopping experience with products like personalized search and navigation, dynamic landing pages and intelligent product recommendations.</t>
        </is>
      </c>
      <c r="E830" s="31" t="inlineStr">
        <is>
          <t>Communication Software</t>
        </is>
      </c>
      <c r="F830" s="32" t="inlineStr">
        <is>
          <t>Mountain View, CA</t>
        </is>
      </c>
      <c r="G830" s="33" t="inlineStr">
        <is>
          <t>Privately Held (backing)</t>
        </is>
      </c>
      <c r="H830" s="34" t="inlineStr">
        <is>
          <t>Venture Capital-Backed</t>
        </is>
      </c>
      <c r="I830" s="35" t="inlineStr">
        <is>
          <t>IDG Ventures India, Indian Angel Network, InnoVen Capital, Inventus Capital Partners, Kyron Global Accelerator, Nirvana Ventures Advisors, Nitin Singhal, Orios Venture Partners, Rehan Khan, Sharad Sharma, Sunil Kalra, Target Accelerator Program, YourStory Media</t>
        </is>
      </c>
      <c r="J830" s="36" t="inlineStr">
        <is>
          <t>www.unbxd.com</t>
        </is>
      </c>
      <c r="K830" s="37" t="inlineStr">
        <is>
          <t>info@unbxd.com</t>
        </is>
      </c>
      <c r="L830" s="38" t="inlineStr">
        <is>
          <t>+1 (888) 864-6934</t>
        </is>
      </c>
      <c r="M830" s="39" t="inlineStr">
        <is>
          <t>Pavan Sondur</t>
        </is>
      </c>
      <c r="N830" s="40" t="inlineStr">
        <is>
          <t>Co-Founder &amp; Chief Executive Officer</t>
        </is>
      </c>
      <c r="O830" s="41" t="inlineStr">
        <is>
          <t>pavan@unbxd.com</t>
        </is>
      </c>
      <c r="P830" s="42" t="inlineStr">
        <is>
          <t>+91 (0)80 2258 0118</t>
        </is>
      </c>
      <c r="Q830" s="43" t="n">
        <v>2011.0</v>
      </c>
      <c r="R830" s="114">
        <f>HYPERLINK("https://my.pitchbook.com?c=59938-75", "View company online")</f>
      </c>
    </row>
    <row r="831">
      <c r="A831" s="9" t="inlineStr">
        <is>
          <t>62118-46</t>
        </is>
      </c>
      <c r="B831" s="10" t="inlineStr">
        <is>
          <t>Unbabel</t>
        </is>
      </c>
      <c r="C831" s="11" t="inlineStr">
        <is>
          <t>94107</t>
        </is>
      </c>
      <c r="D831" s="12" t="inlineStr">
        <is>
          <t>Provider of an artificial intelligence powered human translation platform. The company's platform utilizes a community of bilingual and freelance translators thereby providing human-quality translations.</t>
        </is>
      </c>
      <c r="E831" s="13" t="inlineStr">
        <is>
          <t>Communication Software</t>
        </is>
      </c>
      <c r="F831" s="14" t="inlineStr">
        <is>
          <t>San Francisco, CA</t>
        </is>
      </c>
      <c r="G831" s="15" t="inlineStr">
        <is>
          <t>Privately Held (backing)</t>
        </is>
      </c>
      <c r="H831" s="16" t="inlineStr">
        <is>
          <t>Venture Capital-Backed</t>
        </is>
      </c>
      <c r="I831" s="17" t="inlineStr">
        <is>
          <t>Amino Capital, Caixa Capital, David Peterson, DG Incubation, Digital Garage, Elad Gil, Faber Ventures, FundersClub, GV, Investo, Justin Darcy, Kevin Rose, Klaus von Sayn-Wittgenstein, Matrix Partners, Notion Capital, Paul Holliman, Rakesh Agrawal, Raymond Tonsing, Robert Emrich, Roger Dickey, Ryan Petersen, Saad AlSogair, Seth Ginns, Shilling Capital Partners, Stephan Morais, Terrence Yang, Tong Li, Wefunder, Workday Ventures, Y Combinator, Young Guo</t>
        </is>
      </c>
      <c r="J831" s="18" t="inlineStr">
        <is>
          <t>www.unbabel.com</t>
        </is>
      </c>
      <c r="K831" s="19" t="inlineStr">
        <is>
          <t>contact@unbabel.com</t>
        </is>
      </c>
      <c r="L831" s="20" t="inlineStr">
        <is>
          <t>+1 (415) 423-3979</t>
        </is>
      </c>
      <c r="M831" s="21" t="inlineStr">
        <is>
          <t>Vasco Pedro</t>
        </is>
      </c>
      <c r="N831" s="22" t="inlineStr">
        <is>
          <t>Chief Executive Officer and Co-Founder</t>
        </is>
      </c>
      <c r="O831" s="23" t="inlineStr">
        <is>
          <t>vasco@unbabel.com</t>
        </is>
      </c>
      <c r="P831" s="24" t="inlineStr">
        <is>
          <t>+1 (415) 423-3979</t>
        </is>
      </c>
      <c r="Q831" s="25" t="n">
        <v>2013.0</v>
      </c>
      <c r="R831" s="113">
        <f>HYPERLINK("https://my.pitchbook.com?c=62118-46", "View company online")</f>
      </c>
    </row>
    <row r="832">
      <c r="A832" s="27" t="inlineStr">
        <is>
          <t>170220-97</t>
        </is>
      </c>
      <c r="B832" s="28" t="inlineStr">
        <is>
          <t>Unanimous AI</t>
        </is>
      </c>
      <c r="C832" s="29" t="inlineStr">
        <is>
          <t>94115</t>
        </is>
      </c>
      <c r="D832" s="30" t="inlineStr">
        <is>
          <t>Provider of a swarm intelligence platform deigned to harness the power of collective human minds to predict future scenarios and solve real life problems. The company's swarm intelligence platform utilizes artificial intelligence to interpret human brains, collect real-time human input and combine the knowledge, wisdom, opinions and intuitions of live human participants as a unified emergent intelligence, enabling groups to generate optimized predictions, decisions, insights, and judgments while solving puzzles or predicting uncertain results.</t>
        </is>
      </c>
      <c r="E832" s="31" t="inlineStr">
        <is>
          <t>Other Information Technology</t>
        </is>
      </c>
      <c r="F832" s="32" t="inlineStr">
        <is>
          <t>San Francisco, CA</t>
        </is>
      </c>
      <c r="G832" s="33" t="inlineStr">
        <is>
          <t>Privately Held (backing)</t>
        </is>
      </c>
      <c r="H832" s="34" t="inlineStr">
        <is>
          <t>Venture Capital-Backed</t>
        </is>
      </c>
      <c r="I832" s="35" t="inlineStr">
        <is>
          <t>Foundation Capital</t>
        </is>
      </c>
      <c r="J832" s="36" t="inlineStr">
        <is>
          <t>www.unanimous.ai</t>
        </is>
      </c>
      <c r="K832" s="37" t="inlineStr">
        <is>
          <t>info@unanimousai.com</t>
        </is>
      </c>
      <c r="L832" s="38" t="inlineStr">
        <is>
          <t>+1 (415) 562-4890</t>
        </is>
      </c>
      <c r="M832" s="39" t="inlineStr">
        <is>
          <t>Josh Sitzer</t>
        </is>
      </c>
      <c r="N832" s="40" t="inlineStr">
        <is>
          <t>Chief Marketing Officer</t>
        </is>
      </c>
      <c r="O832" s="41" t="inlineStr">
        <is>
          <t>josh@unanimous.ai</t>
        </is>
      </c>
      <c r="P832" s="42" t="inlineStr">
        <is>
          <t>+1 (415) 562-4890</t>
        </is>
      </c>
      <c r="Q832" s="43" t="n">
        <v>2014.0</v>
      </c>
      <c r="R832" s="114">
        <f>HYPERLINK("https://my.pitchbook.com?c=170220-97", "View company online")</f>
      </c>
    </row>
    <row r="833">
      <c r="A833" s="9" t="inlineStr">
        <is>
          <t>104747-23</t>
        </is>
      </c>
      <c r="B833" s="10" t="inlineStr">
        <is>
          <t>Unacast</t>
        </is>
      </c>
      <c r="C833" s="11" t="inlineStr">
        <is>
          <t>0366</t>
        </is>
      </c>
      <c r="D833" s="12" t="inlineStr">
        <is>
          <t>Provider of a unified platform for the proximity and advertising industry. The company's platform powers the world’s largest network of proximity data, enabling brands and retailers to retarget customers online based on offline behavior.</t>
        </is>
      </c>
      <c r="E833" s="13" t="inlineStr">
        <is>
          <t>Media and Information Services (B2B)</t>
        </is>
      </c>
      <c r="F833" s="14" t="inlineStr">
        <is>
          <t>Oslo, Norway</t>
        </is>
      </c>
      <c r="G833" s="15" t="inlineStr">
        <is>
          <t>Privately Held (backing)</t>
        </is>
      </c>
      <c r="H833" s="16" t="inlineStr">
        <is>
          <t>Venture Capital-Backed</t>
        </is>
      </c>
      <c r="I833" s="17" t="inlineStr">
        <is>
          <t>Andy Chen, Investinor, Jason Kelly, Jonah Goodhart, Michael Barrett, OpenOcean, William Wise</t>
        </is>
      </c>
      <c r="J833" s="18" t="inlineStr">
        <is>
          <t>www.unacast.com</t>
        </is>
      </c>
      <c r="K833" s="19" t="inlineStr">
        <is>
          <t>hello@unacast.com</t>
        </is>
      </c>
      <c r="L833" s="20" t="inlineStr">
        <is>
          <t/>
        </is>
      </c>
      <c r="M833" s="21" t="inlineStr">
        <is>
          <t>Thomas Walle Jensen</t>
        </is>
      </c>
      <c r="N833" s="22" t="inlineStr">
        <is>
          <t>Co-Founder &amp; Chief Executive Officer</t>
        </is>
      </c>
      <c r="O833" s="23" t="inlineStr">
        <is>
          <t>thomas.walle@unacast.com</t>
        </is>
      </c>
      <c r="P833" s="24" t="inlineStr">
        <is>
          <t/>
        </is>
      </c>
      <c r="Q833" s="25" t="n">
        <v>2014.0</v>
      </c>
      <c r="R833" s="113">
        <f>HYPERLINK("https://my.pitchbook.com?c=104747-23", "View company online")</f>
      </c>
    </row>
    <row r="834">
      <c r="A834" s="27" t="inlineStr">
        <is>
          <t>152315-92</t>
        </is>
      </c>
      <c r="B834" s="28" t="inlineStr">
        <is>
          <t>Un Mundo Mexican Grill</t>
        </is>
      </c>
      <c r="C834" s="29" t="inlineStr">
        <is>
          <t>92037</t>
        </is>
      </c>
      <c r="D834" s="30" t="inlineStr">
        <is>
          <t>Provider of an online platform to order traditional Mexican food. The company provides an online platform for users to order high-quality, fresh ingredients contemporary and sun-drenched Mexican food in the UTC neighborhood of San Diego.</t>
        </is>
      </c>
      <c r="E834" s="31" t="inlineStr">
        <is>
          <t>Restaurants and Bars</t>
        </is>
      </c>
      <c r="F834" s="32" t="inlineStr">
        <is>
          <t>San Diego, CA</t>
        </is>
      </c>
      <c r="G834" s="33" t="inlineStr">
        <is>
          <t>Privately Held (backing)</t>
        </is>
      </c>
      <c r="H834" s="34" t="inlineStr">
        <is>
          <t>Venture Capital-Backed</t>
        </is>
      </c>
      <c r="I834" s="35" t="inlineStr">
        <is>
          <t/>
        </is>
      </c>
      <c r="J834" s="36" t="inlineStr">
        <is>
          <t>www.unmundomex.com</t>
        </is>
      </c>
      <c r="K834" s="37" t="inlineStr">
        <is>
          <t/>
        </is>
      </c>
      <c r="L834" s="38" t="inlineStr">
        <is>
          <t>+1 (858) 412-6509</t>
        </is>
      </c>
      <c r="M834" s="39" t="inlineStr">
        <is>
          <t>Galen Zanetakos</t>
        </is>
      </c>
      <c r="N834" s="40" t="inlineStr">
        <is>
          <t>Co-Owner &amp; General Manager</t>
        </is>
      </c>
      <c r="O834" s="41" t="inlineStr">
        <is>
          <t>galen.zanetakos@unmundomex.com</t>
        </is>
      </c>
      <c r="P834" s="42" t="inlineStr">
        <is>
          <t>+1 (858) 412-6509</t>
        </is>
      </c>
      <c r="Q834" s="43" t="n">
        <v>2015.0</v>
      </c>
      <c r="R834" s="114">
        <f>HYPERLINK("https://my.pitchbook.com?c=152315-92", "View company online")</f>
      </c>
    </row>
    <row r="835">
      <c r="A835" s="9" t="inlineStr">
        <is>
          <t>108569-98</t>
        </is>
      </c>
      <c r="B835" s="10" t="inlineStr">
        <is>
          <t>Umbo CV</t>
        </is>
      </c>
      <c r="C835" s="11" t="inlineStr">
        <is>
          <t>94105</t>
        </is>
      </c>
      <c r="D835" s="12" t="inlineStr">
        <is>
          <t>Provider of cloud-based artificial intelligence services designed to offer video security. The company's self-learning smart security camera Umbo SmartDome, works without recorders and can be managed across different locations, enabling enterprises and consumers to stay connected with important assets anytime.</t>
        </is>
      </c>
      <c r="E835" s="13" t="inlineStr">
        <is>
          <t>Security Services (B2B)</t>
        </is>
      </c>
      <c r="F835" s="14" t="inlineStr">
        <is>
          <t>San Francisco, CA</t>
        </is>
      </c>
      <c r="G835" s="15" t="inlineStr">
        <is>
          <t>Privately Held (backing)</t>
        </is>
      </c>
      <c r="H835" s="16" t="inlineStr">
        <is>
          <t>Venture Capital-Backed</t>
        </is>
      </c>
      <c r="I835" s="17" t="inlineStr">
        <is>
          <t>AppWorks Ventures, FenestraPro, Mesh Ventures, Plug and Play Tech Center, Wistron</t>
        </is>
      </c>
      <c r="J835" s="18" t="inlineStr">
        <is>
          <t>www.umbocv.com</t>
        </is>
      </c>
      <c r="K835" s="19" t="inlineStr">
        <is>
          <t>hello@umbocv.com</t>
        </is>
      </c>
      <c r="L835" s="20" t="inlineStr">
        <is>
          <t>+1 (888) 449-1321</t>
        </is>
      </c>
      <c r="M835" s="21" t="inlineStr">
        <is>
          <t>Shawn Guan</t>
        </is>
      </c>
      <c r="N835" s="22" t="inlineStr">
        <is>
          <t>Co-Founder and Chief Executive Officer</t>
        </is>
      </c>
      <c r="O835" s="23" t="inlineStr">
        <is>
          <t>shawn.guan@umbocv.com</t>
        </is>
      </c>
      <c r="P835" s="24" t="inlineStr">
        <is>
          <t>+886 (0)22 7268658</t>
        </is>
      </c>
      <c r="Q835" s="25" t="n">
        <v>2014.0</v>
      </c>
      <c r="R835" s="113">
        <f>HYPERLINK("https://my.pitchbook.com?c=108569-98", "View company online")</f>
      </c>
    </row>
    <row r="836">
      <c r="A836" s="27" t="inlineStr">
        <is>
          <t>99354-25</t>
        </is>
      </c>
      <c r="B836" s="28" t="inlineStr">
        <is>
          <t>uMake</t>
        </is>
      </c>
      <c r="C836" s="29" t="inlineStr">
        <is>
          <t>94306</t>
        </is>
      </c>
      <c r="D836" s="30" t="inlineStr">
        <is>
          <t>Developer of a freeform 3D design and sketching application created to set your ideas free. The company's 3D design and sketching application offers precision control points, a dynamic array tool, symmetry reflection and the ability to export to 3D files, enabling users to simplify the process of exploring the shapes and forms of their designs in a 3D environment.</t>
        </is>
      </c>
      <c r="E836" s="31" t="inlineStr">
        <is>
          <t>Multimedia and Design Software</t>
        </is>
      </c>
      <c r="F836" s="32" t="inlineStr">
        <is>
          <t>Palo Alto, CA</t>
        </is>
      </c>
      <c r="G836" s="33" t="inlineStr">
        <is>
          <t>Privately Held (backing)</t>
        </is>
      </c>
      <c r="H836" s="34" t="inlineStr">
        <is>
          <t>Venture Capital-Backed</t>
        </is>
      </c>
      <c r="I836" s="35" t="inlineStr">
        <is>
          <t>Alan Doan, Arjun Banker, Beth Ellyn McClendon, BlueRun Ventures, Brad AuBuchon, Brian McClendon, Bryant Detwiller, Chris Sang, Cok Mudde, Di-Ann Eisnor, Ed Roman, Evan Cheng, Forest Good, Geraldo Ramos, Giac Vu, J.D. Fagan, Jared Kopf, Jeff Heitzman, Jeffrey Bonforte, Joshua Schachter, Kenn Dahl, Kirk Ouimet, Lei Wang, Matt Henderson, Michael van der Meer, Michael Zielinski, Nick Grabenstein, Nima Asgharbeygi, Noam Bardin, Peter Kellner, Peter Livingston, Radu Atanasiu, Ragu Santhalingam, Raj Das Gupta, Rajiv Garg, Rakesh Agrawal, Robert Chew, Robert Parker, Roger Farley, Sanjeev Bhalla, Shuly Galili, UpWest Labs, Viktor Radchenko</t>
        </is>
      </c>
      <c r="J836" s="36" t="inlineStr">
        <is>
          <t>www.umake.xyz</t>
        </is>
      </c>
      <c r="K836" s="37" t="inlineStr">
        <is>
          <t>hello@umake.xyz</t>
        </is>
      </c>
      <c r="L836" s="38" t="inlineStr">
        <is>
          <t/>
        </is>
      </c>
      <c r="M836" s="39" t="inlineStr">
        <is>
          <t>Erik Sapir</t>
        </is>
      </c>
      <c r="N836" s="40" t="inlineStr">
        <is>
          <t>Co-Founder &amp; Chief Technology Officer</t>
        </is>
      </c>
      <c r="O836" s="41" t="inlineStr">
        <is>
          <t>erik@umake.xyz</t>
        </is>
      </c>
      <c r="P836" s="42" t="inlineStr">
        <is>
          <t/>
        </is>
      </c>
      <c r="Q836" s="43" t="n">
        <v>2014.0</v>
      </c>
      <c r="R836" s="114">
        <f>HYPERLINK("https://my.pitchbook.com?c=99354-25", "View company online")</f>
      </c>
    </row>
    <row r="837">
      <c r="A837" s="9" t="inlineStr">
        <is>
          <t>55069-57</t>
        </is>
      </c>
      <c r="B837" s="10" t="inlineStr">
        <is>
          <t>Ultrawave Labs</t>
        </is>
      </c>
      <c r="C837" s="11" t="inlineStr">
        <is>
          <t>92660</t>
        </is>
      </c>
      <c r="D837" s="12" t="inlineStr">
        <is>
          <t>Developer of medical imaging technology. The company develops medical ultrasound imaging device which is a new breakthrough imaging technology which transmits sound and measures it with light.</t>
        </is>
      </c>
      <c r="E837" s="13" t="inlineStr">
        <is>
          <t>Diagnostic Equipment</t>
        </is>
      </c>
      <c r="F837" s="14" t="inlineStr">
        <is>
          <t>Newport Beach, CA</t>
        </is>
      </c>
      <c r="G837" s="15" t="inlineStr">
        <is>
          <t>Privately Held (backing)</t>
        </is>
      </c>
      <c r="H837" s="16" t="inlineStr">
        <is>
          <t>Venture Capital-Backed</t>
        </is>
      </c>
      <c r="I837" s="17" t="inlineStr">
        <is>
          <t>OCTANe</t>
        </is>
      </c>
      <c r="J837" s="18" t="inlineStr">
        <is>
          <t>www.ultrawavelabs.com</t>
        </is>
      </c>
      <c r="K837" s="19" t="inlineStr">
        <is>
          <t>info@ultrawavelabs.com</t>
        </is>
      </c>
      <c r="L837" s="20" t="inlineStr">
        <is>
          <t>+1 (949) 230-2839</t>
        </is>
      </c>
      <c r="M837" s="21" t="inlineStr">
        <is>
          <t>Sanjay Gokhale</t>
        </is>
      </c>
      <c r="N837" s="22" t="inlineStr">
        <is>
          <t>Chief Financial Officer, Corporate Development Executive &amp; Co-Founder, Advisor</t>
        </is>
      </c>
      <c r="O837" s="23" t="inlineStr">
        <is>
          <t>sanjay@ultrawavelabs.com</t>
        </is>
      </c>
      <c r="P837" s="24" t="inlineStr">
        <is>
          <t>+1 (949) 230-2839</t>
        </is>
      </c>
      <c r="Q837" s="25" t="n">
        <v>2007.0</v>
      </c>
      <c r="R837" s="113">
        <f>HYPERLINK("https://my.pitchbook.com?c=55069-57", "View company online")</f>
      </c>
    </row>
    <row r="838">
      <c r="A838" s="27" t="inlineStr">
        <is>
          <t>53302-06</t>
        </is>
      </c>
      <c r="B838" s="28" t="inlineStr">
        <is>
          <t>UltraSolar Technology</t>
        </is>
      </c>
      <c r="C838" s="29" t="inlineStr">
        <is>
          <t>95054</t>
        </is>
      </c>
      <c r="D838" s="30" t="inlineStr">
        <is>
          <t>Developer of solar-cell technology. The company has developed a coating product for solar cells designed to increase the energy yield over the lifespan of the cell deployment.</t>
        </is>
      </c>
      <c r="E838" s="31" t="inlineStr">
        <is>
          <t>Alternative Energy Equipment</t>
        </is>
      </c>
      <c r="F838" s="32" t="inlineStr">
        <is>
          <t>Santa Clara, CA</t>
        </is>
      </c>
      <c r="G838" s="33" t="inlineStr">
        <is>
          <t>Privately Held (backing)</t>
        </is>
      </c>
      <c r="H838" s="34" t="inlineStr">
        <is>
          <t>Venture Capital-Backed</t>
        </is>
      </c>
      <c r="I838" s="35" t="inlineStr">
        <is>
          <t>Bessemer Venture Partners, Icon Ventures, Raj Sandhu, Veddis Ventures</t>
        </is>
      </c>
      <c r="J838" s="36" t="inlineStr">
        <is>
          <t>www.ultrasolar.com</t>
        </is>
      </c>
      <c r="K838" s="37" t="inlineStr">
        <is>
          <t/>
        </is>
      </c>
      <c r="L838" s="38" t="inlineStr">
        <is>
          <t>+1 (408) 579-1986</t>
        </is>
      </c>
      <c r="M838" s="39" t="inlineStr">
        <is>
          <t>Santosh Kumar</t>
        </is>
      </c>
      <c r="N838" s="40" t="inlineStr">
        <is>
          <t>Chief Executive Officer, Chief Technology Officer, Co-Founder &amp; Board Member</t>
        </is>
      </c>
      <c r="O838" s="41" t="inlineStr">
        <is>
          <t>santosh@ultrasolartech.com</t>
        </is>
      </c>
      <c r="P838" s="42" t="inlineStr">
        <is>
          <t>+1 (408) 579-1986 101</t>
        </is>
      </c>
      <c r="Q838" s="43" t="n">
        <v>2009.0</v>
      </c>
      <c r="R838" s="114">
        <f>HYPERLINK("https://my.pitchbook.com?c=53302-06", "View company online")</f>
      </c>
    </row>
    <row r="839">
      <c r="A839" s="9" t="inlineStr">
        <is>
          <t>62046-37</t>
        </is>
      </c>
      <c r="B839" s="10" t="inlineStr">
        <is>
          <t>UK Gear</t>
        </is>
      </c>
      <c r="C839" s="11" t="inlineStr">
        <is>
          <t>CV8 3FX</t>
        </is>
      </c>
      <c r="D839" s="12" t="inlineStr">
        <is>
          <t>Developer of athletic footwear and sportswear. The company develops, manufactures and sells athletic gear designed to meet specifications for military physical fitness and national-level sports. It also retails its products to consumers.</t>
        </is>
      </c>
      <c r="E839" s="13" t="inlineStr">
        <is>
          <t>Clothing</t>
        </is>
      </c>
      <c r="F839" s="14" t="inlineStr">
        <is>
          <t>Wolston, United Kingdom</t>
        </is>
      </c>
      <c r="G839" s="15" t="inlineStr">
        <is>
          <t>Privately Held (backing)</t>
        </is>
      </c>
      <c r="H839" s="16" t="inlineStr">
        <is>
          <t>Venture Capital-Backed</t>
        </is>
      </c>
      <c r="I839" s="17" t="inlineStr">
        <is>
          <t>Catapult Ventures, Individual Investor</t>
        </is>
      </c>
      <c r="J839" s="18" t="inlineStr">
        <is>
          <t>www.ukgear.com</t>
        </is>
      </c>
      <c r="K839" s="19" t="inlineStr">
        <is>
          <t>info@ukgear.com</t>
        </is>
      </c>
      <c r="L839" s="20" t="inlineStr">
        <is>
          <t>+44 (0)87 0403 1400</t>
        </is>
      </c>
      <c r="M839" s="21" t="inlineStr">
        <is>
          <t>David Hinde</t>
        </is>
      </c>
      <c r="N839" s="22" t="inlineStr">
        <is>
          <t>Board Member, Owner &amp; Founder</t>
        </is>
      </c>
      <c r="O839" s="23" t="inlineStr">
        <is>
          <t/>
        </is>
      </c>
      <c r="P839" s="24" t="inlineStr">
        <is>
          <t>+44 (0)87 0403 1400</t>
        </is>
      </c>
      <c r="Q839" s="25" t="n">
        <v>1993.0</v>
      </c>
      <c r="R839" s="113">
        <f>HYPERLINK("https://my.pitchbook.com?c=62046-37", "View company online")</f>
      </c>
    </row>
    <row r="840">
      <c r="A840" s="27" t="inlineStr">
        <is>
          <t>168190-39</t>
        </is>
      </c>
      <c r="B840" s="28" t="inlineStr">
        <is>
          <t>UJet</t>
        </is>
      </c>
      <c r="C840" s="29" t="inlineStr">
        <is>
          <t>94103</t>
        </is>
      </c>
      <c r="D840" s="30" t="inlineStr">
        <is>
          <t>Developer of a customer support management platform designed to make customer support easy. The company's customer support management platform focuses on building mobile-first customer service technology allowing companies to resolve problems, providing them to resolve issues with quick precision.</t>
        </is>
      </c>
      <c r="E840" s="31" t="inlineStr">
        <is>
          <t>Business/Productivity Software</t>
        </is>
      </c>
      <c r="F840" s="32" t="inlineStr">
        <is>
          <t>San Francisco, CA</t>
        </is>
      </c>
      <c r="G840" s="33" t="inlineStr">
        <is>
          <t>Privately Held (backing)</t>
        </is>
      </c>
      <c r="H840" s="34" t="inlineStr">
        <is>
          <t>Venture Capital-Backed</t>
        </is>
      </c>
      <c r="I840" s="35" t="inlineStr">
        <is>
          <t>DCM Ventures, Kleiner Perkins Caufield &amp; Byers, Relay Ventures</t>
        </is>
      </c>
      <c r="J840" s="36" t="inlineStr">
        <is>
          <t>www.ujet.co</t>
        </is>
      </c>
      <c r="K840" s="37" t="inlineStr">
        <is>
          <t/>
        </is>
      </c>
      <c r="L840" s="38" t="inlineStr">
        <is>
          <t/>
        </is>
      </c>
      <c r="M840" s="39" t="inlineStr">
        <is>
          <t>Chuck Wallace</t>
        </is>
      </c>
      <c r="N840" s="40" t="inlineStr">
        <is>
          <t>Head of Operations</t>
        </is>
      </c>
      <c r="O840" s="41" t="inlineStr">
        <is>
          <t/>
        </is>
      </c>
      <c r="P840" s="42" t="inlineStr">
        <is>
          <t>+1 (415) 699-0045</t>
        </is>
      </c>
      <c r="Q840" s="43" t="n">
        <v>2015.0</v>
      </c>
      <c r="R840" s="114">
        <f>HYPERLINK("https://my.pitchbook.com?c=168190-39", "View company online")</f>
      </c>
    </row>
    <row r="841">
      <c r="A841" s="9" t="inlineStr">
        <is>
          <t>64306-81</t>
        </is>
      </c>
      <c r="B841" s="10" t="inlineStr">
        <is>
          <t>UJAM</t>
        </is>
      </c>
      <c r="C841" s="11" t="inlineStr">
        <is>
          <t>94111</t>
        </is>
      </c>
      <c r="D841" s="12" t="inlineStr">
        <is>
          <t>Provider of a cloud-based platform to produce music and share it with others. The company offers a music technology platform that enables users to create and share their own music with friends and others around the world.</t>
        </is>
      </c>
      <c r="E841" s="13" t="inlineStr">
        <is>
          <t>Movies, Music and Entertainment</t>
        </is>
      </c>
      <c r="F841" s="14" t="inlineStr">
        <is>
          <t>San Francisco, CA</t>
        </is>
      </c>
      <c r="G841" s="15" t="inlineStr">
        <is>
          <t>Privately Held (backing)</t>
        </is>
      </c>
      <c r="H841" s="16" t="inlineStr">
        <is>
          <t>Venture Capital-Backed</t>
        </is>
      </c>
      <c r="I841" s="17" t="inlineStr">
        <is>
          <t>Mark Kvamme</t>
        </is>
      </c>
      <c r="J841" s="18" t="inlineStr">
        <is>
          <t>www.ujam.com</t>
        </is>
      </c>
      <c r="K841" s="19" t="inlineStr">
        <is>
          <t>info@ujam.com</t>
        </is>
      </c>
      <c r="L841" s="20" t="inlineStr">
        <is>
          <t/>
        </is>
      </c>
      <c r="M841" s="21" t="inlineStr">
        <is>
          <t>Sebastian Knief</t>
        </is>
      </c>
      <c r="N841" s="22" t="inlineStr">
        <is>
          <t>Chief Financial Officer</t>
        </is>
      </c>
      <c r="O841" s="23" t="inlineStr">
        <is>
          <t>sknief@ujam.com</t>
        </is>
      </c>
      <c r="P841" s="24" t="inlineStr">
        <is>
          <t/>
        </is>
      </c>
      <c r="Q841" s="25" t="n">
        <v>2009.0</v>
      </c>
      <c r="R841" s="113">
        <f>HYPERLINK("https://my.pitchbook.com?c=64306-81", "View company online")</f>
      </c>
    </row>
    <row r="842">
      <c r="A842" s="27" t="inlineStr">
        <is>
          <t>117363-88</t>
        </is>
      </c>
      <c r="B842" s="28" t="inlineStr">
        <is>
          <t>UiPath</t>
        </is>
      </c>
      <c r="C842" s="29" t="inlineStr">
        <is>
          <t>060104</t>
        </is>
      </c>
      <c r="D842" s="30" t="inlineStr">
        <is>
          <t>Developer of a robotic process automation software designed to power the intelligent process automation service offered by the most technology savvy BPO providers. The company's robotic process automation software seeks to eradicate tedious, redundant tasks and let software robots do the grunt work, enabling businesses and companies to develop an agile robotic workforce by providing a state-of-the-art platform for software robots orchestration.</t>
        </is>
      </c>
      <c r="E842" s="31" t="inlineStr">
        <is>
          <t>Automation/Workflow Software</t>
        </is>
      </c>
      <c r="F842" s="32" t="inlineStr">
        <is>
          <t>Bucharest, Romania</t>
        </is>
      </c>
      <c r="G842" s="33" t="inlineStr">
        <is>
          <t>Privately Held (backing)</t>
        </is>
      </c>
      <c r="H842" s="34" t="inlineStr">
        <is>
          <t>Venture Capital-Backed</t>
        </is>
      </c>
      <c r="I842" s="35" t="inlineStr">
        <is>
          <t>Accel, Credo Ventures, Earlybird Venture Capital, Roland Manger, Seedcamp</t>
        </is>
      </c>
      <c r="J842" s="36" t="inlineStr">
        <is>
          <t>www.uipath.com</t>
        </is>
      </c>
      <c r="K842" s="37" t="inlineStr">
        <is>
          <t/>
        </is>
      </c>
      <c r="L842" s="38" t="inlineStr">
        <is>
          <t>+40 (0)37 290 7975</t>
        </is>
      </c>
      <c r="M842" s="39" t="inlineStr">
        <is>
          <t>Daniel Dines</t>
        </is>
      </c>
      <c r="N842" s="40" t="inlineStr">
        <is>
          <t>Co-Founder &amp; Chief Executive Officer</t>
        </is>
      </c>
      <c r="O842" s="41" t="inlineStr">
        <is>
          <t>daniel.dines@uipath.com</t>
        </is>
      </c>
      <c r="P842" s="42" t="inlineStr">
        <is>
          <t>+40 (0)37 290 7975</t>
        </is>
      </c>
      <c r="Q842" s="43" t="n">
        <v>2005.0</v>
      </c>
      <c r="R842" s="114">
        <f>HYPERLINK("https://my.pitchbook.com?c=117363-88", "View company online")</f>
      </c>
    </row>
    <row r="843">
      <c r="A843" s="9" t="inlineStr">
        <is>
          <t>53859-16</t>
        </is>
      </c>
      <c r="B843" s="10" t="inlineStr">
        <is>
          <t>UICO</t>
        </is>
      </c>
      <c r="C843" s="11" t="inlineStr">
        <is>
          <t>94085</t>
        </is>
      </c>
      <c r="D843" s="12" t="inlineStr">
        <is>
          <t>Provider of durable touch screen technology designed to provide quality touch features in extreme environments of use. The company's touch screen technology can be use in industrial, military and OEM applications, enabling users to use Smartwatches and Phones in any weather, with sweaty fingers, under the rain, snow, even while wearing gloves in the winter.</t>
        </is>
      </c>
      <c r="E843" s="13" t="inlineStr">
        <is>
          <t>Electronic Components</t>
        </is>
      </c>
      <c r="F843" s="14" t="inlineStr">
        <is>
          <t>Sunnyvale, CA</t>
        </is>
      </c>
      <c r="G843" s="15" t="inlineStr">
        <is>
          <t>Privately Held (backing)</t>
        </is>
      </c>
      <c r="H843" s="16" t="inlineStr">
        <is>
          <t>Venture Capital-Backed</t>
        </is>
      </c>
      <c r="I843" s="17" t="inlineStr">
        <is>
          <t>Beringea, Corecentric Solutions, Hyde Park Angels, InvestMichigan, Plymouth Growth Partners</t>
        </is>
      </c>
      <c r="J843" s="18" t="inlineStr">
        <is>
          <t>www.uico.com</t>
        </is>
      </c>
      <c r="K843" s="19" t="inlineStr">
        <is>
          <t>info@uico.com</t>
        </is>
      </c>
      <c r="L843" s="20" t="inlineStr">
        <is>
          <t>+1 (630) 592-4400</t>
        </is>
      </c>
      <c r="M843" s="21" t="inlineStr">
        <is>
          <t>Scott Hoekman</t>
        </is>
      </c>
      <c r="N843" s="22" t="inlineStr">
        <is>
          <t>Chief Financial Officer &amp; Advisor</t>
        </is>
      </c>
      <c r="O843" s="23" t="inlineStr">
        <is>
          <t>shoekman@uico.com</t>
        </is>
      </c>
      <c r="P843" s="24" t="inlineStr">
        <is>
          <t>+1 (630) 592-4400</t>
        </is>
      </c>
      <c r="Q843" s="25" t="n">
        <v>2007.0</v>
      </c>
      <c r="R843" s="113">
        <f>HYPERLINK("https://my.pitchbook.com?c=53859-16", "View company online")</f>
      </c>
    </row>
    <row r="844">
      <c r="A844" s="27" t="inlineStr">
        <is>
          <t>163659-07</t>
        </is>
      </c>
      <c r="B844" s="28" t="inlineStr">
        <is>
          <t>Uhana</t>
        </is>
      </c>
      <c r="C844" s="29" t="inlineStr">
        <is>
          <t>94306</t>
        </is>
      </c>
      <c r="D844" s="30" t="inlineStr">
        <is>
          <t>Developer of mobile networks operations architecture. The company provides re-architecting the operation of mobile networks by bringing in real-time data analytics, machine learning and agile cloud software to control the network.</t>
        </is>
      </c>
      <c r="E844" s="31" t="inlineStr">
        <is>
          <t>Other Communications and Networking</t>
        </is>
      </c>
      <c r="F844" s="32" t="inlineStr">
        <is>
          <t>Palo Alto, CA</t>
        </is>
      </c>
      <c r="G844" s="33" t="inlineStr">
        <is>
          <t>Privately Held (backing)</t>
        </is>
      </c>
      <c r="H844" s="34" t="inlineStr">
        <is>
          <t>Venture Capital-Backed</t>
        </is>
      </c>
      <c r="I844" s="35" t="inlineStr">
        <is>
          <t>New Enterprise Associates, Telstra Ventures</t>
        </is>
      </c>
      <c r="J844" s="36" t="inlineStr">
        <is>
          <t>www.uhana.io</t>
        </is>
      </c>
      <c r="K844" s="37" t="inlineStr">
        <is>
          <t>info@uhana.io</t>
        </is>
      </c>
      <c r="L844" s="38" t="inlineStr">
        <is>
          <t>+1 (650) 338-1714</t>
        </is>
      </c>
      <c r="M844" s="39" t="inlineStr">
        <is>
          <t/>
        </is>
      </c>
      <c r="N844" s="40" t="inlineStr">
        <is>
          <t/>
        </is>
      </c>
      <c r="O844" s="41" t="inlineStr">
        <is>
          <t/>
        </is>
      </c>
      <c r="P844" s="42" t="inlineStr">
        <is>
          <t/>
        </is>
      </c>
      <c r="Q844" s="43" t="n">
        <v>2015.0</v>
      </c>
      <c r="R844" s="114">
        <f>HYPERLINK("https://my.pitchbook.com?c=163659-07", "View company online")</f>
      </c>
    </row>
    <row r="845">
      <c r="A845" s="9" t="inlineStr">
        <is>
          <t>52975-99</t>
        </is>
      </c>
      <c r="B845" s="10" t="inlineStr">
        <is>
          <t>Udemy</t>
        </is>
      </c>
      <c r="C845" s="11" t="inlineStr">
        <is>
          <t>94107</t>
        </is>
      </c>
      <c r="D845" s="12" t="inlineStr">
        <is>
          <t>Provider of an online learning marketplace. The company provides an online learning platform for students to learn from an extensive library of 40,000 courses taught by expert instructors. Its course creation platform builds online courses using video, PowerPoint, PDFs, audio, zip files and live classes.</t>
        </is>
      </c>
      <c r="E845" s="13" t="inlineStr">
        <is>
          <t>Educational Software</t>
        </is>
      </c>
      <c r="F845" s="14" t="inlineStr">
        <is>
          <t>San Francisco, CA</t>
        </is>
      </c>
      <c r="G845" s="15" t="inlineStr">
        <is>
          <t>Privately Held (backing)</t>
        </is>
      </c>
      <c r="H845" s="16" t="inlineStr">
        <is>
          <t>Venture Capital-Backed</t>
        </is>
      </c>
      <c r="I845" s="17" t="inlineStr">
        <is>
          <t>500 Startups, Benjamin Ling, Bullpen Capital, Dan Martell, Darian Shirazi, Denis Grosz, DG Incubation, Founder Institute, Insight Venture Partners, Jeremy Stoppelman, Joshua Stylman, Keith Rabois, Lawrence Braitman, Learn Capital, Lightbank, MHS Capital, Naspers Ventures, Naval Ravikant, Norwest Venture Partners, Paul Martino, Richard Thompson, Signia Venture Partners, Stripes Group</t>
        </is>
      </c>
      <c r="J845" s="18" t="inlineStr">
        <is>
          <t>www.udemy.com</t>
        </is>
      </c>
      <c r="K845" s="19" t="inlineStr">
        <is>
          <t>info@udemy.com</t>
        </is>
      </c>
      <c r="L845" s="20" t="inlineStr">
        <is>
          <t>+1 (760) 483-3694</t>
        </is>
      </c>
      <c r="M845" s="21" t="inlineStr">
        <is>
          <t>Joanne Kwong</t>
        </is>
      </c>
      <c r="N845" s="22" t="inlineStr">
        <is>
          <t>Controller</t>
        </is>
      </c>
      <c r="O845" s="23" t="inlineStr">
        <is>
          <t>joanne@udemy.com</t>
        </is>
      </c>
      <c r="P845" s="24" t="inlineStr">
        <is>
          <t>+1 (760) 483-3694</t>
        </is>
      </c>
      <c r="Q845" s="25" t="n">
        <v>2010.0</v>
      </c>
      <c r="R845" s="113">
        <f>HYPERLINK("https://my.pitchbook.com?c=52975-99", "View company online")</f>
      </c>
    </row>
    <row r="846">
      <c r="A846" s="27" t="inlineStr">
        <is>
          <t>54606-61</t>
        </is>
      </c>
      <c r="B846" s="28" t="inlineStr">
        <is>
          <t>Udacity</t>
        </is>
      </c>
      <c r="C846" s="29" t="inlineStr">
        <is>
          <t>94040</t>
        </is>
      </c>
      <c r="D846" s="30" t="inlineStr">
        <is>
          <t>Provider of educational services designed to bring accessible, affordable, engaging, and highly effective higher education to the world. The company's educational services offers online classes by partnering with industry companies like Apple, Google and Facebook, as well as universities worldwide, enabling students to access personalized coaching and demonstration of skills.</t>
        </is>
      </c>
      <c r="E846" s="31" t="inlineStr">
        <is>
          <t>Educational and Training Services (B2C)</t>
        </is>
      </c>
      <c r="F846" s="32" t="inlineStr">
        <is>
          <t>Mountain View, CA</t>
        </is>
      </c>
      <c r="G846" s="33" t="inlineStr">
        <is>
          <t>Privately Held (backing)</t>
        </is>
      </c>
      <c r="H846" s="34" t="inlineStr">
        <is>
          <t>Venture Capital-Backed</t>
        </is>
      </c>
      <c r="I846" s="35" t="inlineStr">
        <is>
          <t>Andreessen Horowitz, Baillie Gifford, Bertelsmann Digital Media Investments, Charles River Ventures, Cox Enterprises, Drive Capital, Emerson Collective, GV, Recruit Strategic Partners, Steve Blank, Valor Capital Group</t>
        </is>
      </c>
      <c r="J846" s="36" t="inlineStr">
        <is>
          <t>www.udacity.com</t>
        </is>
      </c>
      <c r="K846" s="37" t="inlineStr">
        <is>
          <t>info@udacity.com</t>
        </is>
      </c>
      <c r="L846" s="38" t="inlineStr">
        <is>
          <t>+1 (650) 938-9090</t>
        </is>
      </c>
      <c r="M846" s="39" t="inlineStr">
        <is>
          <t>Sebastian Thrun</t>
        </is>
      </c>
      <c r="N846" s="40" t="inlineStr">
        <is>
          <t>Co-Founder, Chairman and President</t>
        </is>
      </c>
      <c r="O846" s="41" t="inlineStr">
        <is>
          <t>sebastian@udacity.com</t>
        </is>
      </c>
      <c r="P846" s="42" t="inlineStr">
        <is>
          <t>+1 (650) 938-9090</t>
        </is>
      </c>
      <c r="Q846" s="43" t="n">
        <v>2011.0</v>
      </c>
      <c r="R846" s="114">
        <f>HYPERLINK("https://my.pitchbook.com?c=54606-61", "View company online")</f>
      </c>
    </row>
    <row r="847">
      <c r="A847" s="9" t="inlineStr">
        <is>
          <t>54132-49</t>
        </is>
      </c>
      <c r="B847" s="10" t="inlineStr">
        <is>
          <t>UCode</t>
        </is>
      </c>
      <c r="C847" s="11" t="inlineStr">
        <is>
          <t>90254</t>
        </is>
      </c>
      <c r="D847" s="12" t="inlineStr">
        <is>
          <t>Provider of computer coding education to kids. The company provides kids aged between 6 to 19 a place to learn how to write software through its in-person learning centers. Through these programs, kids get to create apps, websites, games, and robots.</t>
        </is>
      </c>
      <c r="E847" s="13" t="inlineStr">
        <is>
          <t>Educational and Training Services (B2C)</t>
        </is>
      </c>
      <c r="F847" s="14" t="inlineStr">
        <is>
          <t>Hermosa Beach, CA</t>
        </is>
      </c>
      <c r="G847" s="15" t="inlineStr">
        <is>
          <t>Privately Held (backing)</t>
        </is>
      </c>
      <c r="H847" s="16" t="inlineStr">
        <is>
          <t>Venture Capital-Backed</t>
        </is>
      </c>
      <c r="I847" s="17" t="inlineStr">
        <is>
          <t>Bam Ventures, Bloomberg Beta, Frontier Venture Capital, Idealab, Joanne Wilson, Michael Yang, Third Kind Venture Capital</t>
        </is>
      </c>
      <c r="J847" s="18" t="inlineStr">
        <is>
          <t>www.ucode.com</t>
        </is>
      </c>
      <c r="K847" s="19" t="inlineStr">
        <is>
          <t/>
        </is>
      </c>
      <c r="L847" s="20" t="inlineStr">
        <is>
          <t>+1 (424) 284-8338</t>
        </is>
      </c>
      <c r="M847" s="21" t="inlineStr">
        <is>
          <t>Scott Mueller</t>
        </is>
      </c>
      <c r="N847" s="22" t="inlineStr">
        <is>
          <t>Co-Founder, Chief Executive Officer &amp; Board Member</t>
        </is>
      </c>
      <c r="O847" s="23" t="inlineStr">
        <is>
          <t>scott@ucode.com</t>
        </is>
      </c>
      <c r="P847" s="24" t="inlineStr">
        <is>
          <t>+1 (424) 284-8338</t>
        </is>
      </c>
      <c r="Q847" s="25" t="n">
        <v>2008.0</v>
      </c>
      <c r="R847" s="113">
        <f>HYPERLINK("https://my.pitchbook.com?c=54132-49", "View company online")</f>
      </c>
    </row>
    <row r="848">
      <c r="A848" s="27" t="inlineStr">
        <is>
          <t>151472-26</t>
        </is>
      </c>
      <c r="B848" s="28" t="inlineStr">
        <is>
          <t>uCella</t>
        </is>
      </c>
      <c r="C848" s="29" t="inlineStr">
        <is>
          <t>94704</t>
        </is>
      </c>
      <c r="D848" s="30" t="inlineStr">
        <is>
          <t>Developer of a smart delivery mailbox. The company develops a smart mailbox system for online shoppers to receive, return, track and ship packages.</t>
        </is>
      </c>
      <c r="E848" s="31" t="inlineStr">
        <is>
          <t>Other Consumer Durables</t>
        </is>
      </c>
      <c r="F848" s="32" t="inlineStr">
        <is>
          <t>Berkeley, CA</t>
        </is>
      </c>
      <c r="G848" s="33" t="inlineStr">
        <is>
          <t>Privately Held (backing)</t>
        </is>
      </c>
      <c r="H848" s="34" t="inlineStr">
        <is>
          <t>Venture Capital-Backed</t>
        </is>
      </c>
      <c r="I848" s="35" t="inlineStr">
        <is>
          <t>Skydeck | Berkeley</t>
        </is>
      </c>
      <c r="J848" s="36" t="inlineStr">
        <is>
          <t>www.ucella.com</t>
        </is>
      </c>
      <c r="K848" s="37" t="inlineStr">
        <is>
          <t>hello@ucella.com</t>
        </is>
      </c>
      <c r="L848" s="38" t="inlineStr">
        <is>
          <t>+1 (650) 243-8929</t>
        </is>
      </c>
      <c r="M848" s="39" t="inlineStr">
        <is>
          <t>Shuai Jiang</t>
        </is>
      </c>
      <c r="N848" s="40" t="inlineStr">
        <is>
          <t>Co-Founder &amp; Chief Executive Officer</t>
        </is>
      </c>
      <c r="O848" s="41" t="inlineStr">
        <is>
          <t>shuai@ucella.com</t>
        </is>
      </c>
      <c r="P848" s="42" t="inlineStr">
        <is>
          <t>+1 (650) 243-8929</t>
        </is>
      </c>
      <c r="Q848" s="43" t="n">
        <v>2014.0</v>
      </c>
      <c r="R848" s="114">
        <f>HYPERLINK("https://my.pitchbook.com?c=151472-26", "View company online")</f>
      </c>
    </row>
    <row r="849">
      <c r="A849" s="9" t="inlineStr">
        <is>
          <t>61474-78</t>
        </is>
      </c>
      <c r="B849" s="10" t="inlineStr">
        <is>
          <t>Ubix(Processing Platform)</t>
        </is>
      </c>
      <c r="C849" s="11" t="inlineStr">
        <is>
          <t>92675</t>
        </is>
      </c>
      <c r="D849" s="12" t="inlineStr">
        <is>
          <t>Provider of cloud based processing platform designed to unify real-time analytics and dynamic visualizations. The company's processing platform drive consumption of advanced insights throughout the enterprise, enabling scientists and analysts to produce repeatable insights that regular business users can digest easily, so they can make rapid, informed decisions.</t>
        </is>
      </c>
      <c r="E849" s="13" t="inlineStr">
        <is>
          <t>Social/Platform Software</t>
        </is>
      </c>
      <c r="F849" s="14" t="inlineStr">
        <is>
          <t>San Juan Capistrano, CA</t>
        </is>
      </c>
      <c r="G849" s="15" t="inlineStr">
        <is>
          <t>Privately Held (backing)</t>
        </is>
      </c>
      <c r="H849" s="16" t="inlineStr">
        <is>
          <t>Venture Capital-Backed</t>
        </is>
      </c>
      <c r="I849" s="17" t="inlineStr">
        <is>
          <t>Frost Data Capital, Voyager Capital</t>
        </is>
      </c>
      <c r="J849" s="18" t="inlineStr">
        <is>
          <t>www.ubix.ai</t>
        </is>
      </c>
      <c r="K849" s="19" t="inlineStr">
        <is>
          <t/>
        </is>
      </c>
      <c r="L849" s="20" t="inlineStr">
        <is>
          <t>+1 (949) 373-9644</t>
        </is>
      </c>
      <c r="M849" s="21" t="inlineStr">
        <is>
          <t>Mark McNally</t>
        </is>
      </c>
      <c r="N849" s="22" t="inlineStr">
        <is>
          <t>Co-Founder, Chief Executive Officer &amp; Board Member</t>
        </is>
      </c>
      <c r="O849" s="23" t="inlineStr">
        <is>
          <t>mark@ubix.io</t>
        </is>
      </c>
      <c r="P849" s="24" t="inlineStr">
        <is>
          <t>+1 (949) 373-9644</t>
        </is>
      </c>
      <c r="Q849" s="25" t="n">
        <v>2011.0</v>
      </c>
      <c r="R849" s="113">
        <f>HYPERLINK("https://my.pitchbook.com?c=61474-78", "View company online")</f>
      </c>
    </row>
    <row r="850">
      <c r="A850" s="27" t="inlineStr">
        <is>
          <t>56918-08</t>
        </is>
      </c>
      <c r="B850" s="28" t="inlineStr">
        <is>
          <t>Ubitus</t>
        </is>
      </c>
      <c r="C850" s="29" t="inlineStr">
        <is>
          <t>105</t>
        </is>
      </c>
      <c r="D850" s="30" t="inlineStr">
        <is>
          <t>Provider of cloud-based game streaming and virtualization technologies. The company provides software platforms for fixed-mobile convergence applications and offers its services to device manufacturers, telecom service providers, online service providers and game makers.</t>
        </is>
      </c>
      <c r="E850" s="31" t="inlineStr">
        <is>
          <t>Entertainment Software</t>
        </is>
      </c>
      <c r="F850" s="32" t="inlineStr">
        <is>
          <t>Taipei, Taiwan</t>
        </is>
      </c>
      <c r="G850" s="33" t="inlineStr">
        <is>
          <t>Privately Held (backing)</t>
        </is>
      </c>
      <c r="H850" s="34" t="inlineStr">
        <is>
          <t>Venture Capital-Backed</t>
        </is>
      </c>
      <c r="I850" s="35" t="inlineStr">
        <is>
          <t>Birch Venture Capital, IT-Farm Corporation, NTT Docomo Ventures, Samsung Venture Investment, Substance Capital</t>
        </is>
      </c>
      <c r="J850" s="36" t="inlineStr">
        <is>
          <t>www.ubitus.net</t>
        </is>
      </c>
      <c r="K850" s="37" t="inlineStr">
        <is>
          <t>contact@ubitus.net</t>
        </is>
      </c>
      <c r="L850" s="38" t="inlineStr">
        <is>
          <t>+886 (0)22 7176123</t>
        </is>
      </c>
      <c r="M850" s="39" t="inlineStr">
        <is>
          <t>Wesley Kuo</t>
        </is>
      </c>
      <c r="N850" s="40" t="inlineStr">
        <is>
          <t>Chief Executive Officer &amp; President</t>
        </is>
      </c>
      <c r="O850" s="41" t="inlineStr">
        <is>
          <t>wesley.kuo@ubitus.net</t>
        </is>
      </c>
      <c r="P850" s="42" t="inlineStr">
        <is>
          <t>+886 (0)22 7176123</t>
        </is>
      </c>
      <c r="Q850" s="43" t="n">
        <v>2007.0</v>
      </c>
      <c r="R850" s="114">
        <f>HYPERLINK("https://my.pitchbook.com?c=56918-08", "View company online")</f>
      </c>
    </row>
    <row r="851">
      <c r="A851" s="9" t="inlineStr">
        <is>
          <t>55186-93</t>
        </is>
      </c>
      <c r="B851" s="10" t="inlineStr">
        <is>
          <t>Ubiquity Retirement + Savings</t>
        </is>
      </c>
      <c r="C851" s="11" t="inlineStr">
        <is>
          <t>94111</t>
        </is>
      </c>
      <c r="D851" s="12" t="inlineStr">
        <is>
          <t>Provider of record keeping and administration services for 401k and other retirement plans for small businesses. The company offers custom retirement plans and payroll-deduction IRA services for small businesses.</t>
        </is>
      </c>
      <c r="E851" s="13" t="inlineStr">
        <is>
          <t>Other Commercial Services</t>
        </is>
      </c>
      <c r="F851" s="14" t="inlineStr">
        <is>
          <t>San Francisco, CA</t>
        </is>
      </c>
      <c r="G851" s="15" t="inlineStr">
        <is>
          <t>Privately Held (backing)</t>
        </is>
      </c>
      <c r="H851" s="16" t="inlineStr">
        <is>
          <t>Venture Capital-Backed</t>
        </is>
      </c>
      <c r="I851" s="17" t="inlineStr">
        <is>
          <t>Modern Holdings, Otter Capital</t>
        </is>
      </c>
      <c r="J851" s="18" t="inlineStr">
        <is>
          <t>www.myubiquity.com</t>
        </is>
      </c>
      <c r="K851" s="19" t="inlineStr">
        <is>
          <t/>
        </is>
      </c>
      <c r="L851" s="20" t="inlineStr">
        <is>
          <t/>
        </is>
      </c>
      <c r="M851" s="21" t="inlineStr">
        <is>
          <t>Chad Parks</t>
        </is>
      </c>
      <c r="N851" s="22" t="inlineStr">
        <is>
          <t>Founder, Chief Executive Officer &amp; President</t>
        </is>
      </c>
      <c r="O851" s="23" t="inlineStr">
        <is>
          <t>cparks@theonline401k.com</t>
        </is>
      </c>
      <c r="P851" s="24" t="inlineStr">
        <is>
          <t/>
        </is>
      </c>
      <c r="Q851" s="25" t="n">
        <v>1999.0</v>
      </c>
      <c r="R851" s="113">
        <f>HYPERLINK("https://my.pitchbook.com?c=55186-93", "View company online")</f>
      </c>
    </row>
    <row r="852">
      <c r="A852" s="27" t="inlineStr">
        <is>
          <t>55512-55</t>
        </is>
      </c>
      <c r="B852" s="28" t="inlineStr">
        <is>
          <t>Ubiquitous Energy</t>
        </is>
      </c>
      <c r="C852" s="29" t="inlineStr">
        <is>
          <t>94063</t>
        </is>
      </c>
      <c r="D852" s="30" t="inlineStr">
        <is>
          <t>Developer of photovoltaic technologies. The company enables deployment of light harvesting functionality in the form of products and surfaces.</t>
        </is>
      </c>
      <c r="E852" s="31" t="inlineStr">
        <is>
          <t>Alternative Energy Equipment</t>
        </is>
      </c>
      <c r="F852" s="32" t="inlineStr">
        <is>
          <t>Redwood City, CA</t>
        </is>
      </c>
      <c r="G852" s="33" t="inlineStr">
        <is>
          <t>Privately Held (backing)</t>
        </is>
      </c>
      <c r="H852" s="34" t="inlineStr">
        <is>
          <t>Venture Capital-Backed</t>
        </is>
      </c>
      <c r="I852" s="35" t="inlineStr">
        <is>
          <t>Cranberry Capital, Individual Investor, National Science Foundation, Riverhorse Investments, Sierra Wasatch Capital</t>
        </is>
      </c>
      <c r="J852" s="36" t="inlineStr">
        <is>
          <t>www.ubiquitous.energy</t>
        </is>
      </c>
      <c r="K852" s="37" t="inlineStr">
        <is>
          <t>info@ubiquitous.energy</t>
        </is>
      </c>
      <c r="L852" s="38" t="inlineStr">
        <is>
          <t>+1 (650) 257-3824</t>
        </is>
      </c>
      <c r="M852" s="39" t="inlineStr">
        <is>
          <t>Miles Barr</t>
        </is>
      </c>
      <c r="N852" s="40" t="inlineStr">
        <is>
          <t>Chief Executive Officer, Co-Founder and Board Member</t>
        </is>
      </c>
      <c r="O852" s="41" t="inlineStr">
        <is>
          <t>miles@ubiquitous-energy.com</t>
        </is>
      </c>
      <c r="P852" s="42" t="inlineStr">
        <is>
          <t>+1 (650) 257-3824</t>
        </is>
      </c>
      <c r="Q852" s="43" t="n">
        <v>2011.0</v>
      </c>
      <c r="R852" s="114">
        <f>HYPERLINK("https://my.pitchbook.com?c=55512-55", "View company online")</f>
      </c>
    </row>
    <row r="853">
      <c r="A853" s="9" t="inlineStr">
        <is>
          <t>118875-52</t>
        </is>
      </c>
      <c r="B853" s="10" t="inlineStr">
        <is>
          <t>Ubiqomm</t>
        </is>
      </c>
      <c r="C853" s="11" t="inlineStr">
        <is>
          <t>92126</t>
        </is>
      </c>
      <c r="D853" s="12" t="inlineStr">
        <is>
          <t>Operator of a wireless communications system design and development company. The company develops end to end systems in a wide range, for wireless communications technologies such as personal communications systems, IoT, mobile satellite communications systems, fixed satellite communications systems such as broadband access to home and enterprise, aeronautical communications systems and position location systems.</t>
        </is>
      </c>
      <c r="E853" s="13" t="inlineStr">
        <is>
          <t>Wireless Communications Equipment</t>
        </is>
      </c>
      <c r="F853" s="14" t="inlineStr">
        <is>
          <t>San Diego, CA</t>
        </is>
      </c>
      <c r="G853" s="15" t="inlineStr">
        <is>
          <t>Privately Held (backing)</t>
        </is>
      </c>
      <c r="H853" s="16" t="inlineStr">
        <is>
          <t>Venture Capital-Backed</t>
        </is>
      </c>
      <c r="I853" s="17" t="inlineStr">
        <is>
          <t>Bridgewest Group</t>
        </is>
      </c>
      <c r="J853" s="18" t="inlineStr">
        <is>
          <t>www.ubiqomm.com</t>
        </is>
      </c>
      <c r="K853" s="19" t="inlineStr">
        <is>
          <t>info@ubiqomm.com</t>
        </is>
      </c>
      <c r="L853" s="20" t="inlineStr">
        <is>
          <t/>
        </is>
      </c>
      <c r="M853" s="21" t="inlineStr">
        <is>
          <t>Massih Tayebi</t>
        </is>
      </c>
      <c r="N853" s="22" t="inlineStr">
        <is>
          <t>Co-Founder &amp; Chief Executive Officer</t>
        </is>
      </c>
      <c r="O853" s="23" t="inlineStr">
        <is>
          <t>massih.tayebi@bridgewestgroup.com</t>
        </is>
      </c>
      <c r="P853" s="24" t="inlineStr">
        <is>
          <t>+1 (858) 412-2027</t>
        </is>
      </c>
      <c r="Q853" s="25" t="inlineStr">
        <is>
          <t/>
        </is>
      </c>
      <c r="R853" s="113">
        <f>HYPERLINK("https://my.pitchbook.com?c=118875-52", "View company online")</f>
      </c>
    </row>
    <row r="854">
      <c r="A854" s="27" t="inlineStr">
        <is>
          <t>60217-03</t>
        </is>
      </c>
      <c r="B854" s="28" t="inlineStr">
        <is>
          <t>uBiome</t>
        </is>
      </c>
      <c r="C854" s="29" t="inlineStr">
        <is>
          <t>94158</t>
        </is>
      </c>
      <c r="D854" s="30" t="inlineStr">
        <is>
          <t>Operator of a microbiome sequencing company. The company provides a microbiome sequencing service that provides information and tools for users to explore their microbiome. It also offers sample kits that enable users to swab and submit their microbiome for mouth, ears, nose, gut and genitals.</t>
        </is>
      </c>
      <c r="E854" s="31" t="inlineStr">
        <is>
          <t>Laboratory Services (Healthcare)</t>
        </is>
      </c>
      <c r="F854" s="32" t="inlineStr">
        <is>
          <t>San Francisco, CA</t>
        </is>
      </c>
      <c r="G854" s="33" t="inlineStr">
        <is>
          <t>Privately Held (backing)</t>
        </is>
      </c>
      <c r="H854" s="34" t="inlineStr">
        <is>
          <t>Venture Capital-Backed</t>
        </is>
      </c>
      <c r="I854" s="35" t="inlineStr">
        <is>
          <t>500 Startups, 8VC, AME Cloud Ventures, Andreessen Horowitz, Andrew Crichton, BoxGroup, California Institute for Quantitative Biosciences, Dan Sutera, David McClure, David Spector, Farzad Nazem, Georges Harik, Individual Investor, Joshua Schachter, Kapor Capital, Lifeline Ventures, MedTech Innovator, OS Fund, Robert Wuttke, Roy Rodenstein, Slow Ventures, StartX, The Propell Group, William Tai, Y Combinator</t>
        </is>
      </c>
      <c r="J854" s="36" t="inlineStr">
        <is>
          <t>www.ubiome.com</t>
        </is>
      </c>
      <c r="K854" s="37" t="inlineStr">
        <is>
          <t>info@ubiome.com</t>
        </is>
      </c>
      <c r="L854" s="38" t="inlineStr">
        <is>
          <t/>
        </is>
      </c>
      <c r="M854" s="39" t="inlineStr">
        <is>
          <t>Jessica Richman</t>
        </is>
      </c>
      <c r="N854" s="40" t="inlineStr">
        <is>
          <t>Co-Founder &amp; Chief Executive Officer</t>
        </is>
      </c>
      <c r="O854" s="41" t="inlineStr">
        <is>
          <t>jessica@ubiome.com</t>
        </is>
      </c>
      <c r="P854" s="42" t="inlineStr">
        <is>
          <t/>
        </is>
      </c>
      <c r="Q854" s="43" t="n">
        <v>2012.0</v>
      </c>
      <c r="R854" s="114">
        <f>HYPERLINK("https://my.pitchbook.com?c=60217-03", "View company online")</f>
      </c>
    </row>
    <row r="855">
      <c r="A855" s="9" t="inlineStr">
        <is>
          <t>167743-99</t>
        </is>
      </c>
      <c r="B855" s="10" t="inlineStr">
        <is>
          <t>Ubilite</t>
        </is>
      </c>
      <c r="C855" s="11" t="inlineStr">
        <is>
          <t>92010</t>
        </is>
      </c>
      <c r="D855" s="12" t="inlineStr">
        <is>
          <t>Developer of wireless connectivity products. The company specializes in the development of disposable, energy-harvesting and low power wireless connectivity products.</t>
        </is>
      </c>
      <c r="E855" s="13" t="inlineStr">
        <is>
          <t>Connectivity Products</t>
        </is>
      </c>
      <c r="F855" s="14" t="inlineStr">
        <is>
          <t>Carlsbad, CA</t>
        </is>
      </c>
      <c r="G855" s="15" t="inlineStr">
        <is>
          <t>Privately Held (backing)</t>
        </is>
      </c>
      <c r="H855" s="16" t="inlineStr">
        <is>
          <t>Venture Capital-Backed</t>
        </is>
      </c>
      <c r="I855" s="17" t="inlineStr">
        <is>
          <t>Roadmap Capital</t>
        </is>
      </c>
      <c r="J855" s="18" t="inlineStr">
        <is>
          <t>www.ubilite.com</t>
        </is>
      </c>
      <c r="K855" s="19" t="inlineStr">
        <is>
          <t>info@ubilite.com</t>
        </is>
      </c>
      <c r="L855" s="20" t="inlineStr">
        <is>
          <t>+1 (760) 260-8610</t>
        </is>
      </c>
      <c r="M855" s="21" t="inlineStr">
        <is>
          <t>Ismail Lakkis</t>
        </is>
      </c>
      <c r="N855" s="22" t="inlineStr">
        <is>
          <t>President, Chief Executive Officer &amp; Board Member</t>
        </is>
      </c>
      <c r="O855" s="23" t="inlineStr">
        <is>
          <t>ilakkis@ubilite.com</t>
        </is>
      </c>
      <c r="P855" s="24" t="inlineStr">
        <is>
          <t>+1 (760) 260-8610</t>
        </is>
      </c>
      <c r="Q855" s="25" t="n">
        <v>2014.0</v>
      </c>
      <c r="R855" s="113">
        <f>HYPERLINK("https://my.pitchbook.com?c=167743-99", "View company online")</f>
      </c>
    </row>
    <row r="856">
      <c r="A856" s="27" t="inlineStr">
        <is>
          <t>51546-88</t>
        </is>
      </c>
      <c r="B856" s="28" t="inlineStr">
        <is>
          <t>UberMedia</t>
        </is>
      </c>
      <c r="C856" s="29" t="inlineStr">
        <is>
          <t>91103</t>
        </is>
      </c>
      <c r="D856" s="30" t="inlineStr">
        <is>
          <t>Developer of a mobile advertising platform designed to transform mobile behavioral data to power actionable business intelligence, advertising and measurement. The company's mobile advertising platform develops applications and Web-based services, enabling users to find, follow and communicate with others on Twitter and other social media platforms.</t>
        </is>
      </c>
      <c r="E856" s="31" t="inlineStr">
        <is>
          <t>Business/Productivity Software</t>
        </is>
      </c>
      <c r="F856" s="32" t="inlineStr">
        <is>
          <t>Pasadena, CA</t>
        </is>
      </c>
      <c r="G856" s="33" t="inlineStr">
        <is>
          <t>Privately Held (backing)</t>
        </is>
      </c>
      <c r="H856" s="34" t="inlineStr">
        <is>
          <t>Venture Capital-Backed</t>
        </is>
      </c>
      <c r="I856" s="35" t="inlineStr">
        <is>
          <t>Accel, Betaworks, Blue Chip Venture, Breyer Capital, Burda Digital Ventures, Comcast Ventures, DLD Ventures, First Round Capital, Gordon Crawford, Idealab, Index Ventures (UK), Individual Investor, Jason Calacanis, Jeff Jarvis, Lerer Hippeau Ventures, Mark Kingdon, Revolution, Stephen Case, TriplePoint Capital</t>
        </is>
      </c>
      <c r="J856" s="36" t="inlineStr">
        <is>
          <t>www.ubermedia.com</t>
        </is>
      </c>
      <c r="K856" s="37" t="inlineStr">
        <is>
          <t/>
        </is>
      </c>
      <c r="L856" s="38" t="inlineStr">
        <is>
          <t>+1 (626) 229-3150</t>
        </is>
      </c>
      <c r="M856" s="39" t="inlineStr">
        <is>
          <t>John Faieta</t>
        </is>
      </c>
      <c r="N856" s="40" t="inlineStr">
        <is>
          <t>Chief Financial Officer</t>
        </is>
      </c>
      <c r="O856" s="41" t="inlineStr">
        <is>
          <t>john.faieta@ubermedia.com</t>
        </is>
      </c>
      <c r="P856" s="42" t="inlineStr">
        <is>
          <t>+1 (626) 229-3150</t>
        </is>
      </c>
      <c r="Q856" s="43" t="n">
        <v>2010.0</v>
      </c>
      <c r="R856" s="114">
        <f>HYPERLINK("https://my.pitchbook.com?c=51546-88", "View company online")</f>
      </c>
    </row>
    <row r="857">
      <c r="A857" s="9" t="inlineStr">
        <is>
          <t>121565-08</t>
        </is>
      </c>
      <c r="B857" s="10" t="inlineStr">
        <is>
          <t>Ubercloud</t>
        </is>
      </c>
      <c r="C857" s="11" t="inlineStr">
        <is>
          <t>94024</t>
        </is>
      </c>
      <c r="D857" s="12" t="inlineStr">
        <is>
          <t>Developer of a software platform designed to bring the power of cloud computing to engineering applications. The company's software platform offers an online community and marketplace enabling engineers, scientists and their service providers to discover, try and buy ubiquitous computing services on demand, in any private, public or hybrid cloud and get a performance boost of 10x or more when running their complex mathematical models and simulations.</t>
        </is>
      </c>
      <c r="E857" s="13" t="inlineStr">
        <is>
          <t>Application Software</t>
        </is>
      </c>
      <c r="F857" s="14" t="inlineStr">
        <is>
          <t>Los Altos, CA</t>
        </is>
      </c>
      <c r="G857" s="15" t="inlineStr">
        <is>
          <t>Privately Held (backing)</t>
        </is>
      </c>
      <c r="H857" s="16" t="inlineStr">
        <is>
          <t>Venture Capital-Backed</t>
        </is>
      </c>
      <c r="I857" s="17" t="inlineStr">
        <is>
          <t>Earlybird Venture Capital, Plug and Play Tech Center</t>
        </is>
      </c>
      <c r="J857" s="18" t="inlineStr">
        <is>
          <t>www.theubercloud.com</t>
        </is>
      </c>
      <c r="K857" s="19" t="inlineStr">
        <is>
          <t>help@theubercloud.com</t>
        </is>
      </c>
      <c r="L857" s="20" t="inlineStr">
        <is>
          <t>+1 (408) 667-7107</t>
        </is>
      </c>
      <c r="M857" s="21" t="inlineStr">
        <is>
          <t>Burak Yenier</t>
        </is>
      </c>
      <c r="N857" s="22" t="inlineStr">
        <is>
          <t>Co-Founder, Chief Executive Officer &amp; Board Member</t>
        </is>
      </c>
      <c r="O857" s="23" t="inlineStr">
        <is>
          <t>burak.yenier@theubercloud.com</t>
        </is>
      </c>
      <c r="P857" s="24" t="inlineStr">
        <is>
          <t>+1 (408) 667-7107</t>
        </is>
      </c>
      <c r="Q857" s="25" t="n">
        <v>2012.0</v>
      </c>
      <c r="R857" s="113">
        <f>HYPERLINK("https://my.pitchbook.com?c=121565-08", "View company online")</f>
      </c>
    </row>
    <row r="858">
      <c r="A858" s="27" t="inlineStr">
        <is>
          <t>95629-51</t>
        </is>
      </c>
      <c r="B858" s="28" t="inlineStr">
        <is>
          <t>uberall</t>
        </is>
      </c>
      <c r="C858" s="29" t="inlineStr">
        <is>
          <t>10117</t>
        </is>
      </c>
      <c r="D858" s="30" t="inlineStr">
        <is>
          <t>Provider of a geomarketing platform. The company offers a platform through which it provides information regarding all local places, people and events via phones, tablets, personal computers and in-car GPS systems.</t>
        </is>
      </c>
      <c r="E858" s="31" t="inlineStr">
        <is>
          <t>Media and Information Services (B2B)</t>
        </is>
      </c>
      <c r="F858" s="32" t="inlineStr">
        <is>
          <t>Berlin, Germany</t>
        </is>
      </c>
      <c r="G858" s="33" t="inlineStr">
        <is>
          <t>Privately Held (backing)</t>
        </is>
      </c>
      <c r="H858" s="34" t="inlineStr">
        <is>
          <t>Venture Capital-Backed</t>
        </is>
      </c>
      <c r="I858" s="35" t="inlineStr">
        <is>
          <t>Everpreneur Ventures, Investitionsbank Berlin, Project A Ventures, United Internet</t>
        </is>
      </c>
      <c r="J858" s="36" t="inlineStr">
        <is>
          <t>www.uberall.com</t>
        </is>
      </c>
      <c r="K858" s="37" t="inlineStr">
        <is>
          <t>hello@uberall.com</t>
        </is>
      </c>
      <c r="L858" s="38" t="inlineStr">
        <is>
          <t>+49 (0)30 2084 7932 0</t>
        </is>
      </c>
      <c r="M858" s="39" t="inlineStr">
        <is>
          <t>Josha Benner</t>
        </is>
      </c>
      <c r="N858" s="40" t="inlineStr">
        <is>
          <t>Co-Founder, Sales</t>
        </is>
      </c>
      <c r="O858" s="41" t="inlineStr">
        <is>
          <t>josha@uberall.com</t>
        </is>
      </c>
      <c r="P858" s="42" t="inlineStr">
        <is>
          <t>+49 (0)30 2084 7932 0</t>
        </is>
      </c>
      <c r="Q858" s="43" t="n">
        <v>2012.0</v>
      </c>
      <c r="R858" s="114">
        <f>HYPERLINK("https://my.pitchbook.com?c=95629-51", "View company online")</f>
      </c>
    </row>
    <row r="859">
      <c r="A859" s="9" t="inlineStr">
        <is>
          <t>51136-75</t>
        </is>
      </c>
      <c r="B859" s="10" t="inlineStr">
        <is>
          <t>Uber Technologies</t>
        </is>
      </c>
      <c r="C859" s="11" t="inlineStr">
        <is>
          <t>94103</t>
        </is>
      </c>
      <c r="D859" s="12" t="inlineStr">
        <is>
          <t>Provider of a location-based mobile application designed to connect riders and transportation providers. The company's on-demand ride-hailing application allows passengers to request a variety of personal transportation options that are fulfilled by a network of contract drivers, enabling users to have access to a convenient, fast and affordable mode of transportation.</t>
        </is>
      </c>
      <c r="E859" s="13" t="inlineStr">
        <is>
          <t>Social/Platform Software</t>
        </is>
      </c>
      <c r="F859" s="14" t="inlineStr">
        <is>
          <t>San Francisco, CA</t>
        </is>
      </c>
      <c r="G859" s="15" t="inlineStr">
        <is>
          <t>Privately Held (backing)</t>
        </is>
      </c>
      <c r="H859" s="16" t="inlineStr">
        <is>
          <t>Venture Capital-Backed</t>
        </is>
      </c>
      <c r="I859" s="17" t="inlineStr">
        <is>
          <t>ACE &amp; Company, Adam Leber, A-Grade Investments, Alfred Lin, Ali Partovi, American Funds Insurance Series, Axel Springer, Babak Nivi, Baidu, Bank of America Merrill Lynch, Benchmark Capital, Bennett Coleman and Company, Bezos Expeditions, Bill Trenchard, BlackRock Private Equity Partners, Bobby Yazdani, Brand Capital, Brian Chesky, Bryan Johnson, Capital Factory, Caspian Venture Capital, China CITIC Bank, China Life Insurance, Cota Capital, Cross Culture Ventures, CrunchFund, Cyan Banister, David Cohen, David Sacks, Didi Chuxing, Diego Berdakin, Dragoneer Investment Group, Dror Berman, Eastlink Capital, Emil Capital Partners, Eric Paley, Fabrice Grinda, Fidelity Investments, First Round Capital, FJ Labs, Foundation Capital, Founder Collective, Frees Fund, FS Investors, Gary Vaynerchuk, General Atlantic, Geodesic Capital, GIC, Glade Brook Capital Partners, GSV Ventures, Guangzhou Automobile, GV, Hartford Financial Services Group (Mutual Fund Business), HDS Capital, Hillhouse Capital Management, i/o Ventures, Industry Ventures, Innovation Endeavors, James Pallotta, Jason Calacanis, Jason Port, Jeffrey Bezos, Jeremy Stoppelman, John Hancock Investments, Josh Spear, K2 Global, Kaiser Permanente, Kapor Capital, Kees Koolen, Kevin Hartz, Khaled Helioui, Kleiner Perkins Caufield &amp; Byers, Kumpulan Wang Persaraan of Malaysia, Lead Edge Capital, LetterOne, Level Ventures, Lone Pine Capital, Lowercase Capital, Mark Hager, Matthew Ocko, Menlo Ventures, Microsoft, Mike Walsh, Moneytime Ventures, Morgan Stanley, Naval Ravikant, New Enterprise Associates, Nihal Mehta, Norwest Venture Partners, Olive Tree Capital, Optimum Asset Management, Oren Michels, Ping An Insurance Group Company of China, PRINCIPAL Mutual Fund, Putnam Investments, Qatar Investment Authority, Raptor Group, Robert Brannigan, Robert Hayes, RocketSpace, Saudi Arabia's Public Investment Fund, Sberbank of Russia, Scott Banister, Scott Belsky, Shawn Carter, Shawn Fanning, Sherpa Capital, Shervin Pishevar, Shumway Capital Partners, SignalFire, Signatures Capital, Square Peg Capital, Structure Capital, Summit Partners, Sway Ventures, Swordfish Investments, T. Rowe Price, Tao Capital Partners, Tata Capital, Techstars, Tengelmann Ventures, The Goldman Sachs Group, The Vanguard Group, Tiger Global Management, Times Internet, Toyota Motor, TPG Growth, Troy Carter, Tusk Ventures, United Services Automobile Association, USM Holding, Valiant Capital Partners, Variable Annuity Life Insurance Company, Zachary Bogue</t>
        </is>
      </c>
      <c r="J859" s="18" t="inlineStr">
        <is>
          <t>www.uber.com</t>
        </is>
      </c>
      <c r="K859" s="19" t="inlineStr">
        <is>
          <t>info@uber.com</t>
        </is>
      </c>
      <c r="L859" s="20" t="inlineStr">
        <is>
          <t/>
        </is>
      </c>
      <c r="M859" s="21" t="inlineStr">
        <is>
          <t>Travis Kalanick</t>
        </is>
      </c>
      <c r="N859" s="22" t="inlineStr">
        <is>
          <t>Co-Founder, Chief Executive Officer &amp; Board Member</t>
        </is>
      </c>
      <c r="O859" s="23" t="inlineStr">
        <is>
          <t>travis@uber.com</t>
        </is>
      </c>
      <c r="P859" s="24" t="inlineStr">
        <is>
          <t/>
        </is>
      </c>
      <c r="Q859" s="25" t="n">
        <v>2009.0</v>
      </c>
      <c r="R859" s="113">
        <f>HYPERLINK("https://my.pitchbook.com?c=51136-75", "View company online")</f>
      </c>
    </row>
    <row r="860">
      <c r="A860" s="27" t="inlineStr">
        <is>
          <t>54122-68</t>
        </is>
      </c>
      <c r="B860" s="28" t="inlineStr">
        <is>
          <t>Uber Metrics</t>
        </is>
      </c>
      <c r="C860" s="29" t="inlineStr">
        <is>
          <t>10178</t>
        </is>
      </c>
      <c r="D860" s="30" t="inlineStr">
        <is>
          <t>Provider of media coverage and social media management software. The company's software is a browser-based SaaS (software as a service) which provides an overview of opinions expressed on media channels.</t>
        </is>
      </c>
      <c r="E860" s="31" t="inlineStr">
        <is>
          <t>Social/Platform Software</t>
        </is>
      </c>
      <c r="F860" s="32" t="inlineStr">
        <is>
          <t>Berlin, Germany</t>
        </is>
      </c>
      <c r="G860" s="33" t="inlineStr">
        <is>
          <t>Privately Held (backing)</t>
        </is>
      </c>
      <c r="H860" s="34" t="inlineStr">
        <is>
          <t>Venture Capital-Backed</t>
        </is>
      </c>
      <c r="I860" s="35" t="inlineStr">
        <is>
          <t>German Accelerator, High-Tech Gründerfonds, Klingel Group, K-New Media</t>
        </is>
      </c>
      <c r="J860" s="36" t="inlineStr">
        <is>
          <t>www.ubermetrics-technologies.com</t>
        </is>
      </c>
      <c r="K860" s="37" t="inlineStr">
        <is>
          <t>hello@ubermetrics.com</t>
        </is>
      </c>
      <c r="L860" s="38" t="inlineStr">
        <is>
          <t>+49 (0)30 6098 5750 0</t>
        </is>
      </c>
      <c r="M860" s="39" t="inlineStr">
        <is>
          <t>Patrick Bunk</t>
        </is>
      </c>
      <c r="N860" s="40" t="inlineStr">
        <is>
          <t>Co-Founder &amp; Chief Executive Officer</t>
        </is>
      </c>
      <c r="O860" s="41" t="inlineStr">
        <is>
          <t>patrick@ubermetrics-technologies.com</t>
        </is>
      </c>
      <c r="P860" s="42" t="inlineStr">
        <is>
          <t>+49 (0)30 6098 5750 0</t>
        </is>
      </c>
      <c r="Q860" s="43" t="n">
        <v>2011.0</v>
      </c>
      <c r="R860" s="114">
        <f>HYPERLINK("https://my.pitchbook.com?c=54122-68", "View company online")</f>
      </c>
    </row>
    <row r="861">
      <c r="A861" s="9" t="inlineStr">
        <is>
          <t>54800-92</t>
        </is>
      </c>
      <c r="B861" s="10" t="inlineStr">
        <is>
          <t>uBeam</t>
        </is>
      </c>
      <c r="C861" s="11" t="inlineStr">
        <is>
          <t>90405</t>
        </is>
      </c>
      <c r="D861" s="12" t="inlineStr">
        <is>
          <t>Provider of wireless charging system designed to work via ultrasound. The company's wireless charging system transmits power over the air, enabling user to wirelessly charge devices, such as cellphones and laptops, using ultrasound.</t>
        </is>
      </c>
      <c r="E861" s="13" t="inlineStr">
        <is>
          <t>Electronic Equipment and Instruments</t>
        </is>
      </c>
      <c r="F861" s="14" t="inlineStr">
        <is>
          <t>Santa Monica, CA</t>
        </is>
      </c>
      <c r="G861" s="15" t="inlineStr">
        <is>
          <t>Privately Held (backing)</t>
        </is>
      </c>
      <c r="H861" s="16" t="inlineStr">
        <is>
          <t>Venture Capital-Backed</t>
        </is>
      </c>
      <c r="I861" s="17" t="inlineStr">
        <is>
          <t>Andreessen Horowitz, Anthony Hsieh, B7, Beanstalk Ventures, Cane Investments, CrunchFund, Daniel Gilbert, Ellen Levy, Founders Fund, Infocus Capital Partners, Katie Jacobs Stanton, Ken Hertz, Ken Seiff, Lab22, Ludlow Ventures, Lumia Capital, Machine Shop Ventures, Marissa Mayer, Mark Cuban, Patricia Hedley, Peter Diamandis, Shawn Fanning, Troy Carter, Upfront Ventures, Weiss Tech House, William Morris Endeavor Entertainment, WME Venture Partners</t>
        </is>
      </c>
      <c r="J861" s="18" t="inlineStr">
        <is>
          <t>www.ubeam.com</t>
        </is>
      </c>
      <c r="K861" s="19" t="inlineStr">
        <is>
          <t>info@ubeam.com</t>
        </is>
      </c>
      <c r="L861" s="20" t="inlineStr">
        <is>
          <t>+1 (908) 745-1899</t>
        </is>
      </c>
      <c r="M861" s="21" t="inlineStr">
        <is>
          <t>Meredith Perry</t>
        </is>
      </c>
      <c r="N861" s="22" t="inlineStr">
        <is>
          <t>Chief Executive Officer &amp; Founder</t>
        </is>
      </c>
      <c r="O861" s="23" t="inlineStr">
        <is>
          <t>meredith@ubeam.com</t>
        </is>
      </c>
      <c r="P861" s="24" t="inlineStr">
        <is>
          <t>+1 (908) 745-1899</t>
        </is>
      </c>
      <c r="Q861" s="25" t="n">
        <v>2011.0</v>
      </c>
      <c r="R861" s="113">
        <f>HYPERLINK("https://my.pitchbook.com?c=54800-92", "View company online")</f>
      </c>
    </row>
    <row r="862">
      <c r="A862" s="27" t="inlineStr">
        <is>
          <t>157321-54</t>
        </is>
      </c>
      <c r="B862" s="28" t="inlineStr">
        <is>
          <t>uAvionix</t>
        </is>
      </c>
      <c r="C862" s="29" t="inlineStr">
        <is>
          <t>94306</t>
        </is>
      </c>
      <c r="D862" s="30" t="inlineStr">
        <is>
          <t>Provider of drone technologies. The company offers unmanned automatic dependent surveillance broadcast technologies including a combination of hardware, software and real time airspace mapping which helps in operating of drones.</t>
        </is>
      </c>
      <c r="E862" s="31" t="inlineStr">
        <is>
          <t>Communication Software</t>
        </is>
      </c>
      <c r="F862" s="32" t="inlineStr">
        <is>
          <t>Palo Alto, CA</t>
        </is>
      </c>
      <c r="G862" s="33" t="inlineStr">
        <is>
          <t>Privately Held (backing)</t>
        </is>
      </c>
      <c r="H862" s="34" t="inlineStr">
        <is>
          <t>Venture Capital-Backed</t>
        </is>
      </c>
      <c r="I862" s="35" t="inlineStr">
        <is>
          <t>Playground Global</t>
        </is>
      </c>
      <c r="J862" s="36" t="inlineStr">
        <is>
          <t>www.uavionix.com</t>
        </is>
      </c>
      <c r="K862" s="37" t="inlineStr">
        <is>
          <t>info@uavionix.com</t>
        </is>
      </c>
      <c r="L862" s="38" t="inlineStr">
        <is>
          <t/>
        </is>
      </c>
      <c r="M862" s="39" t="inlineStr">
        <is>
          <t>Paul Beard</t>
        </is>
      </c>
      <c r="N862" s="40" t="inlineStr">
        <is>
          <t>Founder &amp; Chief Executive Officer</t>
        </is>
      </c>
      <c r="O862" s="41" t="inlineStr">
        <is>
          <t/>
        </is>
      </c>
      <c r="P862" s="42" t="inlineStr">
        <is>
          <t>+1 (403) 781-6671</t>
        </is>
      </c>
      <c r="Q862" s="43" t="n">
        <v>2014.0</v>
      </c>
      <c r="R862" s="114">
        <f>HYPERLINK("https://my.pitchbook.com?c=157321-54", "View company online")</f>
      </c>
    </row>
    <row r="863">
      <c r="A863" s="9" t="inlineStr">
        <is>
          <t>57322-72</t>
        </is>
      </c>
      <c r="B863" s="10" t="inlineStr">
        <is>
          <t>U2opia Mobile</t>
        </is>
      </c>
      <c r="C863" s="11" t="inlineStr">
        <is>
          <t>122018</t>
        </is>
      </c>
      <c r="D863" s="12" t="inlineStr">
        <is>
          <t>Provider of mobile applications designed to drive connectivity, fuel transformation and help companies to grow and innovate. The company's mobile application offers data driven services enabling users to have customized access to the social internet.</t>
        </is>
      </c>
      <c r="E863" s="13" t="inlineStr">
        <is>
          <t>Application Software</t>
        </is>
      </c>
      <c r="F863" s="14" t="inlineStr">
        <is>
          <t>Gurgaon, India</t>
        </is>
      </c>
      <c r="G863" s="15" t="inlineStr">
        <is>
          <t>Privately Held (backing)</t>
        </is>
      </c>
      <c r="H863" s="16" t="inlineStr">
        <is>
          <t>Venture Capital-Backed</t>
        </is>
      </c>
      <c r="I863" s="17" t="inlineStr">
        <is>
          <t>Matrix Partners India, Omidyar Network</t>
        </is>
      </c>
      <c r="J863" s="18" t="inlineStr">
        <is>
          <t>www.u2opiamobile.com</t>
        </is>
      </c>
      <c r="K863" s="19" t="inlineStr">
        <is>
          <t>contactus@u2opiamobile.com</t>
        </is>
      </c>
      <c r="L863" s="20" t="inlineStr">
        <is>
          <t>+91 (0)12 4492 8000</t>
        </is>
      </c>
      <c r="M863" s="21" t="inlineStr">
        <is>
          <t>Sumesh Menon</t>
        </is>
      </c>
      <c r="N863" s="22" t="inlineStr">
        <is>
          <t>Co-Founder, Manging Director &amp; Board Member</t>
        </is>
      </c>
      <c r="O863" s="23" t="inlineStr">
        <is>
          <t>sumesh@u2opiamobile.com</t>
        </is>
      </c>
      <c r="P863" s="24" t="inlineStr">
        <is>
          <t>+65 6408 9727</t>
        </is>
      </c>
      <c r="Q863" s="25" t="n">
        <v>2011.0</v>
      </c>
      <c r="R863" s="113">
        <f>HYPERLINK("https://my.pitchbook.com?c=57322-72", "View company online")</f>
      </c>
    </row>
    <row r="864">
      <c r="A864" s="27" t="inlineStr">
        <is>
          <t>65210-59</t>
        </is>
      </c>
      <c r="B864" s="28" t="inlineStr">
        <is>
          <t>Tyto Life</t>
        </is>
      </c>
      <c r="C864" s="29" t="inlineStr">
        <is>
          <t>94010</t>
        </is>
      </c>
      <c r="D864" s="30" t="inlineStr">
        <is>
          <t>Manufacturer of doors with integrated locking systems. The company offers sliding patio and front entry doors with integrated locking systems.</t>
        </is>
      </c>
      <c r="E864" s="31" t="inlineStr">
        <is>
          <t>Other Commercial Products</t>
        </is>
      </c>
      <c r="F864" s="32" t="inlineStr">
        <is>
          <t>Burlingame, CA</t>
        </is>
      </c>
      <c r="G864" s="33" t="inlineStr">
        <is>
          <t>Privately Held (backing)</t>
        </is>
      </c>
      <c r="H864" s="34" t="inlineStr">
        <is>
          <t>Venture Capital-Backed</t>
        </is>
      </c>
      <c r="I864" s="35" t="inlineStr">
        <is>
          <t>Mohr Davidow Ventures</t>
        </is>
      </c>
      <c r="J864" s="36" t="inlineStr">
        <is>
          <t>www.tyto.com</t>
        </is>
      </c>
      <c r="K864" s="37" t="inlineStr">
        <is>
          <t/>
        </is>
      </c>
      <c r="L864" s="38" t="inlineStr">
        <is>
          <t/>
        </is>
      </c>
      <c r="M864" s="39" t="inlineStr">
        <is>
          <t>Sam Jadallah</t>
        </is>
      </c>
      <c r="N864" s="40" t="inlineStr">
        <is>
          <t>Chief Executive Officer &amp; Co-Founder</t>
        </is>
      </c>
      <c r="O864" s="41" t="inlineStr">
        <is>
          <t>sam@tyto.com</t>
        </is>
      </c>
      <c r="P864" s="42" t="inlineStr">
        <is>
          <t/>
        </is>
      </c>
      <c r="Q864" s="43" t="n">
        <v>2012.0</v>
      </c>
      <c r="R864" s="114">
        <f>HYPERLINK("https://my.pitchbook.com?c=65210-59", "View company online")</f>
      </c>
    </row>
    <row r="865">
      <c r="A865" s="9" t="inlineStr">
        <is>
          <t>107315-83</t>
        </is>
      </c>
      <c r="B865" s="10" t="inlineStr">
        <is>
          <t>TyreAid</t>
        </is>
      </c>
      <c r="C865" s="11" t="inlineStr">
        <is>
          <t>02171</t>
        </is>
      </c>
      <c r="D865" s="12" t="inlineStr">
        <is>
          <t>Manufacturer of tire pressure monitoring systems. The company offers a tire pressure monitoring system which has pressure sensing element, radio frequency transmitter and safety valve features.</t>
        </is>
      </c>
      <c r="E865" s="13" t="inlineStr">
        <is>
          <t>Automotive</t>
        </is>
      </c>
      <c r="F865" s="14" t="inlineStr">
        <is>
          <t>Esbo, Finland</t>
        </is>
      </c>
      <c r="G865" s="15" t="inlineStr">
        <is>
          <t>Privately Held (backing)</t>
        </is>
      </c>
      <c r="H865" s="16" t="inlineStr">
        <is>
          <t>Venture Capital-Backed</t>
        </is>
      </c>
      <c r="I865" s="17" t="inlineStr">
        <is>
          <t>Wolfpack Ventures</t>
        </is>
      </c>
      <c r="J865" s="18" t="inlineStr">
        <is>
          <t>www.tyreaid.com</t>
        </is>
      </c>
      <c r="K865" s="19" t="inlineStr">
        <is>
          <t/>
        </is>
      </c>
      <c r="L865" s="20" t="inlineStr">
        <is>
          <t>+358 (0)92 316 3335</t>
        </is>
      </c>
      <c r="M865" s="21" t="inlineStr">
        <is>
          <t>Torbjorn Lundqvist</t>
        </is>
      </c>
      <c r="N865" s="22" t="inlineStr">
        <is>
          <t>President &amp; Founder</t>
        </is>
      </c>
      <c r="O865" s="23" t="inlineStr">
        <is>
          <t>torbjorn@automotiveupgrade.com</t>
        </is>
      </c>
      <c r="P865" s="24" t="inlineStr">
        <is>
          <t>+1 (760) 208-1810</t>
        </is>
      </c>
      <c r="Q865" s="25" t="n">
        <v>2003.0</v>
      </c>
      <c r="R865" s="113">
        <f>HYPERLINK("https://my.pitchbook.com?c=107315-83", "View company online")</f>
      </c>
    </row>
    <row r="866">
      <c r="A866" s="27" t="inlineStr">
        <is>
          <t>107004-43</t>
        </is>
      </c>
      <c r="B866" s="28" t="inlineStr">
        <is>
          <t>TypeLaw</t>
        </is>
      </c>
      <c r="C866" s="29" t="inlineStr">
        <is>
          <t>94107</t>
        </is>
      </c>
      <c r="D866" s="30" t="inlineStr">
        <is>
          <t>Provider of an application for writing appellate briefs. The company's application helps user to upload the word documented briefs which are in turn converted into PDF files and sent to the users email address.</t>
        </is>
      </c>
      <c r="E866" s="31" t="inlineStr">
        <is>
          <t>Application Software</t>
        </is>
      </c>
      <c r="F866" s="32" t="inlineStr">
        <is>
          <t>San Francisco, CA</t>
        </is>
      </c>
      <c r="G866" s="33" t="inlineStr">
        <is>
          <t>Privately Held (backing)</t>
        </is>
      </c>
      <c r="H866" s="34" t="inlineStr">
        <is>
          <t>Venture Capital-Backed</t>
        </is>
      </c>
      <c r="I866" s="35" t="inlineStr">
        <is>
          <t>Founders Den</t>
        </is>
      </c>
      <c r="J866" s="36" t="inlineStr">
        <is>
          <t>www.typelaw.com</t>
        </is>
      </c>
      <c r="K866" s="37" t="inlineStr">
        <is>
          <t>briefs@typelaw.com</t>
        </is>
      </c>
      <c r="L866" s="38" t="inlineStr">
        <is>
          <t>+1 (415) 800-2151</t>
        </is>
      </c>
      <c r="M866" s="39" t="inlineStr">
        <is>
          <t>Chris Dralla</t>
        </is>
      </c>
      <c r="N866" s="40" t="inlineStr">
        <is>
          <t>Co-Founder</t>
        </is>
      </c>
      <c r="O866" s="41" t="inlineStr">
        <is>
          <t>chris.dralla@typelaw.com</t>
        </is>
      </c>
      <c r="P866" s="42" t="inlineStr">
        <is>
          <t>+1 (415) 800-2151</t>
        </is>
      </c>
      <c r="Q866" s="43" t="n">
        <v>2013.0</v>
      </c>
      <c r="R866" s="114">
        <f>HYPERLINK("https://my.pitchbook.com?c=107004-43", "View company online")</f>
      </c>
    </row>
    <row r="867">
      <c r="A867" s="9" t="inlineStr">
        <is>
          <t>12769-03</t>
        </is>
      </c>
      <c r="B867" s="10" t="inlineStr">
        <is>
          <t>TynTec</t>
        </is>
      </c>
      <c r="C867" s="11" t="inlineStr">
        <is>
          <t>IM1 1AQ</t>
        </is>
      </c>
      <c r="D867" s="12" t="inlineStr">
        <is>
          <t>Provider of mobile telecom services. The company offers a communication technology that integrates mobile services like Short Messaging Service (SMS), inbound and outbound voice services and number information services into a single Web of communication.</t>
        </is>
      </c>
      <c r="E867" s="13" t="inlineStr">
        <is>
          <t>Other Communications and Networking</t>
        </is>
      </c>
      <c r="F867" s="14" t="inlineStr">
        <is>
          <t>Douglas, United Kingdom</t>
        </is>
      </c>
      <c r="G867" s="15" t="inlineStr">
        <is>
          <t>Privately Held (backing)</t>
        </is>
      </c>
      <c r="H867" s="16" t="inlineStr">
        <is>
          <t>Venture Capital-Backed</t>
        </is>
      </c>
      <c r="I867" s="17" t="inlineStr">
        <is>
          <t>Catagonia Capital, Harbert Management, HarbourVest Partners, Iris Capital Management</t>
        </is>
      </c>
      <c r="J867" s="18" t="inlineStr">
        <is>
          <t>www.tyntec.com</t>
        </is>
      </c>
      <c r="K867" s="19" t="inlineStr">
        <is>
          <t/>
        </is>
      </c>
      <c r="L867" s="20" t="inlineStr">
        <is>
          <t>+44 (0)16 2466 7735</t>
        </is>
      </c>
      <c r="M867" s="21" t="inlineStr">
        <is>
          <t>Andreas Wiedmann</t>
        </is>
      </c>
      <c r="N867" s="22" t="inlineStr">
        <is>
          <t>Chief Financial Officer</t>
        </is>
      </c>
      <c r="O867" s="23" t="inlineStr">
        <is>
          <t>andreas.wiedmann@tyntec.com</t>
        </is>
      </c>
      <c r="P867" s="24" t="inlineStr">
        <is>
          <t>+49 (0)23 1477 9043 2</t>
        </is>
      </c>
      <c r="Q867" s="25" t="inlineStr">
        <is>
          <t/>
        </is>
      </c>
      <c r="R867" s="113">
        <f>HYPERLINK("https://my.pitchbook.com?c=12769-03", "View company online")</f>
      </c>
    </row>
    <row r="868">
      <c r="A868" s="27" t="inlineStr">
        <is>
          <t>56134-90</t>
        </is>
      </c>
      <c r="B868" s="28" t="inlineStr">
        <is>
          <t>Tynker</t>
        </is>
      </c>
      <c r="C868" s="29" t="inlineStr">
        <is>
          <t>94040</t>
        </is>
      </c>
      <c r="D868" s="30" t="inlineStr">
        <is>
          <t>Provider of a creative computing and computer programming platform for children. The company provides a creative education platform designed specifically to teach computational learning and programming skills like developing animations, mobile games, creating music, crafting e-books and building fictional robots.</t>
        </is>
      </c>
      <c r="E868" s="31" t="inlineStr">
        <is>
          <t>Educational and Training Services (B2C)</t>
        </is>
      </c>
      <c r="F868" s="32" t="inlineStr">
        <is>
          <t>Mountain View, CA</t>
        </is>
      </c>
      <c r="G868" s="33" t="inlineStr">
        <is>
          <t>Privately Held (backing)</t>
        </is>
      </c>
      <c r="H868" s="34" t="inlineStr">
        <is>
          <t>Venture Capital-Backed</t>
        </is>
      </c>
      <c r="I868" s="35" t="inlineStr">
        <is>
          <t>500 Startups, Ben Gomes, Cervin Ventures, Deborah Quazzo, Dentsu Ventures, Ethan Beard, Felicis Ventures, GSV Capital, John Katzman, Krishna Bharat, Matt Cutts, New Enterprise Associates, New Ground Ventures, NewSchools Venture Fund, Reach Capital, Relay Ventures, Richard Sarnoff, XG Ventures</t>
        </is>
      </c>
      <c r="J868" s="36" t="inlineStr">
        <is>
          <t>www.tynker.com</t>
        </is>
      </c>
      <c r="K868" s="37" t="inlineStr">
        <is>
          <t/>
        </is>
      </c>
      <c r="L868" s="38" t="inlineStr">
        <is>
          <t/>
        </is>
      </c>
      <c r="M868" s="39" t="inlineStr">
        <is>
          <t>Krishna Vedati</t>
        </is>
      </c>
      <c r="N868" s="40" t="inlineStr">
        <is>
          <t>Co-Founder &amp; Chief Executive Officer</t>
        </is>
      </c>
      <c r="O868" s="41" t="inlineStr">
        <is>
          <t>kvedati@tynker.com</t>
        </is>
      </c>
      <c r="P868" s="42" t="inlineStr">
        <is>
          <t/>
        </is>
      </c>
      <c r="Q868" s="43" t="n">
        <v>2012.0</v>
      </c>
      <c r="R868" s="114">
        <f>HYPERLINK("https://my.pitchbook.com?c=56134-90", "View company online")</f>
      </c>
    </row>
    <row r="869">
      <c r="A869" s="9" t="inlineStr">
        <is>
          <t>55769-14</t>
        </is>
      </c>
      <c r="B869" s="10" t="inlineStr">
        <is>
          <t>Tylr Mobile</t>
        </is>
      </c>
      <c r="C869" s="11" t="inlineStr">
        <is>
          <t>94401</t>
        </is>
      </c>
      <c r="D869" s="12" t="inlineStr">
        <is>
          <t>Developer of an application for business emails. The company develops mobile applications that filter business data with personal context and scan business inboxes for important emails.</t>
        </is>
      </c>
      <c r="E869" s="13" t="inlineStr">
        <is>
          <t>Business/Productivity Software</t>
        </is>
      </c>
      <c r="F869" s="14" t="inlineStr">
        <is>
          <t>San Mateo, CA</t>
        </is>
      </c>
      <c r="G869" s="15" t="inlineStr">
        <is>
          <t>Privately Held (backing)</t>
        </is>
      </c>
      <c r="H869" s="16" t="inlineStr">
        <is>
          <t>Venture Capital-Backed</t>
        </is>
      </c>
      <c r="I869" s="17" t="inlineStr">
        <is>
          <t>Alchemist Accelerator, Ben Kepes, China Rock Ventures, Christian Dahlen, Citrix Startup Accelerator, Individual Investor, Jun LI, Salesforce Ventures, Scrum Ventures</t>
        </is>
      </c>
      <c r="J869" s="18" t="inlineStr">
        <is>
          <t>www.tylrmobile.com</t>
        </is>
      </c>
      <c r="K869" s="19" t="inlineStr">
        <is>
          <t>info@tylrmobile.com</t>
        </is>
      </c>
      <c r="L869" s="20" t="inlineStr">
        <is>
          <t>+1 (650) 242-5870</t>
        </is>
      </c>
      <c r="M869" s="21" t="inlineStr">
        <is>
          <t>Kirk Crenshaw</t>
        </is>
      </c>
      <c r="N869" s="22" t="inlineStr">
        <is>
          <t>Co-Founder</t>
        </is>
      </c>
      <c r="O869" s="23" t="inlineStr">
        <is>
          <t>kcrenshaw@traackr.com</t>
        </is>
      </c>
      <c r="P869" s="24" t="inlineStr">
        <is>
          <t>+1 (855) 872-2537</t>
        </is>
      </c>
      <c r="Q869" s="25" t="n">
        <v>2012.0</v>
      </c>
      <c r="R869" s="113">
        <f>HYPERLINK("https://my.pitchbook.com?c=55769-14", "View company online")</f>
      </c>
    </row>
    <row r="870">
      <c r="A870" s="27" t="inlineStr">
        <is>
          <t>98406-37</t>
        </is>
      </c>
      <c r="B870" s="28" t="inlineStr">
        <is>
          <t>Tyffon</t>
        </is>
      </c>
      <c r="C870" s="29" t="inlineStr">
        <is>
          <t>90404</t>
        </is>
      </c>
      <c r="D870" s="30" t="inlineStr">
        <is>
          <t>Developer of entertainment applications for smartphones. The company develops creativity, photo editing and entertainment applications for smartphones.</t>
        </is>
      </c>
      <c r="E870" s="31" t="inlineStr">
        <is>
          <t>Application Software</t>
        </is>
      </c>
      <c r="F870" s="32" t="inlineStr">
        <is>
          <t>Santa Monica, CA</t>
        </is>
      </c>
      <c r="G870" s="33" t="inlineStr">
        <is>
          <t>Privately Held (backing)</t>
        </is>
      </c>
      <c r="H870" s="34" t="inlineStr">
        <is>
          <t>Venture Capital-Backed</t>
        </is>
      </c>
      <c r="I870" s="35" t="inlineStr">
        <is>
          <t>Disney Accelerator, Right Side Capital Management, Techstars</t>
        </is>
      </c>
      <c r="J870" s="36" t="inlineStr">
        <is>
          <t>www.tyffon.com</t>
        </is>
      </c>
      <c r="K870" s="37" t="inlineStr">
        <is>
          <t>inquiry@tyffon.com</t>
        </is>
      </c>
      <c r="L870" s="38" t="inlineStr">
        <is>
          <t/>
        </is>
      </c>
      <c r="M870" s="39" t="inlineStr">
        <is>
          <t>Takeshi Fukazawa</t>
        </is>
      </c>
      <c r="N870" s="40" t="inlineStr">
        <is>
          <t>Co-Founder, Chief Executive Officer, Board Member and Chief Creative Officer</t>
        </is>
      </c>
      <c r="O870" s="41" t="inlineStr">
        <is>
          <t>ken@tyffon.com</t>
        </is>
      </c>
      <c r="P870" s="42" t="inlineStr">
        <is>
          <t/>
        </is>
      </c>
      <c r="Q870" s="43" t="n">
        <v>2011.0</v>
      </c>
      <c r="R870" s="114">
        <f>HYPERLINK("https://my.pitchbook.com?c=98406-37", "View company online")</f>
      </c>
    </row>
    <row r="871">
      <c r="A871" s="9" t="inlineStr">
        <is>
          <t>107592-22</t>
        </is>
      </c>
      <c r="B871" s="10" t="inlineStr">
        <is>
          <t>TXN Solutions</t>
        </is>
      </c>
      <c r="C871" s="11" t="inlineStr">
        <is>
          <t>94105</t>
        </is>
      </c>
      <c r="D871" s="12" t="inlineStr">
        <is>
          <t>Provider of market research analytical tool for businesses. The company offers market research services based on consumer credit card transaction information and feedback which enables the merchants to get insight about themselves, their customers, competitors and partners.</t>
        </is>
      </c>
      <c r="E871" s="13" t="inlineStr">
        <is>
          <t>Business/Productivity Software</t>
        </is>
      </c>
      <c r="F871" s="14" t="inlineStr">
        <is>
          <t>San Francisco, CA</t>
        </is>
      </c>
      <c r="G871" s="15" t="inlineStr">
        <is>
          <t>Privately Held (backing)</t>
        </is>
      </c>
      <c r="H871" s="16" t="inlineStr">
        <is>
          <t>Venture Capital-Backed</t>
        </is>
      </c>
      <c r="I871" s="17" t="inlineStr">
        <is>
          <t>Andreessen Horowitz, Auren Hoffman, Bloomberg Beta, General Catalyst Partners, Homebrew, Jeffrey Zwelling, Ooga Labs, Social Starts, SV Angel, Tenfore Holdings</t>
        </is>
      </c>
      <c r="J871" s="18" t="inlineStr">
        <is>
          <t>txn.com</t>
        </is>
      </c>
      <c r="K871" s="19" t="inlineStr">
        <is>
          <t/>
        </is>
      </c>
      <c r="L871" s="20" t="inlineStr">
        <is>
          <t/>
        </is>
      </c>
      <c r="M871" s="21" t="inlineStr">
        <is>
          <t>Jonathan Wolf</t>
        </is>
      </c>
      <c r="N871" s="22" t="inlineStr">
        <is>
          <t>Chief Executive Officer &amp; Co-Founder</t>
        </is>
      </c>
      <c r="O871" s="23" t="inlineStr">
        <is>
          <t>jonathan@txn.co</t>
        </is>
      </c>
      <c r="P871" s="24" t="inlineStr">
        <is>
          <t/>
        </is>
      </c>
      <c r="Q871" s="25" t="n">
        <v>2013.0</v>
      </c>
      <c r="R871" s="113">
        <f>HYPERLINK("https://my.pitchbook.com?c=107592-22", "View company online")</f>
      </c>
    </row>
    <row r="872">
      <c r="A872" s="27" t="inlineStr">
        <is>
          <t>176488-12</t>
        </is>
      </c>
      <c r="B872" s="28" t="inlineStr">
        <is>
          <t>TXL</t>
        </is>
      </c>
      <c r="C872" s="29" t="inlineStr">
        <is>
          <t>114 49</t>
        </is>
      </c>
      <c r="D872" s="30" t="inlineStr">
        <is>
          <t>Developer of software for websites, smartphone and feature phone apps, multimedia tools, online platforms, and integrations with other systems created to transform how businesses expand. The company's digital communication software development platform created application, software or web to fit business needs designed for simple integration with existing systems, websites, social media pages, email accounts and any other complementary tools, enabling, businesses to promote and expand and remain competitive with continuous IT development.</t>
        </is>
      </c>
      <c r="E872" s="31" t="inlineStr">
        <is>
          <t>Software Development Applications</t>
        </is>
      </c>
      <c r="F872" s="32" t="inlineStr">
        <is>
          <t>Stockholm, Sweden</t>
        </is>
      </c>
      <c r="G872" s="33" t="inlineStr">
        <is>
          <t>Privately Held (backing)</t>
        </is>
      </c>
      <c r="H872" s="34" t="inlineStr">
        <is>
          <t>Venture Capital-Backed</t>
        </is>
      </c>
      <c r="I872" s="35" t="inlineStr">
        <is>
          <t>NS Ventures</t>
        </is>
      </c>
      <c r="J872" s="36" t="inlineStr">
        <is>
          <t>www.txl.se</t>
        </is>
      </c>
      <c r="K872" s="37" t="inlineStr">
        <is>
          <t>info@txl.se</t>
        </is>
      </c>
      <c r="L872" s="38" t="inlineStr">
        <is>
          <t>+46 (0)70 778 47 22</t>
        </is>
      </c>
      <c r="M872" s="39" t="inlineStr">
        <is>
          <t>Tony Selin</t>
        </is>
      </c>
      <c r="N872" s="40" t="inlineStr">
        <is>
          <t>Chief Executive Officer</t>
        </is>
      </c>
      <c r="O872" s="41" t="inlineStr">
        <is>
          <t>tony@txl.se</t>
        </is>
      </c>
      <c r="P872" s="42" t="inlineStr">
        <is>
          <t>+46 (0)70 778 47 22</t>
        </is>
      </c>
      <c r="Q872" s="43" t="n">
        <v>1986.0</v>
      </c>
      <c r="R872" s="114">
        <f>HYPERLINK("https://my.pitchbook.com?c=176488-12", "View company online")</f>
      </c>
    </row>
    <row r="873">
      <c r="A873" s="9" t="inlineStr">
        <is>
          <t>104206-51</t>
        </is>
      </c>
      <c r="B873" s="10" t="inlineStr">
        <is>
          <t>twoXAR</t>
        </is>
      </c>
      <c r="C873" s="11" t="inlineStr">
        <is>
          <t>94301</t>
        </is>
      </c>
      <c r="D873" s="12" t="inlineStr">
        <is>
          <t>Provider of computational platform designed to improve health of the people. The company's computational platform is a secure cloud-based service that uses proprietary artificial intelligence to find unanticipated associations between drug and disease, enabling biopharmaceutical researchers to identify novel and repurposable drug candidates to expand drug pipelines.</t>
        </is>
      </c>
      <c r="E873" s="13" t="inlineStr">
        <is>
          <t>Drug Discovery</t>
        </is>
      </c>
      <c r="F873" s="14" t="inlineStr">
        <is>
          <t>Palo Alto, CA</t>
        </is>
      </c>
      <c r="G873" s="15" t="inlineStr">
        <is>
          <t>Privately Held (backing)</t>
        </is>
      </c>
      <c r="H873" s="16" t="inlineStr">
        <is>
          <t>Venture Capital-Backed</t>
        </is>
      </c>
      <c r="I873" s="17" t="inlineStr">
        <is>
          <t>Andreessen Horowitz, Cheerland Investments Group, StartX, Stex25</t>
        </is>
      </c>
      <c r="J873" s="18" t="inlineStr">
        <is>
          <t>www.twoxar.com</t>
        </is>
      </c>
      <c r="K873" s="19" t="inlineStr">
        <is>
          <t/>
        </is>
      </c>
      <c r="L873" s="20" t="inlineStr">
        <is>
          <t>+1 (650) 382-2605</t>
        </is>
      </c>
      <c r="M873" s="21" t="inlineStr">
        <is>
          <t>Andrew Radin</t>
        </is>
      </c>
      <c r="N873" s="22" t="inlineStr">
        <is>
          <t>Chief Executive Officer &amp; Co-Founder</t>
        </is>
      </c>
      <c r="O873" s="23" t="inlineStr">
        <is>
          <t>aradin@twoxar.com</t>
        </is>
      </c>
      <c r="P873" s="24" t="inlineStr">
        <is>
          <t>+1 (650) 382-2605</t>
        </is>
      </c>
      <c r="Q873" s="25" t="n">
        <v>2014.0</v>
      </c>
      <c r="R873" s="113">
        <f>HYPERLINK("https://my.pitchbook.com?c=104206-51", "View company online")</f>
      </c>
    </row>
    <row r="874">
      <c r="A874" s="27" t="inlineStr">
        <is>
          <t>61591-69</t>
        </is>
      </c>
      <c r="B874" s="28" t="inlineStr">
        <is>
          <t>Two Tap</t>
        </is>
      </c>
      <c r="C874" s="29" t="inlineStr">
        <is>
          <t>94103</t>
        </is>
      </c>
      <c r="D874" s="30" t="inlineStr">
        <is>
          <t>Developer of an online purchasing application. The company allows brands to sell products from any online stores to any mobile, desktop and offline device. It also allows publishers to sell products in their application.</t>
        </is>
      </c>
      <c r="E874" s="31" t="inlineStr">
        <is>
          <t>Application Software</t>
        </is>
      </c>
      <c r="F874" s="32" t="inlineStr">
        <is>
          <t>San Francisco, CA</t>
        </is>
      </c>
      <c r="G874" s="33" t="inlineStr">
        <is>
          <t>Privately Held (backing)</t>
        </is>
      </c>
      <c r="H874" s="34" t="inlineStr">
        <is>
          <t>Venture Capital-Backed</t>
        </is>
      </c>
      <c r="I874" s="35" t="inlineStr">
        <is>
          <t>DG Incubation, Digital Garage, Green Visor Capital, Initialized Capital, Khosla Ventures, Robert Emrich, Saad AlSogair, SV Angel, Transmedia Capital, Y Combinator</t>
        </is>
      </c>
      <c r="J874" s="36" t="inlineStr">
        <is>
          <t>www.twotap.com</t>
        </is>
      </c>
      <c r="K874" s="37" t="inlineStr">
        <is>
          <t>hello@twotap.com</t>
        </is>
      </c>
      <c r="L874" s="38" t="inlineStr">
        <is>
          <t>+1 (650) 646-8987</t>
        </is>
      </c>
      <c r="M874" s="39" t="inlineStr">
        <is>
          <t>Razvan Roman</t>
        </is>
      </c>
      <c r="N874" s="40" t="inlineStr">
        <is>
          <t>Co-Founder &amp; Chief Executive Officer</t>
        </is>
      </c>
      <c r="O874" s="41" t="inlineStr">
        <is>
          <t>razvan@twotap.com</t>
        </is>
      </c>
      <c r="P874" s="42" t="inlineStr">
        <is>
          <t>+1 (650) 646-8987</t>
        </is>
      </c>
      <c r="Q874" s="43" t="n">
        <v>2012.0</v>
      </c>
      <c r="R874" s="114">
        <f>HYPERLINK("https://my.pitchbook.com?c=61591-69", "View company online")</f>
      </c>
    </row>
    <row r="875">
      <c r="A875" s="9" t="inlineStr">
        <is>
          <t>162170-38</t>
        </is>
      </c>
      <c r="B875" s="10" t="inlineStr">
        <is>
          <t>Two Pore Guys</t>
        </is>
      </c>
      <c r="C875" s="11" t="inlineStr">
        <is>
          <t>95060</t>
        </is>
      </c>
      <c r="D875" s="12" t="inlineStr">
        <is>
          <t>Developer of a digital, hand-held and single molecule biosensor designed to detect virtually any kind of molecule with very high sensitivity. The company's point-of-use testing works like a glucose monitor, though its disposable test strips and is based on its core technology which includes solid-state, nanopore-based sensors that can detect nucleic acids and proteins and other analytes in human, animal, agriculture and environmental samples, enabling digital, single-molecule sensing in a small, inexpensive and simple-to-use form factor in telemedicine, clinical trials for drug development and global tracking of pathogens and diseases.</t>
        </is>
      </c>
      <c r="E875" s="13" t="inlineStr">
        <is>
          <t>Biotechnology</t>
        </is>
      </c>
      <c r="F875" s="14" t="inlineStr">
        <is>
          <t>Santa Cruz, CA</t>
        </is>
      </c>
      <c r="G875" s="15" t="inlineStr">
        <is>
          <t>Privately Held (backing)</t>
        </is>
      </c>
      <c r="H875" s="16" t="inlineStr">
        <is>
          <t>Venture Capital-Backed</t>
        </is>
      </c>
      <c r="I875" s="17" t="inlineStr">
        <is>
          <t>DEFTA Partners, Khosla Ventures, U.S. Department of Health and Human Services</t>
        </is>
      </c>
      <c r="J875" s="18" t="inlineStr">
        <is>
          <t>www.twoporeguys.com</t>
        </is>
      </c>
      <c r="K875" s="19" t="inlineStr">
        <is>
          <t>info@twoporeguys.com</t>
        </is>
      </c>
      <c r="L875" s="20" t="inlineStr">
        <is>
          <t>+1 (831) 515-8515</t>
        </is>
      </c>
      <c r="M875" s="21" t="inlineStr">
        <is>
          <t>William Dunbar</t>
        </is>
      </c>
      <c r="N875" s="22" t="inlineStr">
        <is>
          <t>Co-Founder, Consultant &amp; Chief Technology Officer</t>
        </is>
      </c>
      <c r="O875" s="23" t="inlineStr">
        <is>
          <t>william@twoporeguys.com</t>
        </is>
      </c>
      <c r="P875" s="24" t="inlineStr">
        <is>
          <t>+1 (831) 515-8515</t>
        </is>
      </c>
      <c r="Q875" s="25" t="n">
        <v>2011.0</v>
      </c>
      <c r="R875" s="113">
        <f>HYPERLINK("https://my.pitchbook.com?c=162170-38", "View company online")</f>
      </c>
    </row>
    <row r="876">
      <c r="A876" s="27" t="inlineStr">
        <is>
          <t>56124-46</t>
        </is>
      </c>
      <c r="B876" s="28" t="inlineStr">
        <is>
          <t>Two Degrees Food</t>
        </is>
      </c>
      <c r="C876" s="29" t="inlineStr">
        <is>
          <t>94107</t>
        </is>
      </c>
      <c r="D876" s="30" t="inlineStr">
        <is>
          <t>Producer and marketer of nutritious snack bars. The company provides all-natural, gluten-free, vegan and GMO-free nutrition bars in several flavors including apple pecan, cherry almond, chocolate banana and chocolate peanut to its customers through wholesalers, retailers and its online website.</t>
        </is>
      </c>
      <c r="E876" s="31" t="inlineStr">
        <is>
          <t>Food Products</t>
        </is>
      </c>
      <c r="F876" s="32" t="inlineStr">
        <is>
          <t>San Francisco, CA</t>
        </is>
      </c>
      <c r="G876" s="33" t="inlineStr">
        <is>
          <t>Privately Held (backing)</t>
        </is>
      </c>
      <c r="H876" s="34" t="inlineStr">
        <is>
          <t>Venture Capital-Backed</t>
        </is>
      </c>
      <c r="I876" s="35" t="inlineStr">
        <is>
          <t>Avalon Ventures, Keiretsu Forum, Tom Rutledge</t>
        </is>
      </c>
      <c r="J876" s="36" t="inlineStr">
        <is>
          <t>www.twodegreesfood.com</t>
        </is>
      </c>
      <c r="K876" s="37" t="inlineStr">
        <is>
          <t>info@twodegreesfood.com</t>
        </is>
      </c>
      <c r="L876" s="38" t="inlineStr">
        <is>
          <t/>
        </is>
      </c>
      <c r="M876" s="39" t="inlineStr">
        <is>
          <t>Lauren Walters</t>
        </is>
      </c>
      <c r="N876" s="40" t="inlineStr">
        <is>
          <t>Co-Founder, Board Member &amp; Chief Executive Officer</t>
        </is>
      </c>
      <c r="O876" s="41" t="inlineStr">
        <is>
          <t>lauren@twodegreesfood.com</t>
        </is>
      </c>
      <c r="P876" s="42" t="inlineStr">
        <is>
          <t/>
        </is>
      </c>
      <c r="Q876" s="43" t="n">
        <v>2009.0</v>
      </c>
      <c r="R876" s="114">
        <f>HYPERLINK("https://my.pitchbook.com?c=56124-46", "View company online")</f>
      </c>
    </row>
    <row r="877">
      <c r="A877" s="9" t="inlineStr">
        <is>
          <t>90445-87</t>
        </is>
      </c>
      <c r="B877" s="10" t="inlineStr">
        <is>
          <t>Two Bit Circus</t>
        </is>
      </c>
      <c r="C877" s="11" t="inlineStr">
        <is>
          <t>90031</t>
        </is>
      </c>
      <c r="D877" s="12" t="inlineStr">
        <is>
          <t>Provider of experiential entertainment services. The company specializes in immersive storytelling on next-generation platforms and its public installations turn passive entertainment into interactive experiences and bring people together in unexpected ways.</t>
        </is>
      </c>
      <c r="E877" s="13" t="inlineStr">
        <is>
          <t>Movies, Music and Entertainment</t>
        </is>
      </c>
      <c r="F877" s="14" t="inlineStr">
        <is>
          <t>Los Angeles, CA</t>
        </is>
      </c>
      <c r="G877" s="15" t="inlineStr">
        <is>
          <t>Privately Held (backing)</t>
        </is>
      </c>
      <c r="H877" s="16" t="inlineStr">
        <is>
          <t>Venture Capital-Backed</t>
        </is>
      </c>
      <c r="I877" s="17" t="inlineStr">
        <is>
          <t>Dentsu Ventures, Foundry Group, Georgian Pine Investments, Intel Capital, JAZZ Venture Partners, Techstars</t>
        </is>
      </c>
      <c r="J877" s="18" t="inlineStr">
        <is>
          <t>www.twobitcircus.com</t>
        </is>
      </c>
      <c r="K877" s="19" t="inlineStr">
        <is>
          <t>info@twobitcircus.com</t>
        </is>
      </c>
      <c r="L877" s="20" t="inlineStr">
        <is>
          <t>+1 (323) 250-9964</t>
        </is>
      </c>
      <c r="M877" s="21" t="inlineStr">
        <is>
          <t>Brent Bushnell</t>
        </is>
      </c>
      <c r="N877" s="22" t="inlineStr">
        <is>
          <t>Co-Founder, Board Member, President and Chief Executive Officer</t>
        </is>
      </c>
      <c r="O877" s="23" t="inlineStr">
        <is>
          <t>brent@twobitcircus.com</t>
        </is>
      </c>
      <c r="P877" s="24" t="inlineStr">
        <is>
          <t>+1 (323) 250-9964</t>
        </is>
      </c>
      <c r="Q877" s="25" t="n">
        <v>2012.0</v>
      </c>
      <c r="R877" s="113">
        <f>HYPERLINK("https://my.pitchbook.com?c=90445-87", "View company online")</f>
      </c>
    </row>
    <row r="878">
      <c r="A878" s="27" t="inlineStr">
        <is>
          <t>54285-31</t>
        </is>
      </c>
      <c r="B878" s="28" t="inlineStr">
        <is>
          <t>Twitmusic</t>
        </is>
      </c>
      <c r="C878" s="29" t="inlineStr">
        <is>
          <t/>
        </is>
      </c>
      <c r="D878" s="30" t="inlineStr">
        <is>
          <t>Provider of an online music platform designed to promote music on Twitter. The company's online music platform allows songs uploaded by musicians to have 6 times more plays and 11 times more engagement than tracks see on similar sites, enabling musicians to launch campaigns, to help them grow their followers and to and reach new audiences on Twitter.</t>
        </is>
      </c>
      <c r="E878" s="31" t="inlineStr">
        <is>
          <t>Entertainment Software</t>
        </is>
      </c>
      <c r="F878" s="32" t="inlineStr">
        <is>
          <t>Mountain View, CA</t>
        </is>
      </c>
      <c r="G878" s="33" t="inlineStr">
        <is>
          <t>Privately Held (backing)</t>
        </is>
      </c>
      <c r="H878" s="34" t="inlineStr">
        <is>
          <t>Venture Capital-Backed</t>
        </is>
      </c>
      <c r="I878" s="35" t="inlineStr">
        <is>
          <t>500 Startups, Jungle Ventures, Wavemaker Partners</t>
        </is>
      </c>
      <c r="J878" s="36" t="inlineStr">
        <is>
          <t>www.twitmusic.com</t>
        </is>
      </c>
      <c r="K878" s="37" t="inlineStr">
        <is>
          <t/>
        </is>
      </c>
      <c r="L878" s="38" t="inlineStr">
        <is>
          <t/>
        </is>
      </c>
      <c r="M878" s="39" t="inlineStr">
        <is>
          <t>Stefano Fazzini</t>
        </is>
      </c>
      <c r="N878" s="40" t="inlineStr">
        <is>
          <t>Chief Executive Officer &amp; Co-Founder</t>
        </is>
      </c>
      <c r="O878" s="41" t="inlineStr">
        <is>
          <t>stefano@twitmusic.com</t>
        </is>
      </c>
      <c r="P878" s="42" t="inlineStr">
        <is>
          <t/>
        </is>
      </c>
      <c r="Q878" s="43" t="n">
        <v>2012.0</v>
      </c>
      <c r="R878" s="114">
        <f>HYPERLINK("https://my.pitchbook.com?c=54285-31", "View company online")</f>
      </c>
    </row>
    <row r="879">
      <c r="A879" s="9" t="inlineStr">
        <is>
          <t>57101-59</t>
        </is>
      </c>
      <c r="B879" s="10" t="inlineStr">
        <is>
          <t>TwitCasting</t>
        </is>
      </c>
      <c r="C879" s="11" t="inlineStr">
        <is>
          <t>101-0052</t>
        </is>
      </c>
      <c r="D879" s="12" t="inlineStr">
        <is>
          <t>Provider of online streaming platform. The company operates an online video streaming platform through which users can stream live videos for free.</t>
        </is>
      </c>
      <c r="E879" s="13" t="inlineStr">
        <is>
          <t>Application Software</t>
        </is>
      </c>
      <c r="F879" s="14" t="inlineStr">
        <is>
          <t>Tokyo, Japan</t>
        </is>
      </c>
      <c r="G879" s="15" t="inlineStr">
        <is>
          <t>Privately Held (backing)</t>
        </is>
      </c>
      <c r="H879" s="16" t="inlineStr">
        <is>
          <t>Venture Capital-Backed</t>
        </is>
      </c>
      <c r="I879" s="17" t="inlineStr">
        <is>
          <t>East Ventures, Individual Investor, Sinar Mas Indonesia</t>
        </is>
      </c>
      <c r="J879" s="18" t="inlineStr">
        <is>
          <t>us.twitcasting.tv</t>
        </is>
      </c>
      <c r="K879" s="19" t="inlineStr">
        <is>
          <t>info@moi.st</t>
        </is>
      </c>
      <c r="L879" s="20" t="inlineStr">
        <is>
          <t/>
        </is>
      </c>
      <c r="M879" s="21" t="inlineStr">
        <is>
          <t>Yoski Akamatsu</t>
        </is>
      </c>
      <c r="N879" s="22" t="inlineStr">
        <is>
          <t>Chief Executive Officer &amp; Founder</t>
        </is>
      </c>
      <c r="O879" s="23" t="inlineStr">
        <is>
          <t>yoski@moi.st</t>
        </is>
      </c>
      <c r="P879" s="24" t="inlineStr">
        <is>
          <t>+1 (650) 492-5048</t>
        </is>
      </c>
      <c r="Q879" s="25" t="n">
        <v>2010.0</v>
      </c>
      <c r="R879" s="113">
        <f>HYPERLINK("https://my.pitchbook.com?c=57101-59", "View company online")</f>
      </c>
    </row>
    <row r="880">
      <c r="A880" s="27" t="inlineStr">
        <is>
          <t>112835-62</t>
        </is>
      </c>
      <c r="B880" s="28" t="inlineStr">
        <is>
          <t>Twistlock</t>
        </is>
      </c>
      <c r="C880" s="29" t="inlineStr">
        <is>
          <t>94105</t>
        </is>
      </c>
      <c r="D880" s="30" t="inlineStr">
        <is>
          <t>Provider of a cloud-based container security platform created to maximize the benefits of virtual containers in the production environment. The company's security platform is an agentless architecture that utilizes advanced threat intelligence and machine learning, enabling organizations to consistently enforce security policies, monitor and audit activity as well as identify and isolate threats in a container or a cluster of containers.</t>
        </is>
      </c>
      <c r="E880" s="31" t="inlineStr">
        <is>
          <t>Network Management Software</t>
        </is>
      </c>
      <c r="F880" s="32" t="inlineStr">
        <is>
          <t>San Francisco, CA</t>
        </is>
      </c>
      <c r="G880" s="33" t="inlineStr">
        <is>
          <t>Privately Held (backing)</t>
        </is>
      </c>
      <c r="H880" s="34" t="inlineStr">
        <is>
          <t>Venture Capital-Backed</t>
        </is>
      </c>
      <c r="I880" s="35" t="inlineStr">
        <is>
          <t>Dell Technologies Capital, Polaris Partners, Rally Ventures, Ten Eleven Ventures, YL Ventures</t>
        </is>
      </c>
      <c r="J880" s="36" t="inlineStr">
        <is>
          <t>www.twistlock.com</t>
        </is>
      </c>
      <c r="K880" s="37" t="inlineStr">
        <is>
          <t>contact@twistlock.com</t>
        </is>
      </c>
      <c r="L880" s="38" t="inlineStr">
        <is>
          <t/>
        </is>
      </c>
      <c r="M880" s="39" t="inlineStr">
        <is>
          <t>Ben Bernstein</t>
        </is>
      </c>
      <c r="N880" s="40" t="inlineStr">
        <is>
          <t>Chief Executive Officer and Co-Founder</t>
        </is>
      </c>
      <c r="O880" s="41" t="inlineStr">
        <is>
          <t>ben@twistlock.com</t>
        </is>
      </c>
      <c r="P880" s="42" t="inlineStr">
        <is>
          <t>+1 (415) 767-5208</t>
        </is>
      </c>
      <c r="Q880" s="43" t="n">
        <v>2015.0</v>
      </c>
      <c r="R880" s="114">
        <f>HYPERLINK("https://my.pitchbook.com?c=112835-62", "View company online")</f>
      </c>
    </row>
    <row r="881">
      <c r="A881" s="9" t="inlineStr">
        <is>
          <t>57963-79</t>
        </is>
      </c>
      <c r="B881" s="10" t="inlineStr">
        <is>
          <t>Twist Bioscience</t>
        </is>
      </c>
      <c r="C881" s="11" t="inlineStr">
        <is>
          <t>94158</t>
        </is>
      </c>
      <c r="D881" s="12" t="inlineStr">
        <is>
          <t>Developer of disruptive Synthetic DNA technology designed to enable widespread health and sustainability. The company's proprietary semiconductor-based synthetic DNA manufacturing process features a high throughput silicon platform that synthesizes DNA on silicon instead of on traditional 96-well plastic plates to overcome the current inefficiencies of synthetic DNA production, enabling cost-effective, rapid, high-quality and high throughput synthetic gene production, which in turn, expedites the design, build and test cycle to enable personalized medicines, pharmaceuticals, sustainable chemical production, improved agriculture production, diagnostics and biodetection.</t>
        </is>
      </c>
      <c r="E881" s="13" t="inlineStr">
        <is>
          <t>Biotechnology</t>
        </is>
      </c>
      <c r="F881" s="14" t="inlineStr">
        <is>
          <t>San Francisco, CA</t>
        </is>
      </c>
      <c r="G881" s="15" t="inlineStr">
        <is>
          <t>Privately Held (backing)</t>
        </is>
      </c>
      <c r="H881" s="16" t="inlineStr">
        <is>
          <t>Venture Capital-Backed</t>
        </is>
      </c>
      <c r="I881" s="17" t="inlineStr">
        <is>
          <t>AME Cloud Ventures, Applied Materials, Applied Ventures, ARCH Venture Partners, Asset Management Ventures, ATEL Ventures, Biomatics Capital, Boris Nikolic, Cormorant Asset Management, Fidelity Management &amp; Research, Foresite Capital Management, iGlobe Partners, Illumina Ventures, Mérieux Développement, NanoDimension, Paladin Capital Group, Tao Invest, TAO Venture Capital Partners, Vital Venture Capital, WuXi Healthcare Investment Consulting (Shanghai), Yuri Milner</t>
        </is>
      </c>
      <c r="J881" s="18" t="inlineStr">
        <is>
          <t>www.twistbioscience.com</t>
        </is>
      </c>
      <c r="K881" s="19" t="inlineStr">
        <is>
          <t/>
        </is>
      </c>
      <c r="L881" s="20" t="inlineStr">
        <is>
          <t>+1 (408) 410-0105</t>
        </is>
      </c>
      <c r="M881" s="21" t="inlineStr">
        <is>
          <t>Emily Leproust</t>
        </is>
      </c>
      <c r="N881" s="22" t="inlineStr">
        <is>
          <t>Co-Founder, Chief Executive Officer, President &amp; Board Member</t>
        </is>
      </c>
      <c r="O881" s="23" t="inlineStr">
        <is>
          <t>eleproust@twistbioscience.com</t>
        </is>
      </c>
      <c r="P881" s="24" t="inlineStr">
        <is>
          <t>+1 (408) 410-0105</t>
        </is>
      </c>
      <c r="Q881" s="25" t="n">
        <v>2013.0</v>
      </c>
      <c r="R881" s="113">
        <f>HYPERLINK("https://my.pitchbook.com?c=57963-79", "View company online")</f>
      </c>
    </row>
    <row r="882">
      <c r="A882" s="27" t="inlineStr">
        <is>
          <t>103301-02</t>
        </is>
      </c>
      <c r="B882" s="28" t="inlineStr">
        <is>
          <t>Twine Data</t>
        </is>
      </c>
      <c r="C882" s="29" t="inlineStr">
        <is>
          <t>90021</t>
        </is>
      </c>
      <c r="D882" s="30" t="inlineStr">
        <is>
          <t>Provider of a mobile data platform designed to connect what event consumers complete in applications to audiences that advertisers want to reach. The company's mobile data platform helps digital advertisers to target mobile consumers, enabling organizations to safely generate user insights and an incremental revenue stream while delivering mobile marketers high quality mobile data that boosts campaign ROI.</t>
        </is>
      </c>
      <c r="E882" s="31" t="inlineStr">
        <is>
          <t>Social/Platform Software</t>
        </is>
      </c>
      <c r="F882" s="32" t="inlineStr">
        <is>
          <t>Los Angeles, CA</t>
        </is>
      </c>
      <c r="G882" s="33" t="inlineStr">
        <is>
          <t>Privately Held (backing)</t>
        </is>
      </c>
      <c r="H882" s="34" t="inlineStr">
        <is>
          <t>Venture Capital-Backed</t>
        </is>
      </c>
      <c r="I882" s="35" t="inlineStr">
        <is>
          <t>Aligned Partners, Grape Arbor VC</t>
        </is>
      </c>
      <c r="J882" s="36" t="inlineStr">
        <is>
          <t>www.twinedata.com</t>
        </is>
      </c>
      <c r="K882" s="37" t="inlineStr">
        <is>
          <t/>
        </is>
      </c>
      <c r="L882" s="38" t="inlineStr">
        <is>
          <t>+1 (415) 489-9252</t>
        </is>
      </c>
      <c r="M882" s="39" t="inlineStr">
        <is>
          <t>Elliott Easterling</t>
        </is>
      </c>
      <c r="N882" s="40" t="inlineStr">
        <is>
          <t>Co-Founder &amp; Chief Executive Officer</t>
        </is>
      </c>
      <c r="O882" s="41" t="inlineStr">
        <is>
          <t>eeasterling@twinedata.com</t>
        </is>
      </c>
      <c r="P882" s="42" t="inlineStr">
        <is>
          <t>+1 (415) 489-9252</t>
        </is>
      </c>
      <c r="Q882" s="43" t="n">
        <v>2013.0</v>
      </c>
      <c r="R882" s="114">
        <f>HYPERLINK("https://my.pitchbook.com?c=103301-02", "View company online")</f>
      </c>
    </row>
    <row r="883">
      <c r="A883" s="9" t="inlineStr">
        <is>
          <t>98315-47</t>
        </is>
      </c>
      <c r="B883" s="10" t="inlineStr">
        <is>
          <t>Twindom</t>
        </is>
      </c>
      <c r="C883" s="11" t="inlineStr">
        <is>
          <t>94704</t>
        </is>
      </c>
      <c r="D883" s="12" t="inlineStr">
        <is>
          <t>Developer of full-body 3D scanners designed to scan, print and deliver 3D printed miniatures of people. The company's full-body 3D scanners are mobile 3D scanners that utilizes 3D technology, captures images and creates 3D models of real people, enabling user to review, share and order the custom model.</t>
        </is>
      </c>
      <c r="E883" s="13" t="inlineStr">
        <is>
          <t>Electronics (B2C)</t>
        </is>
      </c>
      <c r="F883" s="14" t="inlineStr">
        <is>
          <t>Berkeley, CA</t>
        </is>
      </c>
      <c r="G883" s="15" t="inlineStr">
        <is>
          <t>Privately Held (backing)</t>
        </is>
      </c>
      <c r="H883" s="16" t="inlineStr">
        <is>
          <t>Venture Capital-Backed</t>
        </is>
      </c>
      <c r="I883" s="17" t="inlineStr">
        <is>
          <t>AngelVest Group, Boost VC, Seraph Group, Skydeck | Berkeley, Timothy Draper</t>
        </is>
      </c>
      <c r="J883" s="18" t="inlineStr">
        <is>
          <t>www.twindom.com</t>
        </is>
      </c>
      <c r="K883" s="19" t="inlineStr">
        <is>
          <t>help@twindom.com</t>
        </is>
      </c>
      <c r="L883" s="20" t="inlineStr">
        <is>
          <t>+1 (415) 364-8685</t>
        </is>
      </c>
      <c r="M883" s="21" t="inlineStr">
        <is>
          <t>Will Drevno</t>
        </is>
      </c>
      <c r="N883" s="22" t="inlineStr">
        <is>
          <t>Co-Founder, Chief Operating Officer &amp; Board Member</t>
        </is>
      </c>
      <c r="O883" s="23" t="inlineStr">
        <is>
          <t>will@twindom.com</t>
        </is>
      </c>
      <c r="P883" s="24" t="inlineStr">
        <is>
          <t>+1 (415) 364-8685</t>
        </is>
      </c>
      <c r="Q883" s="25" t="n">
        <v>2012.0</v>
      </c>
      <c r="R883" s="113">
        <f>HYPERLINK("https://my.pitchbook.com?c=98315-47", "View company online")</f>
      </c>
    </row>
    <row r="884">
      <c r="A884" s="27" t="inlineStr">
        <is>
          <t>56358-55</t>
        </is>
      </c>
      <c r="B884" s="28" t="inlineStr">
        <is>
          <t>Twiki</t>
        </is>
      </c>
      <c r="C884" s="29" t="inlineStr">
        <is>
          <t>94085</t>
        </is>
      </c>
      <c r="D884" s="30" t="inlineStr">
        <is>
          <t>Provider of an open source enterprise wiki and Web application platform. The company's platform transforms intranet and portals, creating a powerful knowledge infrastructure for organizations and easily create pattern based workflows that model business process.</t>
        </is>
      </c>
      <c r="E884" s="31" t="inlineStr">
        <is>
          <t>Application Software</t>
        </is>
      </c>
      <c r="F884" s="32" t="inlineStr">
        <is>
          <t>Sunnyvale, CA</t>
        </is>
      </c>
      <c r="G884" s="33" t="inlineStr">
        <is>
          <t>Privately Held (backing)</t>
        </is>
      </c>
      <c r="H884" s="34" t="inlineStr">
        <is>
          <t>Venture Capital-Backed</t>
        </is>
      </c>
      <c r="I884" s="35" t="inlineStr">
        <is>
          <t>Amidzad Partners</t>
        </is>
      </c>
      <c r="J884" s="36" t="inlineStr">
        <is>
          <t>www.twiki.org</t>
        </is>
      </c>
      <c r="K884" s="37" t="inlineStr">
        <is>
          <t>info@twiki.net</t>
        </is>
      </c>
      <c r="L884" s="38" t="inlineStr">
        <is>
          <t>+1 (650) 641-8060</t>
        </is>
      </c>
      <c r="M884" s="39" t="inlineStr">
        <is>
          <t>Peter Thoeny</t>
        </is>
      </c>
      <c r="N884" s="40" t="inlineStr">
        <is>
          <t>Co-Founder &amp; Chief Technology Officer</t>
        </is>
      </c>
      <c r="O884" s="41" t="inlineStr">
        <is>
          <t>pthoeny@twiki.org</t>
        </is>
      </c>
      <c r="P884" s="42" t="inlineStr">
        <is>
          <t>+1 (650) 641-8060</t>
        </is>
      </c>
      <c r="Q884" s="43" t="n">
        <v>1998.0</v>
      </c>
      <c r="R884" s="114">
        <f>HYPERLINK("https://my.pitchbook.com?c=56358-55", "View company online")</f>
      </c>
    </row>
    <row r="885">
      <c r="A885" s="9" t="inlineStr">
        <is>
          <t>93035-89</t>
        </is>
      </c>
      <c r="B885" s="10" t="inlineStr">
        <is>
          <t>Twigtale</t>
        </is>
      </c>
      <c r="C885" s="11" t="inlineStr">
        <is>
          <t>90292</t>
        </is>
      </c>
      <c r="D885" s="12" t="inlineStr">
        <is>
          <t>Operator of a web platform designed to provide personalized and accessible expert parenting advice. The company's web platform provides advice for every major transition a child undergoes, such as welcoming a new baby, moving, even experiencing death or cancer as well as helps to create personalized children books, videos and share photos, providing parents with advice's on child development and growth.</t>
        </is>
      </c>
      <c r="E885" s="13" t="inlineStr">
        <is>
          <t>Social/Platform Software</t>
        </is>
      </c>
      <c r="F885" s="14" t="inlineStr">
        <is>
          <t>Los Angeles, CA</t>
        </is>
      </c>
      <c r="G885" s="15" t="inlineStr">
        <is>
          <t>Privately Held (backing)</t>
        </is>
      </c>
      <c r="H885" s="16" t="inlineStr">
        <is>
          <t>Venture Capital-Backed</t>
        </is>
      </c>
      <c r="I885" s="17" t="inlineStr">
        <is>
          <t>Anne Wojcicki, Brad Murray, Disney Accelerator, Elizabeth and Colin Callender, Grant Van Cleve, Harvard Business School Alumni Angels of London, Lawrence Page, Lucy Southworth Page, Lynn Jurich, Peter Yewell, Right Side Capital Management, Shaun Arora, Tech Coast Angels, Techstars, Wendi Deng, Wolverine Angel Network</t>
        </is>
      </c>
      <c r="J885" s="18" t="inlineStr">
        <is>
          <t>www.twigtale.com</t>
        </is>
      </c>
      <c r="K885" s="19" t="inlineStr">
        <is>
          <t/>
        </is>
      </c>
      <c r="L885" s="20" t="inlineStr">
        <is>
          <t>+1 (323) 741-1115</t>
        </is>
      </c>
      <c r="M885" s="21" t="inlineStr">
        <is>
          <t>Bobby Benfield</t>
        </is>
      </c>
      <c r="N885" s="22" t="inlineStr">
        <is>
          <t>Chief Executive Officer</t>
        </is>
      </c>
      <c r="O885" s="23" t="inlineStr">
        <is>
          <t>bobby@twigtale.com</t>
        </is>
      </c>
      <c r="P885" s="24" t="inlineStr">
        <is>
          <t>+1 (323) 741-1115</t>
        </is>
      </c>
      <c r="Q885" s="25" t="n">
        <v>2011.0</v>
      </c>
      <c r="R885" s="113">
        <f>HYPERLINK("https://my.pitchbook.com?c=93035-89", "View company online")</f>
      </c>
    </row>
    <row r="886">
      <c r="A886" s="27" t="inlineStr">
        <is>
          <t>160579-09</t>
        </is>
      </c>
      <c r="B886" s="28" t="inlineStr">
        <is>
          <t>Twentyeight-Seven</t>
        </is>
      </c>
      <c r="C886" s="29" t="inlineStr">
        <is>
          <t>91345</t>
        </is>
      </c>
      <c r="D886" s="30" t="inlineStr">
        <is>
          <t>Provider of an online event management platform. The company provides event planning and people management skill for baby birthday parties, wedding showers, large and small events.</t>
        </is>
      </c>
      <c r="E886" s="31" t="inlineStr">
        <is>
          <t>Application Software</t>
        </is>
      </c>
      <c r="F886" s="32" t="inlineStr">
        <is>
          <t>Mission Hills, CA</t>
        </is>
      </c>
      <c r="G886" s="33" t="inlineStr">
        <is>
          <t>Privately Held (backing)</t>
        </is>
      </c>
      <c r="H886" s="34" t="inlineStr">
        <is>
          <t>Venture Capital-Backed</t>
        </is>
      </c>
      <c r="I886" s="35" t="inlineStr">
        <is>
          <t>MPM Capital</t>
        </is>
      </c>
      <c r="J886" s="36" t="inlineStr">
        <is>
          <t>www.twentyeightseven.com</t>
        </is>
      </c>
      <c r="K886" s="37" t="inlineStr">
        <is>
          <t/>
        </is>
      </c>
      <c r="L886" s="38" t="inlineStr">
        <is>
          <t>+1 (818) 730-4841</t>
        </is>
      </c>
      <c r="M886" s="39" t="inlineStr">
        <is>
          <t>Jenny Ramos</t>
        </is>
      </c>
      <c r="N886" s="40" t="inlineStr">
        <is>
          <t>Owner &amp; Coordinator</t>
        </is>
      </c>
      <c r="O886" s="41" t="inlineStr">
        <is>
          <t/>
        </is>
      </c>
      <c r="P886" s="42" t="inlineStr">
        <is>
          <t>+1 (818) 730-4841</t>
        </is>
      </c>
      <c r="Q886" s="43" t="n">
        <v>2015.0</v>
      </c>
      <c r="R886" s="114">
        <f>HYPERLINK("https://my.pitchbook.com?c=160579-09", "View company online")</f>
      </c>
    </row>
    <row r="887">
      <c r="A887" s="9" t="inlineStr">
        <is>
          <t>54349-03</t>
        </is>
      </c>
      <c r="B887" s="10" t="inlineStr">
        <is>
          <t>Twenty20</t>
        </is>
      </c>
      <c r="C887" s="11" t="inlineStr">
        <is>
          <t>90292</t>
        </is>
      </c>
      <c r="D887" s="12" t="inlineStr">
        <is>
          <t>Provider of a marketplace of crowdsourced imagery. The company connects brands and creative agencies with authentic, real-world imagery crowdsourced from users around the world, helping the brands continually use new content and the photographers to monetize their work.</t>
        </is>
      </c>
      <c r="E887" s="13" t="inlineStr">
        <is>
          <t>Social/Platform Software</t>
        </is>
      </c>
      <c r="F887" s="14" t="inlineStr">
        <is>
          <t>Marina del Rey, CA</t>
        </is>
      </c>
      <c r="G887" s="15" t="inlineStr">
        <is>
          <t>Privately Held (backing)</t>
        </is>
      </c>
      <c r="H887" s="16" t="inlineStr">
        <is>
          <t>Venture Capital-Backed</t>
        </is>
      </c>
      <c r="I887" s="17" t="inlineStr">
        <is>
          <t>Ayaz ul Haque, Boris Wertz, Bullpen Capital, Canaan Partners, First Round Capital, Founders Fund, Meyer Malka, Michael Liou, Mike Jones, Mucker Capital, Newbury Ventures, Rising Tide Fund, Roham Gharegozlou, Scott Banister, Velos Partners, Version One Ventures</t>
        </is>
      </c>
      <c r="J887" s="18" t="inlineStr">
        <is>
          <t>www.twenty20.com</t>
        </is>
      </c>
      <c r="K887" s="19" t="inlineStr">
        <is>
          <t>hello@twenty20.com</t>
        </is>
      </c>
      <c r="L887" s="20" t="inlineStr">
        <is>
          <t>+1 (424) 231-2020</t>
        </is>
      </c>
      <c r="M887" s="21" t="inlineStr">
        <is>
          <t>Matt Munson</t>
        </is>
      </c>
      <c r="N887" s="22" t="inlineStr">
        <is>
          <t>Chief Executive Officer &amp; Co-Founder</t>
        </is>
      </c>
      <c r="O887" s="23" t="inlineStr">
        <is>
          <t>matt@instacanv.as</t>
        </is>
      </c>
      <c r="P887" s="24" t="inlineStr">
        <is>
          <t>+1 (424) 231-2020</t>
        </is>
      </c>
      <c r="Q887" s="25" t="n">
        <v>2011.0</v>
      </c>
      <c r="R887" s="113">
        <f>HYPERLINK("https://my.pitchbook.com?c=54349-03", "View company online")</f>
      </c>
    </row>
    <row r="888">
      <c r="A888" s="27" t="inlineStr">
        <is>
          <t>47555-20</t>
        </is>
      </c>
      <c r="B888" s="28" t="inlineStr">
        <is>
          <t>TwelvefoldMedia</t>
        </is>
      </c>
      <c r="C888" s="29" t="inlineStr">
        <is>
          <t>94103</t>
        </is>
      </c>
      <c r="D888" s="30" t="inlineStr">
        <is>
          <t>Developer of social media analysis and an advertising network. The company enables advertisers and bloggers to discover and harness the power of online influence.</t>
        </is>
      </c>
      <c r="E888" s="31" t="inlineStr">
        <is>
          <t>Business/Productivity Software</t>
        </is>
      </c>
      <c r="F888" s="32" t="inlineStr">
        <is>
          <t>San Francisco, CA</t>
        </is>
      </c>
      <c r="G888" s="33" t="inlineStr">
        <is>
          <t>Privately Held (backing)</t>
        </is>
      </c>
      <c r="H888" s="34" t="inlineStr">
        <is>
          <t>Venture Capital-Backed</t>
        </is>
      </c>
      <c r="I888" s="35" t="inlineStr">
        <is>
          <t>Ackerley Partners, Adams Capital Management, Bridgescale Partners, Eric Di Benedetto, Felicis Ventures, Individual Investor, Partner Ventures, SV Angel, Trans Cosmos USA, Western Technology Investment</t>
        </is>
      </c>
      <c r="J888" s="36" t="inlineStr">
        <is>
          <t>www.twelvefold.com</t>
        </is>
      </c>
      <c r="K888" s="37" t="inlineStr">
        <is>
          <t>info@twelvefold.com</t>
        </is>
      </c>
      <c r="L888" s="38" t="inlineStr">
        <is>
          <t>+1 (415) 913-2600</t>
        </is>
      </c>
      <c r="M888" s="39" t="inlineStr">
        <is>
          <t>Brian Gibson</t>
        </is>
      </c>
      <c r="N888" s="40" t="inlineStr">
        <is>
          <t>Chief Financial Officer</t>
        </is>
      </c>
      <c r="O888" s="41" t="inlineStr">
        <is>
          <t/>
        </is>
      </c>
      <c r="P888" s="42" t="inlineStr">
        <is>
          <t>+1 (415) 913-2600</t>
        </is>
      </c>
      <c r="Q888" s="43" t="n">
        <v>2004.0</v>
      </c>
      <c r="R888" s="114">
        <f>HYPERLINK("https://my.pitchbook.com?c=47555-20", "View company online")</f>
      </c>
    </row>
    <row r="889">
      <c r="A889" s="9" t="inlineStr">
        <is>
          <t>166330-54</t>
        </is>
      </c>
      <c r="B889" s="10" t="inlineStr">
        <is>
          <t>Twelve Springs</t>
        </is>
      </c>
      <c r="C889" s="11" t="inlineStr">
        <is>
          <t>92618</t>
        </is>
      </c>
      <c r="D889" s="12" t="inlineStr">
        <is>
          <t>Provider of hospitality and property management services. The company specializes in hospitality, property management, customer service, concierge services, eco-friendly practices, interior design, renovation and other related services in United States.</t>
        </is>
      </c>
      <c r="E889" s="13" t="inlineStr">
        <is>
          <t>Hotels and Resorts</t>
        </is>
      </c>
      <c r="F889" s="14" t="inlineStr">
        <is>
          <t>Irvine, CA</t>
        </is>
      </c>
      <c r="G889" s="15" t="inlineStr">
        <is>
          <t>Privately Held (backing)</t>
        </is>
      </c>
      <c r="H889" s="16" t="inlineStr">
        <is>
          <t>Venture Capital-Backed</t>
        </is>
      </c>
      <c r="I889" s="17" t="inlineStr">
        <is>
          <t>Lippo Group, Morningside Group, Tamarisc</t>
        </is>
      </c>
      <c r="J889" s="18" t="inlineStr">
        <is>
          <t>www.twelvesprings.com</t>
        </is>
      </c>
      <c r="K889" s="19" t="inlineStr">
        <is>
          <t/>
        </is>
      </c>
      <c r="L889" s="20" t="inlineStr">
        <is>
          <t>+1 (888) 782-2457</t>
        </is>
      </c>
      <c r="M889" s="21" t="inlineStr">
        <is>
          <t>Mike Miklavic</t>
        </is>
      </c>
      <c r="N889" s="22" t="inlineStr">
        <is>
          <t>Chief Technology Officer</t>
        </is>
      </c>
      <c r="O889" s="23" t="inlineStr">
        <is>
          <t>mike.miklavic@twelvesprings.com</t>
        </is>
      </c>
      <c r="P889" s="24" t="inlineStr">
        <is>
          <t>+1 (888) 782-2457</t>
        </is>
      </c>
      <c r="Q889" s="25" t="n">
        <v>2014.0</v>
      </c>
      <c r="R889" s="113">
        <f>HYPERLINK("https://my.pitchbook.com?c=166330-54", "View company online")</f>
      </c>
    </row>
    <row r="890">
      <c r="A890" s="27" t="inlineStr">
        <is>
          <t>52849-27</t>
        </is>
      </c>
      <c r="B890" s="28" t="inlineStr">
        <is>
          <t>TVU Networks</t>
        </is>
      </c>
      <c r="C890" s="29" t="inlineStr">
        <is>
          <t>94043</t>
        </is>
      </c>
      <c r="D890" s="30" t="inlineStr">
        <is>
          <t>Provider of innovative IP news gathering services to organizations. The company manufactures live mobile television broadcasting equipment and offers an internet television broadcasting system using P2PTV technology.</t>
        </is>
      </c>
      <c r="E890" s="31" t="inlineStr">
        <is>
          <t>Broadcasting, Radio and Television</t>
        </is>
      </c>
      <c r="F890" s="32" t="inlineStr">
        <is>
          <t>Mountain View, CA</t>
        </is>
      </c>
      <c r="G890" s="33" t="inlineStr">
        <is>
          <t>Privately Held (backing)</t>
        </is>
      </c>
      <c r="H890" s="34" t="inlineStr">
        <is>
          <t>Venture Capital-Backed</t>
        </is>
      </c>
      <c r="I890" s="35" t="inlineStr">
        <is>
          <t>A1 Investments, Altos Ventures, Juwon, M.P. Technologies, NAV.VC, Serra Venture Partners, SoftBank Ventures Korea, William Tai</t>
        </is>
      </c>
      <c r="J890" s="36" t="inlineStr">
        <is>
          <t>www.tvunetworks.com</t>
        </is>
      </c>
      <c r="K890" s="37" t="inlineStr">
        <is>
          <t>info@tvunetworks.com</t>
        </is>
      </c>
      <c r="L890" s="38" t="inlineStr">
        <is>
          <t>+1 (650) 969-6732</t>
        </is>
      </c>
      <c r="M890" s="39" t="inlineStr">
        <is>
          <t>Paul Shen</t>
        </is>
      </c>
      <c r="N890" s="40" t="inlineStr">
        <is>
          <t>Chief Executive Officer</t>
        </is>
      </c>
      <c r="O890" s="41" t="inlineStr">
        <is>
          <t>pshen@tvunetworks.com</t>
        </is>
      </c>
      <c r="P890" s="42" t="inlineStr">
        <is>
          <t>+1 (650) 969-6732</t>
        </is>
      </c>
      <c r="Q890" s="43" t="n">
        <v>2005.0</v>
      </c>
      <c r="R890" s="114">
        <f>HYPERLINK("https://my.pitchbook.com?c=52849-27", "View company online")</f>
      </c>
    </row>
    <row r="891">
      <c r="A891" s="9" t="inlineStr">
        <is>
          <t>111377-26</t>
        </is>
      </c>
      <c r="B891" s="10" t="inlineStr">
        <is>
          <t>TVSquared</t>
        </is>
      </c>
      <c r="C891" s="11" t="inlineStr">
        <is>
          <t>EH3 9DR</t>
        </is>
      </c>
      <c r="D891" s="12" t="inlineStr">
        <is>
          <t>Provider of a cloud-based television advertising attribution platform designed to change the way advertisers, across the world, leverage television. The company's attribution platform provides accurate, same-day analytics and insights on television campaigns, enabling advertisers to know whether their campaigns are effective and help them to focus better on target customers and increase sales.</t>
        </is>
      </c>
      <c r="E891" s="13" t="inlineStr">
        <is>
          <t>Business/Productivity Software</t>
        </is>
      </c>
      <c r="F891" s="14" t="inlineStr">
        <is>
          <t>Edinburgh, United Kingdom</t>
        </is>
      </c>
      <c r="G891" s="15" t="inlineStr">
        <is>
          <t>Privately Held (backing)</t>
        </is>
      </c>
      <c r="H891" s="16" t="inlineStr">
        <is>
          <t>Venture Capital-Backed</t>
        </is>
      </c>
      <c r="I891" s="17" t="inlineStr">
        <is>
          <t>CodeBase, Scottish Enterprise, West Coast Capital</t>
        </is>
      </c>
      <c r="J891" s="18" t="inlineStr">
        <is>
          <t>www.tvsquared.com</t>
        </is>
      </c>
      <c r="K891" s="19" t="inlineStr">
        <is>
          <t>info@tvsquared.com</t>
        </is>
      </c>
      <c r="L891" s="20" t="inlineStr">
        <is>
          <t>+44 (0)13 1290 2333</t>
        </is>
      </c>
      <c r="M891" s="21" t="inlineStr">
        <is>
          <t>Calum Smeaton</t>
        </is>
      </c>
      <c r="N891" s="22" t="inlineStr">
        <is>
          <t>Co-Founder, Chief Executive Officer &amp; Board Member</t>
        </is>
      </c>
      <c r="O891" s="23" t="inlineStr">
        <is>
          <t>csmeaton@tvsquared.com</t>
        </is>
      </c>
      <c r="P891" s="24" t="inlineStr">
        <is>
          <t>+44 (0)13 1290 2333</t>
        </is>
      </c>
      <c r="Q891" s="25" t="n">
        <v>2012.0</v>
      </c>
      <c r="R891" s="113">
        <f>HYPERLINK("https://my.pitchbook.com?c=111377-26", "View company online")</f>
      </c>
    </row>
    <row r="892">
      <c r="A892" s="27" t="inlineStr">
        <is>
          <t>57816-46</t>
        </is>
      </c>
      <c r="B892" s="28" t="inlineStr">
        <is>
          <t>TVbeat</t>
        </is>
      </c>
      <c r="C892" s="29" t="inlineStr">
        <is>
          <t>WC1H 8HN</t>
        </is>
      </c>
      <c r="D892" s="30" t="inlineStr">
        <is>
          <t>Provider of a real-time cross-screen TV audience attribution platform designed to measure TV viewing on all connected devices. The company's TV audience attribution platform can process and contextualise raw TV and video datasets to deliver a cross-screen view of the viewers, enabling broadcast providers to bridge the linear and digital TV divide.</t>
        </is>
      </c>
      <c r="E892" s="31" t="inlineStr">
        <is>
          <t>Broadcasting, Radio and Television</t>
        </is>
      </c>
      <c r="F892" s="32" t="inlineStr">
        <is>
          <t>London, United Kingdom</t>
        </is>
      </c>
      <c r="G892" s="33" t="inlineStr">
        <is>
          <t>Privately Held (backing)</t>
        </is>
      </c>
      <c r="H892" s="34" t="inlineStr">
        <is>
          <t>Venture Capital-Backed</t>
        </is>
      </c>
      <c r="I892" s="35" t="inlineStr">
        <is>
          <t>Credo Ventures, Damien Lane, Episode 1 Ventures, Hemisphere Capital, Julien Coustaury, Right Side Capital Management, Techstars</t>
        </is>
      </c>
      <c r="J892" s="36" t="inlineStr">
        <is>
          <t>www.tvbeat.com</t>
        </is>
      </c>
      <c r="K892" s="37" t="inlineStr">
        <is>
          <t>info@tvbeat.com</t>
        </is>
      </c>
      <c r="L892" s="38" t="inlineStr">
        <is>
          <t/>
        </is>
      </c>
      <c r="M892" s="39" t="inlineStr">
        <is>
          <t>Laurence Miall - d'Août</t>
        </is>
      </c>
      <c r="N892" s="40" t="inlineStr">
        <is>
          <t>Chief Executive Officer &amp; Board Member</t>
        </is>
      </c>
      <c r="O892" s="41" t="inlineStr">
        <is>
          <t>laurence@iptvbeat.com</t>
        </is>
      </c>
      <c r="P892" s="42" t="inlineStr">
        <is>
          <t/>
        </is>
      </c>
      <c r="Q892" s="43" t="n">
        <v>2013.0</v>
      </c>
      <c r="R892" s="114">
        <f>HYPERLINK("https://my.pitchbook.com?c=57816-46", "View company online")</f>
      </c>
    </row>
    <row r="893">
      <c r="A893" s="9" t="inlineStr">
        <is>
          <t>62689-15</t>
        </is>
      </c>
      <c r="B893" s="10" t="inlineStr">
        <is>
          <t>TV4 Entertainment</t>
        </is>
      </c>
      <c r="C893" s="11" t="inlineStr">
        <is>
          <t>90404</t>
        </is>
      </c>
      <c r="D893" s="12" t="inlineStr">
        <is>
          <t>Provider of media and entertainment services. The company provides broadband television programming and production services.</t>
        </is>
      </c>
      <c r="E893" s="13" t="inlineStr">
        <is>
          <t>Broadcasting, Radio and Television</t>
        </is>
      </c>
      <c r="F893" s="14" t="inlineStr">
        <is>
          <t>Santa Monica, CA</t>
        </is>
      </c>
      <c r="G893" s="15" t="inlineStr">
        <is>
          <t>Privately Held (backing)</t>
        </is>
      </c>
      <c r="H893" s="16" t="inlineStr">
        <is>
          <t>Venture Capital-Backed</t>
        </is>
      </c>
      <c r="I893" s="17" t="inlineStr">
        <is>
          <t>Individual Investor, Sky Startup Investments &amp; Partnerships, Warner Bros. Entertainment</t>
        </is>
      </c>
      <c r="J893" s="18" t="inlineStr">
        <is>
          <t>www.televisionfour.com</t>
        </is>
      </c>
      <c r="K893" s="19" t="inlineStr">
        <is>
          <t/>
        </is>
      </c>
      <c r="L893" s="20" t="inlineStr">
        <is>
          <t/>
        </is>
      </c>
      <c r="M893" s="21" t="inlineStr">
        <is>
          <t>Michael Haugh</t>
        </is>
      </c>
      <c r="N893" s="22" t="inlineStr">
        <is>
          <t>Chief Financial Officer &amp; Founding Team Member</t>
        </is>
      </c>
      <c r="O893" s="23" t="inlineStr">
        <is>
          <t>mhaugh@tv4ent.com</t>
        </is>
      </c>
      <c r="P893" s="24" t="inlineStr">
        <is>
          <t/>
        </is>
      </c>
      <c r="Q893" s="25" t="n">
        <v>2012.0</v>
      </c>
      <c r="R893" s="113">
        <f>HYPERLINK("https://my.pitchbook.com?c=62689-15", "View company online")</f>
      </c>
    </row>
    <row r="894">
      <c r="A894" s="27" t="inlineStr">
        <is>
          <t>100136-53</t>
        </is>
      </c>
      <c r="B894" s="28" t="inlineStr">
        <is>
          <t>TV time</t>
        </is>
      </c>
      <c r="C894" s="29" t="inlineStr">
        <is>
          <t>90404</t>
        </is>
      </c>
      <c r="D894" s="30" t="inlineStr">
        <is>
          <t>Provider of an online platform for sharing clips of television shows. The company develops a mobile application that enables users to search and legally share clips of television shows, by creating videos directly from television shows.</t>
        </is>
      </c>
      <c r="E894" s="31" t="inlineStr">
        <is>
          <t>Social/Platform Software</t>
        </is>
      </c>
      <c r="F894" s="32" t="inlineStr">
        <is>
          <t>Santa Monica, CA</t>
        </is>
      </c>
      <c r="G894" s="33" t="inlineStr">
        <is>
          <t>Privately Held (backing)</t>
        </is>
      </c>
      <c r="H894" s="34" t="inlineStr">
        <is>
          <t>Venture Capital-Backed</t>
        </is>
      </c>
      <c r="I894" s="35" t="inlineStr">
        <is>
          <t>Ariel Emanuel, Bam Ventures, Compound Ventures, Eminence Capital, Floodgate Fund, Gordon Crawford, Gordon Rubenstein, Greycroft Partners, HDS Capital, Individual Investor, IVP, Michael Liou, Peter Guber, Raine Ventures, Ron Zuckerman, Scooter Braun, Steve Bernstein, Steve Bornstein, Thom Weisel, William Morris Endeavor Entertainment, Ziffren Brittenham LLP</t>
        </is>
      </c>
      <c r="J894" s="36" t="inlineStr">
        <is>
          <t>www.tvtime.com</t>
        </is>
      </c>
      <c r="K894" s="37" t="inlineStr">
        <is>
          <t>info@whipclip.com</t>
        </is>
      </c>
      <c r="L894" s="38" t="inlineStr">
        <is>
          <t/>
        </is>
      </c>
      <c r="M894" s="39" t="inlineStr">
        <is>
          <t>Richard Rosenblatt</t>
        </is>
      </c>
      <c r="N894" s="40" t="inlineStr">
        <is>
          <t>Co-Founder, Chairman &amp; Chief Executive Officer</t>
        </is>
      </c>
      <c r="O894" s="41" t="inlineStr">
        <is>
          <t>richard@whipclip.com</t>
        </is>
      </c>
      <c r="P894" s="42" t="inlineStr">
        <is>
          <t/>
        </is>
      </c>
      <c r="Q894" s="43" t="n">
        <v>2014.0</v>
      </c>
      <c r="R894" s="114">
        <f>HYPERLINK("https://my.pitchbook.com?c=100136-53", "View company online")</f>
      </c>
    </row>
    <row r="895">
      <c r="A895" s="9" t="inlineStr">
        <is>
          <t>64498-96</t>
        </is>
      </c>
      <c r="B895" s="10" t="inlineStr">
        <is>
          <t>tuul</t>
        </is>
      </c>
      <c r="C895" s="11" t="inlineStr">
        <is>
          <t>95060</t>
        </is>
      </c>
      <c r="D895" s="12" t="inlineStr">
        <is>
          <t>Provider of consumer interaction platform. The company is building the industry’s first workflow communication service simplifying interactions by transforming the way consumers interact with business.</t>
        </is>
      </c>
      <c r="E895" s="13" t="inlineStr">
        <is>
          <t>Business/Productivity Software</t>
        </is>
      </c>
      <c r="F895" s="14" t="inlineStr">
        <is>
          <t>Santa Cruz, CA</t>
        </is>
      </c>
      <c r="G895" s="15" t="inlineStr">
        <is>
          <t>Privately Held (backing)</t>
        </is>
      </c>
      <c r="H895" s="16" t="inlineStr">
        <is>
          <t>Venture Capital-Backed</t>
        </is>
      </c>
      <c r="I895" s="17" t="inlineStr">
        <is>
          <t>Gordon Rubenstein, Greycroft Partners, Raine Ventures, Streamlined Ventures, Ullas Naik</t>
        </is>
      </c>
      <c r="J895" s="18" t="inlineStr">
        <is>
          <t>www.tuul.com</t>
        </is>
      </c>
      <c r="K895" s="19" t="inlineStr">
        <is>
          <t>press@tuul.com</t>
        </is>
      </c>
      <c r="L895" s="20" t="inlineStr">
        <is>
          <t/>
        </is>
      </c>
      <c r="M895" s="21" t="inlineStr">
        <is>
          <t>Toby Corey</t>
        </is>
      </c>
      <c r="N895" s="22" t="inlineStr">
        <is>
          <t>Co-Founder, Chief Executive Officer &amp; Board Member</t>
        </is>
      </c>
      <c r="O895" s="23" t="inlineStr">
        <is>
          <t>toby@tuul.com</t>
        </is>
      </c>
      <c r="P895" s="24" t="inlineStr">
        <is>
          <t/>
        </is>
      </c>
      <c r="Q895" s="25" t="n">
        <v>2014.0</v>
      </c>
      <c r="R895" s="113">
        <f>HYPERLINK("https://my.pitchbook.com?c=64498-96", "View company online")</f>
      </c>
    </row>
    <row r="896">
      <c r="A896" s="27" t="inlineStr">
        <is>
          <t>148416-58</t>
        </is>
      </c>
      <c r="B896" s="28" t="inlineStr">
        <is>
          <t>TutorMundi</t>
        </is>
      </c>
      <c r="C896" s="29" t="inlineStr">
        <is>
          <t>94306</t>
        </is>
      </c>
      <c r="D896" s="30" t="inlineStr">
        <is>
          <t>Provider of an online tutoring platform. The company's platform enables tutors to help high school students with their homework.</t>
        </is>
      </c>
      <c r="E896" s="31" t="inlineStr">
        <is>
          <t>Social/Platform Software</t>
        </is>
      </c>
      <c r="F896" s="32" t="inlineStr">
        <is>
          <t>Palo Alto, CA</t>
        </is>
      </c>
      <c r="G896" s="33" t="inlineStr">
        <is>
          <t>Privately Held (backing)</t>
        </is>
      </c>
      <c r="H896" s="34" t="inlineStr">
        <is>
          <t>Venture Capital-Backed</t>
        </is>
      </c>
      <c r="I896" s="35" t="inlineStr">
        <is>
          <t/>
        </is>
      </c>
      <c r="J896" s="36" t="inlineStr">
        <is>
          <t>www.tutormundi.com</t>
        </is>
      </c>
      <c r="K896" s="37" t="inlineStr">
        <is>
          <t>contact@tutormundi.com</t>
        </is>
      </c>
      <c r="L896" s="38" t="inlineStr">
        <is>
          <t>+1 (650) 435-9696</t>
        </is>
      </c>
      <c r="M896" s="39" t="inlineStr">
        <is>
          <t>Raphael Coelho</t>
        </is>
      </c>
      <c r="N896" s="40" t="inlineStr">
        <is>
          <t>Co-Founder, President &amp; Board Member</t>
        </is>
      </c>
      <c r="O896" s="41" t="inlineStr">
        <is>
          <t>raphael@tutormundi.com</t>
        </is>
      </c>
      <c r="P896" s="42" t="inlineStr">
        <is>
          <t>+1 (650) 435-9696</t>
        </is>
      </c>
      <c r="Q896" s="43" t="n">
        <v>2015.0</v>
      </c>
      <c r="R896" s="114">
        <f>HYPERLINK("https://my.pitchbook.com?c=148416-58", "View company online")</f>
      </c>
    </row>
    <row r="897">
      <c r="A897" s="9" t="inlineStr">
        <is>
          <t>159198-67</t>
        </is>
      </c>
      <c r="B897" s="10" t="inlineStr">
        <is>
          <t>Tusker Medical</t>
        </is>
      </c>
      <c r="C897" s="11" t="inlineStr">
        <is>
          <t>94025</t>
        </is>
      </c>
      <c r="D897" s="12" t="inlineStr">
        <is>
          <t>Developer of ear, nose and throat treatments. The company is developing a suite of pediatric-focused technologies designed to enable placement of tubes within the comfort of an office environment, eliminating the need for general anesthetics.</t>
        </is>
      </c>
      <c r="E897" s="13" t="inlineStr">
        <is>
          <t>Surgical Devices</t>
        </is>
      </c>
      <c r="F897" s="14" t="inlineStr">
        <is>
          <t>Menlo Park, CA</t>
        </is>
      </c>
      <c r="G897" s="15" t="inlineStr">
        <is>
          <t>Privately Held (backing)</t>
        </is>
      </c>
      <c r="H897" s="16" t="inlineStr">
        <is>
          <t>Venture Capital-Backed</t>
        </is>
      </c>
      <c r="I897" s="17" t="inlineStr">
        <is>
          <t>Apple Tree Partners, Johnson &amp; Johnson Innovation - JJDC</t>
        </is>
      </c>
      <c r="J897" s="18" t="inlineStr">
        <is>
          <t>www.tuskermed.com</t>
        </is>
      </c>
      <c r="K897" s="19" t="inlineStr">
        <is>
          <t>info@tuskermed.com</t>
        </is>
      </c>
      <c r="L897" s="20" t="inlineStr">
        <is>
          <t>+1 (650) 223-6900</t>
        </is>
      </c>
      <c r="M897" s="21" t="inlineStr">
        <is>
          <t>Amir Abolfathi</t>
        </is>
      </c>
      <c r="N897" s="22" t="inlineStr">
        <is>
          <t>Chief Executive Officer &amp; President</t>
        </is>
      </c>
      <c r="O897" s="23" t="inlineStr">
        <is>
          <t>aabolfathi@tuskermed.com</t>
        </is>
      </c>
      <c r="P897" s="24" t="inlineStr">
        <is>
          <t/>
        </is>
      </c>
      <c r="Q897" s="25" t="n">
        <v>2016.0</v>
      </c>
      <c r="R897" s="113">
        <f>HYPERLINK("https://my.pitchbook.com?c=159198-67", "View company online")</f>
      </c>
    </row>
    <row r="898">
      <c r="A898" s="27" t="inlineStr">
        <is>
          <t>154085-50</t>
        </is>
      </c>
      <c r="B898" s="28" t="inlineStr">
        <is>
          <t>Tusk Therapeutics</t>
        </is>
      </c>
      <c r="C898" s="29" t="inlineStr">
        <is>
          <t/>
        </is>
      </c>
      <c r="D898" s="30" t="inlineStr">
        <is>
          <t>Developer of novel immune modulating therapeutics to fight cancer. The company is developing novel immune modulating therapeutics based on an in-depth understanding of the innate immune system with a special focus on Natural Killer (NK) cell biology.</t>
        </is>
      </c>
      <c r="E898" s="31" t="inlineStr">
        <is>
          <t>Biotechnology</t>
        </is>
      </c>
      <c r="F898" s="32" t="inlineStr">
        <is>
          <t>Stevenage, United Kingdom</t>
        </is>
      </c>
      <c r="G898" s="33" t="inlineStr">
        <is>
          <t>Privately Held (backing)</t>
        </is>
      </c>
      <c r="H898" s="34" t="inlineStr">
        <is>
          <t>Venture Capital-Backed</t>
        </is>
      </c>
      <c r="I898" s="35" t="inlineStr">
        <is>
          <t>Droia Oncology Ventures, Stevenage Bioscience Catalyst</t>
        </is>
      </c>
      <c r="J898" s="36" t="inlineStr">
        <is>
          <t>www.tusktherapeutics.com</t>
        </is>
      </c>
      <c r="K898" s="37" t="inlineStr">
        <is>
          <t/>
        </is>
      </c>
      <c r="L898" s="38" t="inlineStr">
        <is>
          <t/>
        </is>
      </c>
      <c r="M898" s="39" t="inlineStr">
        <is>
          <t>Luc Dochez</t>
        </is>
      </c>
      <c r="N898" s="40" t="inlineStr">
        <is>
          <t>Board Member &amp; Chief Executive Officer</t>
        </is>
      </c>
      <c r="O898" s="41" t="inlineStr">
        <is>
          <t>luc.dochez@tusktherapeutics.com</t>
        </is>
      </c>
      <c r="P898" s="42" t="inlineStr">
        <is>
          <t/>
        </is>
      </c>
      <c r="Q898" s="43" t="n">
        <v>2015.0</v>
      </c>
      <c r="R898" s="114">
        <f>HYPERLINK("https://my.pitchbook.com?c=154085-50", "View company online")</f>
      </c>
    </row>
    <row r="899">
      <c r="A899" s="9" t="inlineStr">
        <is>
          <t>111254-32</t>
        </is>
      </c>
      <c r="B899" s="10" t="inlineStr">
        <is>
          <t>Turvo</t>
        </is>
      </c>
      <c r="C899" s="11" t="inlineStr">
        <is>
          <t>94086</t>
        </is>
      </c>
      <c r="D899" s="12" t="inlineStr">
        <is>
          <t>Developer of a collaborative logistics platform designed to revolutionize the way things move by creating a standard way to share, communicate and collaborate in real time. The company's Turvo platform connects shippers, brokers and carriers to work together across the entire supply chain, enabling businesses make smarter, faster and more informed decisions.</t>
        </is>
      </c>
      <c r="E899" s="13" t="inlineStr">
        <is>
          <t>Communication Software</t>
        </is>
      </c>
      <c r="F899" s="14" t="inlineStr">
        <is>
          <t>Sunnyvale, CA</t>
        </is>
      </c>
      <c r="G899" s="15" t="inlineStr">
        <is>
          <t>Privately Held (backing)</t>
        </is>
      </c>
      <c r="H899" s="16" t="inlineStr">
        <is>
          <t>Venture Capital-Backed</t>
        </is>
      </c>
      <c r="I899" s="17" t="inlineStr">
        <is>
          <t>Aaron Levie, Activant Capital Group, Anthony Fadell, Felicis Ventures, Kevin Nazemi, Ravi Venkatesan, Slow Ventures, Upside Partnership</t>
        </is>
      </c>
      <c r="J899" s="18" t="inlineStr">
        <is>
          <t>www.turvo.com</t>
        </is>
      </c>
      <c r="K899" s="19" t="inlineStr">
        <is>
          <t/>
        </is>
      </c>
      <c r="L899" s="20" t="inlineStr">
        <is>
          <t/>
        </is>
      </c>
      <c r="M899" s="21" t="inlineStr">
        <is>
          <t>Eric Gilmore</t>
        </is>
      </c>
      <c r="N899" s="22" t="inlineStr">
        <is>
          <t>Chief Executive Officer &amp; Co-Founder</t>
        </is>
      </c>
      <c r="O899" s="23" t="inlineStr">
        <is>
          <t>eric@turvo.com</t>
        </is>
      </c>
      <c r="P899" s="24" t="inlineStr">
        <is>
          <t/>
        </is>
      </c>
      <c r="Q899" s="25" t="n">
        <v>2014.0</v>
      </c>
      <c r="R899" s="113">
        <f>HYPERLINK("https://my.pitchbook.com?c=111254-32", "View company online")</f>
      </c>
    </row>
    <row r="900">
      <c r="A900" s="27" t="inlineStr">
        <is>
          <t>51391-00</t>
        </is>
      </c>
      <c r="B900" s="28" t="inlineStr">
        <is>
          <t>Turo</t>
        </is>
      </c>
      <c r="C900" s="29" t="inlineStr">
        <is>
          <t>94105</t>
        </is>
      </c>
      <c r="D900" s="30" t="inlineStr">
        <is>
          <t>Operator of an online car-rental marketplace. The company enables private car owners to rent out their vehicles on a short-term basis, via an online interface.</t>
        </is>
      </c>
      <c r="E900" s="31" t="inlineStr">
        <is>
          <t>Social/Platform Software</t>
        </is>
      </c>
      <c r="F900" s="32" t="inlineStr">
        <is>
          <t>San Francisco, CA</t>
        </is>
      </c>
      <c r="G900" s="33" t="inlineStr">
        <is>
          <t>Privately Held (backing)</t>
        </is>
      </c>
      <c r="H900" s="34" t="inlineStr">
        <is>
          <t>Venture Capital-Backed</t>
        </is>
      </c>
      <c r="I900" s="35" t="inlineStr">
        <is>
          <t>August Capital, Canaan Partners, Dave Balter, Expansion Venture Capital, Fontinalis Partners, GV, Kevin Donahue, Kleiner Perkins Caufield &amp; Byers, Lisa Gansky, Maniv Mobility, MassChallenge, Norwest Venture Partners, Ryan Melohn, Shasta Ventures, Tao Capital Partners, Trinity Ventures, Webb Investment Network</t>
        </is>
      </c>
      <c r="J900" s="36" t="inlineStr">
        <is>
          <t>www.turo.com</t>
        </is>
      </c>
      <c r="K900" s="37" t="inlineStr">
        <is>
          <t/>
        </is>
      </c>
      <c r="L900" s="38" t="inlineStr">
        <is>
          <t/>
        </is>
      </c>
      <c r="M900" s="39" t="inlineStr">
        <is>
          <t>Andre Haddad</t>
        </is>
      </c>
      <c r="N900" s="40" t="inlineStr">
        <is>
          <t>Chief Executive Officer &amp; Board Member</t>
        </is>
      </c>
      <c r="O900" s="41" t="inlineStr">
        <is>
          <t>andre@relayrides.com</t>
        </is>
      </c>
      <c r="P900" s="42" t="inlineStr">
        <is>
          <t/>
        </is>
      </c>
      <c r="Q900" s="43" t="n">
        <v>2009.0</v>
      </c>
      <c r="R900" s="114">
        <f>HYPERLINK("https://my.pitchbook.com?c=51391-00", "View company online")</f>
      </c>
    </row>
    <row r="901">
      <c r="A901" s="9" t="inlineStr">
        <is>
          <t>163737-37</t>
        </is>
      </c>
      <c r="B901" s="10" t="inlineStr">
        <is>
          <t>Turbine Labs</t>
        </is>
      </c>
      <c r="C901" s="11" t="inlineStr">
        <is>
          <t/>
        </is>
      </c>
      <c r="D901" s="12" t="inlineStr">
        <is>
          <t>Provider of application based services. The company offers suite of products which enables user to iterate their software and architecture.</t>
        </is>
      </c>
      <c r="E901" s="13" t="inlineStr">
        <is>
          <t>Other Consumer Products and Services</t>
        </is>
      </c>
      <c r="F901" s="14" t="inlineStr">
        <is>
          <t>San Francisco, CA</t>
        </is>
      </c>
      <c r="G901" s="15" t="inlineStr">
        <is>
          <t>Privately Held (backing)</t>
        </is>
      </c>
      <c r="H901" s="16" t="inlineStr">
        <is>
          <t>Venture Capital-Backed</t>
        </is>
      </c>
      <c r="I901" s="17" t="inlineStr">
        <is>
          <t>Upside Partnership</t>
        </is>
      </c>
      <c r="J901" s="18" t="inlineStr">
        <is>
          <t>www.turbinelabs.io</t>
        </is>
      </c>
      <c r="K901" s="19" t="inlineStr">
        <is>
          <t/>
        </is>
      </c>
      <c r="L901" s="20" t="inlineStr">
        <is>
          <t/>
        </is>
      </c>
      <c r="M901" s="21" t="inlineStr">
        <is>
          <t>Glen Sanford</t>
        </is>
      </c>
      <c r="N901" s="22" t="inlineStr">
        <is>
          <t>Co-Founder &amp; Chief Technology Officer</t>
        </is>
      </c>
      <c r="O901" s="23" t="inlineStr">
        <is>
          <t>glen@turbinelabs.io</t>
        </is>
      </c>
      <c r="P901" s="24" t="inlineStr">
        <is>
          <t/>
        </is>
      </c>
      <c r="Q901" s="25" t="n">
        <v>2015.0</v>
      </c>
      <c r="R901" s="113">
        <f>HYPERLINK("https://my.pitchbook.com?c=163737-37", "View company online")</f>
      </c>
    </row>
    <row r="902">
      <c r="A902" s="27" t="inlineStr">
        <is>
          <t>64142-83</t>
        </is>
      </c>
      <c r="B902" s="28" t="inlineStr">
        <is>
          <t>Tunitas Therapeutics</t>
        </is>
      </c>
      <c r="C902" s="29" t="inlineStr">
        <is>
          <t>94080</t>
        </is>
      </c>
      <c r="D902" s="30" t="inlineStr">
        <is>
          <t>Developer of novel therapeutics designed to transform the treatment of patients with serious allergic diseases. The company's therapeutics facilitates the generation of fusion proteins that target novel inhibitory pathways on allergic cells, leading to inhibition of the key mediators of allergic hypersensitivity and the production of IgE, the antibody class that triggers the allergic response, enabling treatment of patients with any IgE-mediated disease, including asthma and severe food allergy.</t>
        </is>
      </c>
      <c r="E902" s="31" t="inlineStr">
        <is>
          <t>Drug Discovery</t>
        </is>
      </c>
      <c r="F902" s="32" t="inlineStr">
        <is>
          <t>South San Francisco, CA</t>
        </is>
      </c>
      <c r="G902" s="33" t="inlineStr">
        <is>
          <t>Privately Held (backing)</t>
        </is>
      </c>
      <c r="H902" s="34" t="inlineStr">
        <is>
          <t>Venture Capital-Backed</t>
        </is>
      </c>
      <c r="I902" s="35" t="inlineStr">
        <is>
          <t>Ally Bridge Group, National Institutes of Health, RA Capital Advisors, RA Capital Management, U.S. Department of Health and Human Services, WuXi Healthcare Investment Consulting (Shanghai)</t>
        </is>
      </c>
      <c r="J902" s="36" t="inlineStr">
        <is>
          <t>www.tunitastherapeutics.com</t>
        </is>
      </c>
      <c r="K902" s="37" t="inlineStr">
        <is>
          <t>info@tunitastherapeutics.com</t>
        </is>
      </c>
      <c r="L902" s="38" t="inlineStr">
        <is>
          <t>+1 (650) 887-4747</t>
        </is>
      </c>
      <c r="M902" s="39" t="inlineStr">
        <is>
          <t>Nolan Sigal</t>
        </is>
      </c>
      <c r="N902" s="40" t="inlineStr">
        <is>
          <t>Co-Founder, President, Chief Executive Officer and Board Member</t>
        </is>
      </c>
      <c r="O902" s="41" t="inlineStr">
        <is>
          <t>nsigal@tunitastherapeutics.com</t>
        </is>
      </c>
      <c r="P902" s="42" t="inlineStr">
        <is>
          <t>+1 (650) 887-4747</t>
        </is>
      </c>
      <c r="Q902" s="43" t="n">
        <v>2007.0</v>
      </c>
      <c r="R902" s="114">
        <f>HYPERLINK("https://my.pitchbook.com?c=64142-83", "View company online")</f>
      </c>
    </row>
    <row r="903">
      <c r="A903" s="9" t="inlineStr">
        <is>
          <t>54678-07</t>
        </is>
      </c>
      <c r="B903" s="10" t="inlineStr">
        <is>
          <t>TuneIn</t>
        </is>
      </c>
      <c r="C903" s="11" t="inlineStr">
        <is>
          <t>94107</t>
        </is>
      </c>
      <c r="D903" s="12" t="inlineStr">
        <is>
          <t>Provider of an online radio application designed to get access to sports and news streams from around the world. The company's TuneIn radio application offers access to AM, FM, HD and Internet radio stations, as well as on-demand shows and programs, providing listeners with a large selection of sports, music, talk and news radio.</t>
        </is>
      </c>
      <c r="E903" s="13" t="inlineStr">
        <is>
          <t>Broadcasting, Radio and Television</t>
        </is>
      </c>
      <c r="F903" s="14" t="inlineStr">
        <is>
          <t>San Francisco, CA</t>
        </is>
      </c>
      <c r="G903" s="15" t="inlineStr">
        <is>
          <t>Privately Held (backing)</t>
        </is>
      </c>
      <c r="H903" s="16" t="inlineStr">
        <is>
          <t>Venture Capital-Backed</t>
        </is>
      </c>
      <c r="I903" s="17" t="inlineStr">
        <is>
          <t>Causeway Media Partners, Expanding Capital, General Catalyst Partners, GV, ICCP Venture Partners, Icon Ventures, IVP, Motus Ventures, Sequoia Capital, Startup Capital Ventures, Tech Ventures, True Ventures</t>
        </is>
      </c>
      <c r="J903" s="18" t="inlineStr">
        <is>
          <t>www.tunein.com</t>
        </is>
      </c>
      <c r="K903" s="19" t="inlineStr">
        <is>
          <t>radio@tunein.com</t>
        </is>
      </c>
      <c r="L903" s="20" t="inlineStr">
        <is>
          <t/>
        </is>
      </c>
      <c r="M903" s="21" t="inlineStr">
        <is>
          <t>John Donham</t>
        </is>
      </c>
      <c r="N903" s="22" t="inlineStr">
        <is>
          <t>Chief Executive Officer</t>
        </is>
      </c>
      <c r="O903" s="23" t="inlineStr">
        <is>
          <t>john@tunein.com</t>
        </is>
      </c>
      <c r="P903" s="24" t="inlineStr">
        <is>
          <t/>
        </is>
      </c>
      <c r="Q903" s="25" t="n">
        <v>2002.0</v>
      </c>
      <c r="R903" s="113">
        <f>HYPERLINK("https://my.pitchbook.com?c=54678-07", "View company online")</f>
      </c>
    </row>
    <row r="904">
      <c r="A904" s="27" t="inlineStr">
        <is>
          <t>57055-69</t>
        </is>
      </c>
      <c r="B904" s="28" t="inlineStr">
        <is>
          <t>Tune</t>
        </is>
      </c>
      <c r="C904" s="29" t="inlineStr">
        <is>
          <t>98121</t>
        </is>
      </c>
      <c r="D904" s="30" t="inlineStr">
        <is>
          <t>Provider of a performance marketing and attribution analytics platform. The company enables marketers to manage their own performance advertising relationships from tracking desktop offers and online campaigns to promoting mobile apps and other digital properties.</t>
        </is>
      </c>
      <c r="E904" s="31" t="inlineStr">
        <is>
          <t>Media and Information Services (B2B)</t>
        </is>
      </c>
      <c r="F904" s="32" t="inlineStr">
        <is>
          <t>Seattle, WA</t>
        </is>
      </c>
      <c r="G904" s="33" t="inlineStr">
        <is>
          <t>Privately Held (backing)</t>
        </is>
      </c>
      <c r="H904" s="34" t="inlineStr">
        <is>
          <t>Venture Capital-Backed</t>
        </is>
      </c>
      <c r="I904" s="35" t="inlineStr">
        <is>
          <t>Accel, Founder's Co-Op, Icon Ventures, Performance Equity Management, Robert Glaser</t>
        </is>
      </c>
      <c r="J904" s="36" t="inlineStr">
        <is>
          <t>www.tune.com</t>
        </is>
      </c>
      <c r="K904" s="37" t="inlineStr">
        <is>
          <t>info@tune.com</t>
        </is>
      </c>
      <c r="L904" s="38" t="inlineStr">
        <is>
          <t>+1 (206) 508-1318</t>
        </is>
      </c>
      <c r="M904" s="39" t="inlineStr">
        <is>
          <t>Crystal DiCarlo</t>
        </is>
      </c>
      <c r="N904" s="40" t="inlineStr">
        <is>
          <t>Vice President, Finance</t>
        </is>
      </c>
      <c r="O904" s="41" t="inlineStr">
        <is>
          <t>crystal.dicarlo@hasoffers.com</t>
        </is>
      </c>
      <c r="P904" s="42" t="inlineStr">
        <is>
          <t>+1 (206) 508-1318</t>
        </is>
      </c>
      <c r="Q904" s="43" t="n">
        <v>2009.0</v>
      </c>
      <c r="R904" s="114">
        <f>HYPERLINK("https://my.pitchbook.com?c=57055-69", "View company online")</f>
      </c>
    </row>
    <row r="905">
      <c r="A905" s="9" t="inlineStr">
        <is>
          <t>58136-50</t>
        </is>
      </c>
      <c r="B905" s="10" t="inlineStr">
        <is>
          <t>Tumult</t>
        </is>
      </c>
      <c r="C905" s="11" t="inlineStr">
        <is>
          <t>94102</t>
        </is>
      </c>
      <c r="D905" s="12" t="inlineStr">
        <is>
          <t>Developer of web design applications. The company's products help users to produce HTML5 based animations, infographics, app prototypes, ebook educational content, games, personal web pages and other web content without writing codes.</t>
        </is>
      </c>
      <c r="E905" s="13" t="inlineStr">
        <is>
          <t>Application Software</t>
        </is>
      </c>
      <c r="F905" s="14" t="inlineStr">
        <is>
          <t>San Francisco, CA</t>
        </is>
      </c>
      <c r="G905" s="15" t="inlineStr">
        <is>
          <t>Privately Held (backing)</t>
        </is>
      </c>
      <c r="H905" s="16" t="inlineStr">
        <is>
          <t>Venture Capital-Backed</t>
        </is>
      </c>
      <c r="I905" s="17" t="inlineStr">
        <is>
          <t>Start Fund, Y Combinator</t>
        </is>
      </c>
      <c r="J905" s="18" t="inlineStr">
        <is>
          <t>www.tumult.com</t>
        </is>
      </c>
      <c r="K905" s="19" t="inlineStr">
        <is>
          <t>contact@tumult.com</t>
        </is>
      </c>
      <c r="L905" s="20" t="inlineStr">
        <is>
          <t/>
        </is>
      </c>
      <c r="M905" s="21" t="inlineStr">
        <is>
          <t>Jonathan Deutsch</t>
        </is>
      </c>
      <c r="N905" s="22" t="inlineStr">
        <is>
          <t>Chief Executive Officer &amp; Co-Founder</t>
        </is>
      </c>
      <c r="O905" s="23" t="inlineStr">
        <is>
          <t>jonathan@tumult.com</t>
        </is>
      </c>
      <c r="P905" s="24" t="inlineStr">
        <is>
          <t/>
        </is>
      </c>
      <c r="Q905" s="25" t="n">
        <v>2010.0</v>
      </c>
      <c r="R905" s="113">
        <f>HYPERLINK("https://my.pitchbook.com?c=58136-50", "View company online")</f>
      </c>
    </row>
    <row r="906">
      <c r="A906" s="27" t="inlineStr">
        <is>
          <t>64003-33</t>
        </is>
      </c>
      <c r="B906" s="28" t="inlineStr">
        <is>
          <t>Tule Technologies</t>
        </is>
      </c>
      <c r="C906" s="29" t="inlineStr">
        <is>
          <t/>
        </is>
      </c>
      <c r="D906" s="30" t="inlineStr">
        <is>
          <t>Provider of crop water use measurements over an entire field for making irrigation decisions. The company's sensor system provides the farmer with the one number that tells him how long to turn on his pumps.</t>
        </is>
      </c>
      <c r="E906" s="31" t="inlineStr">
        <is>
          <t>Electrical Equipment</t>
        </is>
      </c>
      <c r="F906" s="32" t="inlineStr">
        <is>
          <t>Oakland, CA</t>
        </is>
      </c>
      <c r="G906" s="33" t="inlineStr">
        <is>
          <t>Privately Held (backing)</t>
        </is>
      </c>
      <c r="H906" s="34" t="inlineStr">
        <is>
          <t>Venture Capital-Backed</t>
        </is>
      </c>
      <c r="I906" s="35" t="inlineStr">
        <is>
          <t>Bloomberg Beta, Khosla Ventures, Next Level Ventures, Village Capital, Y Combinator</t>
        </is>
      </c>
      <c r="J906" s="36" t="inlineStr">
        <is>
          <t/>
        </is>
      </c>
      <c r="K906" s="37" t="inlineStr">
        <is>
          <t>tom@tuletechnologies.com</t>
        </is>
      </c>
      <c r="L906" s="38" t="inlineStr">
        <is>
          <t/>
        </is>
      </c>
      <c r="M906" s="39" t="inlineStr">
        <is>
          <t>Tom Shapland</t>
        </is>
      </c>
      <c r="N906" s="40" t="inlineStr">
        <is>
          <t>Co-Founder &amp; Chief Executive Officer</t>
        </is>
      </c>
      <c r="O906" s="41" t="inlineStr">
        <is>
          <t>tom@tuletechnologies.com</t>
        </is>
      </c>
      <c r="P906" s="42" t="inlineStr">
        <is>
          <t/>
        </is>
      </c>
      <c r="Q906" s="43" t="n">
        <v>2013.0</v>
      </c>
      <c r="R906" s="114">
        <f>HYPERLINK("https://my.pitchbook.com?c=64003-33", "View company online")</f>
      </c>
    </row>
    <row r="907">
      <c r="A907" s="9" t="inlineStr">
        <is>
          <t>52785-01</t>
        </is>
      </c>
      <c r="B907" s="10" t="inlineStr">
        <is>
          <t>Tula Technology</t>
        </is>
      </c>
      <c r="C907" s="11" t="inlineStr">
        <is>
          <t>95131</t>
        </is>
      </c>
      <c r="D907" s="12" t="inlineStr">
        <is>
          <t>Developer of power management systems designed to bring revolutionary improvement in fuel efficiency and greenhouse gas emissions in the traditional internal combustion engine. The company's power management systems provides the ultimate extension of cylinder deactivation technology, so that any or all of the cylinders are fired or skipped, in a continuously variable manner, enabling customers to maintain improved fuel economy labels on vehicles and also helps the environment save up to one ton of carbon dioxide annually per vehicle.</t>
        </is>
      </c>
      <c r="E907" s="13" t="inlineStr">
        <is>
          <t>Other Equipment</t>
        </is>
      </c>
      <c r="F907" s="14" t="inlineStr">
        <is>
          <t>San Jose, CA</t>
        </is>
      </c>
      <c r="G907" s="15" t="inlineStr">
        <is>
          <t>Privately Held (backing)</t>
        </is>
      </c>
      <c r="H907" s="16" t="inlineStr">
        <is>
          <t>Venture Capital-Backed</t>
        </is>
      </c>
      <c r="I907" s="17" t="inlineStr">
        <is>
          <t>Delphi Automotive, General Motors, Khosla Ventures, Sequoia Capital, Sigma Partners, TriplePoint Capital</t>
        </is>
      </c>
      <c r="J907" s="18" t="inlineStr">
        <is>
          <t>www.tula-tech.com</t>
        </is>
      </c>
      <c r="K907" s="19" t="inlineStr">
        <is>
          <t>info@tula-tech.com</t>
        </is>
      </c>
      <c r="L907" s="20" t="inlineStr">
        <is>
          <t>+1 (408) 708-7500</t>
        </is>
      </c>
      <c r="M907" s="21" t="inlineStr">
        <is>
          <t>R. Scott Bailey</t>
        </is>
      </c>
      <c r="N907" s="22" t="inlineStr">
        <is>
          <t>President &amp; Chief Executive Officer</t>
        </is>
      </c>
      <c r="O907" s="23" t="inlineStr">
        <is>
          <t>scott@tulatech.com</t>
        </is>
      </c>
      <c r="P907" s="24" t="inlineStr">
        <is>
          <t>+1 (408) 708-7500</t>
        </is>
      </c>
      <c r="Q907" s="25" t="n">
        <v>2008.0</v>
      </c>
      <c r="R907" s="113">
        <f>HYPERLINK("https://my.pitchbook.com?c=52785-01", "View company online")</f>
      </c>
    </row>
    <row r="908">
      <c r="A908" s="27" t="inlineStr">
        <is>
          <t>58590-46</t>
        </is>
      </c>
      <c r="B908" s="28" t="inlineStr">
        <is>
          <t>Tuizzi</t>
        </is>
      </c>
      <c r="C908" s="29" t="inlineStr">
        <is>
          <t>4200-135</t>
        </is>
      </c>
      <c r="D908" s="30" t="inlineStr">
        <is>
          <t>Provider of an online platform for outdoor advertising. The company is an online platform that connects advertisers and media owners in one place, simplifying the communication between those seeking and those who sell media spaces.</t>
        </is>
      </c>
      <c r="E908" s="31" t="inlineStr">
        <is>
          <t>Media and Information Services (B2B)</t>
        </is>
      </c>
      <c r="F908" s="32" t="inlineStr">
        <is>
          <t>Porto, Portugal</t>
        </is>
      </c>
      <c r="G908" s="33" t="inlineStr">
        <is>
          <t>Privately Held (backing)</t>
        </is>
      </c>
      <c r="H908" s="34" t="inlineStr">
        <is>
          <t>Venture Capital-Backed</t>
        </is>
      </c>
      <c r="I908" s="35" t="inlineStr">
        <is>
          <t>Beta-i, Invicta Angels, Portugal Capital Ventures, UPTEC</t>
        </is>
      </c>
      <c r="J908" s="36" t="inlineStr">
        <is>
          <t>www.tuizzi.com</t>
        </is>
      </c>
      <c r="K908" s="37" t="inlineStr">
        <is>
          <t>info@tuizz.com</t>
        </is>
      </c>
      <c r="L908" s="38" t="inlineStr">
        <is>
          <t>+351 22 030 1515</t>
        </is>
      </c>
      <c r="M908" s="39" t="inlineStr">
        <is>
          <t>Álvaro Ferreira</t>
        </is>
      </c>
      <c r="N908" s="40" t="inlineStr">
        <is>
          <t>Manager, Owner, Co-Founder &amp; Chief Financial Officer</t>
        </is>
      </c>
      <c r="O908" s="41" t="inlineStr">
        <is>
          <t/>
        </is>
      </c>
      <c r="P908" s="42" t="inlineStr">
        <is>
          <t>+351 22 030 1515</t>
        </is>
      </c>
      <c r="Q908" s="43" t="n">
        <v>2011.0</v>
      </c>
      <c r="R908" s="114">
        <f>HYPERLINK("https://my.pitchbook.com?c=58590-46", "View company online")</f>
      </c>
    </row>
    <row r="909">
      <c r="A909" s="9" t="inlineStr">
        <is>
          <t>54888-04</t>
        </is>
      </c>
      <c r="B909" s="10" t="inlineStr">
        <is>
          <t>Tuition.io</t>
        </is>
      </c>
      <c r="C909" s="11" t="inlineStr">
        <is>
          <t>90401</t>
        </is>
      </c>
      <c r="D909" s="12" t="inlineStr">
        <is>
          <t>Provider of a tool for managing student loans. The company provides a tool for students to access private data regarding their education debt. Its platform allows them to load all of their student loans into one site, get detailed information on loans, visualize graphical representations of their debt load via desktop or mobile, figure out which repayment programs they are eligible for and create a plan for their unique situation.</t>
        </is>
      </c>
      <c r="E909" s="13" t="inlineStr">
        <is>
          <t>Application Software</t>
        </is>
      </c>
      <c r="F909" s="14" t="inlineStr">
        <is>
          <t>Santa Monica, CA</t>
        </is>
      </c>
      <c r="G909" s="15" t="inlineStr">
        <is>
          <t>Privately Held (backing)</t>
        </is>
      </c>
      <c r="H909" s="16" t="inlineStr">
        <is>
          <t>Venture Capital-Backed</t>
        </is>
      </c>
      <c r="I909" s="17" t="inlineStr">
        <is>
          <t>Atom Factory, Benjamin Narasin, Brian McLoughlin, Bryan Wolff, Conversion Capital, Double M Partners, Edward Zimmerman, FirstGrowth Venture Network, Individual Investor, Jerry Neumann, Launchpad LA, Mark Mullen, MassMutual Ventures, Mesa Ventures, Mohr Davidow Ventures, Neu Venture Capital, Residence Ventures, Richard Wolpert, Robert Glaser, Rothenberg Ventures, Todd Kimmel, Troy Carter, Wildcat Venture Partners, Will Smith</t>
        </is>
      </c>
      <c r="J909" s="18" t="inlineStr">
        <is>
          <t>www.tuition.io</t>
        </is>
      </c>
      <c r="K909" s="19" t="inlineStr">
        <is>
          <t>contact@tuition.io</t>
        </is>
      </c>
      <c r="L909" s="20" t="inlineStr">
        <is>
          <t>+1 (424) 259-1835</t>
        </is>
      </c>
      <c r="M909" s="21" t="inlineStr">
        <is>
          <t>Brendon McQueen</t>
        </is>
      </c>
      <c r="N909" s="22" t="inlineStr">
        <is>
          <t>Chief Executive Officer &amp; Co-Founder</t>
        </is>
      </c>
      <c r="O909" s="23" t="inlineStr">
        <is>
          <t>brendon@tuition.io</t>
        </is>
      </c>
      <c r="P909" s="24" t="inlineStr">
        <is>
          <t>+1 (424) 259-1835</t>
        </is>
      </c>
      <c r="Q909" s="25" t="n">
        <v>2011.0</v>
      </c>
      <c r="R909" s="113">
        <f>HYPERLINK("https://my.pitchbook.com?c=54888-04", "View company online")</f>
      </c>
    </row>
    <row r="910">
      <c r="A910" s="27" t="inlineStr">
        <is>
          <t>55361-80</t>
        </is>
      </c>
      <c r="B910" s="28" t="inlineStr">
        <is>
          <t>Tubular Labs</t>
        </is>
      </c>
      <c r="C910" s="29" t="inlineStr">
        <is>
          <t>94041</t>
        </is>
      </c>
      <c r="D910" s="30" t="inlineStr">
        <is>
          <t>Provider of an online video intelligence platform. The company provides a real-time platform for enterprises to refine their content and distribution strategy, find and partner with influencers and optimize their paid media campaigns.</t>
        </is>
      </c>
      <c r="E910" s="31" t="inlineStr">
        <is>
          <t>Media and Information Services (B2B)</t>
        </is>
      </c>
      <c r="F910" s="32" t="inlineStr">
        <is>
          <t>Mountain View, CA</t>
        </is>
      </c>
      <c r="G910" s="33" t="inlineStr">
        <is>
          <t>Privately Held (backing)</t>
        </is>
      </c>
      <c r="H910" s="34" t="inlineStr">
        <is>
          <t>Venture Capital-Backed</t>
        </is>
      </c>
      <c r="I910" s="35" t="inlineStr">
        <is>
          <t>Allen Debevoise, Bedrocket, Benjamin Ling, Canaan Partners, FirstMark Capital, Jonah Goodhart, Lerer Hippeau Ventures, Marker, Matt Coffin, Paul Bricault, SV Angel, Third Kind Venture Capital, Third Wave Digital, Tony Nethercutt</t>
        </is>
      </c>
      <c r="J910" s="36" t="inlineStr">
        <is>
          <t>www.tubularlabs.com</t>
        </is>
      </c>
      <c r="K910" s="37" t="inlineStr">
        <is>
          <t/>
        </is>
      </c>
      <c r="L910" s="38" t="inlineStr">
        <is>
          <t>+1 (650) 260-8823</t>
        </is>
      </c>
      <c r="M910" s="39" t="inlineStr">
        <is>
          <t>Robert Gabel</t>
        </is>
      </c>
      <c r="N910" s="40" t="inlineStr">
        <is>
          <t>Chief Executive Officer &amp; Co-Founder</t>
        </is>
      </c>
      <c r="O910" s="41" t="inlineStr">
        <is>
          <t>rob@tubularlabs.com</t>
        </is>
      </c>
      <c r="P910" s="42" t="inlineStr">
        <is>
          <t>+1 (310) 709-6159</t>
        </is>
      </c>
      <c r="Q910" s="43" t="n">
        <v>2012.0</v>
      </c>
      <c r="R910" s="114">
        <f>HYPERLINK("https://my.pitchbook.com?c=55361-80", "View company online")</f>
      </c>
    </row>
    <row r="911">
      <c r="A911" s="9" t="inlineStr">
        <is>
          <t>62721-19</t>
        </is>
      </c>
      <c r="B911" s="10" t="inlineStr">
        <is>
          <t>TSI Semiconductors</t>
        </is>
      </c>
      <c r="C911" s="11" t="inlineStr">
        <is>
          <t>95747</t>
        </is>
      </c>
      <c r="D911" s="12" t="inlineStr">
        <is>
          <t>Manufacturer of semiconductor chips. The company is a manufacturer of semiconductors that include analog/mixed-signal, deep-submicron, high-voltage BCDMOS, and SOI for power management applications.</t>
        </is>
      </c>
      <c r="E911" s="13" t="inlineStr">
        <is>
          <t>General Purpose Semiconductors</t>
        </is>
      </c>
      <c r="F911" s="14" t="inlineStr">
        <is>
          <t>Roseville, CA</t>
        </is>
      </c>
      <c r="G911" s="15" t="inlineStr">
        <is>
          <t>Privately Held (backing)</t>
        </is>
      </c>
      <c r="H911" s="16" t="inlineStr">
        <is>
          <t>Venture Capital-Backed</t>
        </is>
      </c>
      <c r="I911" s="17" t="inlineStr">
        <is>
          <t>Somerset Group, Wafra Investment Advisory Group</t>
        </is>
      </c>
      <c r="J911" s="18" t="inlineStr">
        <is>
          <t>www.tsisemi.com</t>
        </is>
      </c>
      <c r="K911" s="19" t="inlineStr">
        <is>
          <t>info@tsisemi.com</t>
        </is>
      </c>
      <c r="L911" s="20" t="inlineStr">
        <is>
          <t>+1 (916) 786-3900</t>
        </is>
      </c>
      <c r="M911" s="21" t="inlineStr">
        <is>
          <t>Roger Lee</t>
        </is>
      </c>
      <c r="N911" s="22" t="inlineStr">
        <is>
          <t>Chief Executive Officer &amp; President</t>
        </is>
      </c>
      <c r="O911" s="23" t="inlineStr">
        <is>
          <t/>
        </is>
      </c>
      <c r="P911" s="24" t="inlineStr">
        <is>
          <t>+1 (916) 786-3900</t>
        </is>
      </c>
      <c r="Q911" s="25" t="n">
        <v>1903.0</v>
      </c>
      <c r="R911" s="113">
        <f>HYPERLINK("https://my.pitchbook.com?c=62721-19", "View company online")</f>
      </c>
    </row>
    <row r="912">
      <c r="A912" s="27" t="inlineStr">
        <is>
          <t>118001-71</t>
        </is>
      </c>
      <c r="B912" s="28" t="inlineStr">
        <is>
          <t>TryTopic</t>
        </is>
      </c>
      <c r="C912" s="29" t="inlineStr">
        <is>
          <t>94103</t>
        </is>
      </c>
      <c r="D912" s="30" t="inlineStr">
        <is>
          <t>Provider of a mobile application designed to provide health and wellness event coordination services. The company's mobile application focuses on making it easier for people to do sports as well as enables them to discover the best sports games and leagues nearby.</t>
        </is>
      </c>
      <c r="E912" s="31" t="inlineStr">
        <is>
          <t>Social Content</t>
        </is>
      </c>
      <c r="F912" s="32" t="inlineStr">
        <is>
          <t>San Francisco, CA</t>
        </is>
      </c>
      <c r="G912" s="33" t="inlineStr">
        <is>
          <t>Privately Held (backing)</t>
        </is>
      </c>
      <c r="H912" s="34" t="inlineStr">
        <is>
          <t>Venture Capital-Backed</t>
        </is>
      </c>
      <c r="I912" s="35" t="inlineStr">
        <is>
          <t>Altair Capital</t>
        </is>
      </c>
      <c r="J912" s="36" t="inlineStr">
        <is>
          <t>www.trytopic.com</t>
        </is>
      </c>
      <c r="K912" s="37" t="inlineStr">
        <is>
          <t>support@trytopic.com</t>
        </is>
      </c>
      <c r="L912" s="38" t="inlineStr">
        <is>
          <t>+1 (415) 735-3290</t>
        </is>
      </c>
      <c r="M912" s="39" t="inlineStr">
        <is>
          <t>Alexey Kravets</t>
        </is>
      </c>
      <c r="N912" s="40" t="inlineStr">
        <is>
          <t>Founder &amp; Chief Executive Officer</t>
        </is>
      </c>
      <c r="O912" s="41" t="inlineStr">
        <is>
          <t>alex@trytopic.com</t>
        </is>
      </c>
      <c r="P912" s="42" t="inlineStr">
        <is>
          <t>+1 (415) 735-3290</t>
        </is>
      </c>
      <c r="Q912" s="43" t="n">
        <v>2012.0</v>
      </c>
      <c r="R912" s="114">
        <f>HYPERLINK("https://my.pitchbook.com?c=118001-71", "View company online")</f>
      </c>
    </row>
    <row r="913">
      <c r="A913" s="9" t="inlineStr">
        <is>
          <t>149091-85</t>
        </is>
      </c>
      <c r="B913" s="10" t="inlineStr">
        <is>
          <t>Try.com</t>
        </is>
      </c>
      <c r="C913" s="11" t="inlineStr">
        <is>
          <t>94103</t>
        </is>
      </c>
      <c r="D913" s="12" t="inlineStr">
        <is>
          <t>Provider of a personalized online shopping platform. The company offers an online platform that allows both men and women to try on clothes of multiple sizes from several major online retailers sitting at home.</t>
        </is>
      </c>
      <c r="E913" s="13" t="inlineStr">
        <is>
          <t>Internet Retail</t>
        </is>
      </c>
      <c r="F913" s="14" t="inlineStr">
        <is>
          <t>San Francisco, CA</t>
        </is>
      </c>
      <c r="G913" s="15" t="inlineStr">
        <is>
          <t>Privately Held (backing)</t>
        </is>
      </c>
      <c r="H913" s="16" t="inlineStr">
        <is>
          <t>Venture Capital-Backed</t>
        </is>
      </c>
      <c r="I913" s="17" t="inlineStr">
        <is>
          <t>Cherubic Ventures, Gabbi Cahane, Gagan Biyani, Giordano Bruno Contestabile, Haystack, Ludlow Ventures, Playfair Capital, Raj Mehta, Seedcamp, Semil Shah</t>
        </is>
      </c>
      <c r="J913" s="18" t="inlineStr">
        <is>
          <t>www.try.com</t>
        </is>
      </c>
      <c r="K913" s="19" t="inlineStr">
        <is>
          <t/>
        </is>
      </c>
      <c r="L913" s="20" t="inlineStr">
        <is>
          <t/>
        </is>
      </c>
      <c r="M913" s="21" t="inlineStr">
        <is>
          <t>Arush Sehgal</t>
        </is>
      </c>
      <c r="N913" s="22" t="inlineStr">
        <is>
          <t>Co-Founder, Chief Technology Officer &amp; Board Member</t>
        </is>
      </c>
      <c r="O913" s="23" t="inlineStr">
        <is>
          <t>arush@try.com</t>
        </is>
      </c>
      <c r="P913" s="24" t="inlineStr">
        <is>
          <t/>
        </is>
      </c>
      <c r="Q913" s="25" t="n">
        <v>2012.0</v>
      </c>
      <c r="R913" s="113">
        <f>HYPERLINK("https://my.pitchbook.com?c=149091-85", "View company online")</f>
      </c>
    </row>
    <row r="914">
      <c r="A914" s="27" t="inlineStr">
        <is>
          <t>108821-80</t>
        </is>
      </c>
      <c r="B914" s="28" t="inlineStr">
        <is>
          <t>TruValue Labs</t>
        </is>
      </c>
      <c r="C914" s="29" t="inlineStr">
        <is>
          <t>94105</t>
        </is>
      </c>
      <c r="D914" s="30" t="inlineStr">
        <is>
          <t>Provider of actionable investment insights intended to apply artificial intelligence and machine learning on financial information about public companies obscured in unstructured data.The company's actionable investment insights are offered as SaaS and data API products which monitors thousands of public companies in tens of thousands of sources and analyzes ESG data to provide actionable investment insights in real-time enabling investors to invest on the right time.</t>
        </is>
      </c>
      <c r="E914" s="31" t="inlineStr">
        <is>
          <t>Business/Productivity Software</t>
        </is>
      </c>
      <c r="F914" s="32" t="inlineStr">
        <is>
          <t>San Francisco, CA</t>
        </is>
      </c>
      <c r="G914" s="33" t="inlineStr">
        <is>
          <t>Privately Held (backing)</t>
        </is>
      </c>
      <c r="H914" s="34" t="inlineStr">
        <is>
          <t>Venture Capital-Backed</t>
        </is>
      </c>
      <c r="I914" s="35" t="inlineStr">
        <is>
          <t>The Entrepreneurs Fund</t>
        </is>
      </c>
      <c r="J914" s="36" t="inlineStr">
        <is>
          <t>www.insight360.io</t>
        </is>
      </c>
      <c r="K914" s="37" t="inlineStr">
        <is>
          <t>info@truvaluelabs.com</t>
        </is>
      </c>
      <c r="L914" s="38" t="inlineStr">
        <is>
          <t>+1 (888) 859-3690</t>
        </is>
      </c>
      <c r="M914" s="39" t="inlineStr">
        <is>
          <t>Hendrik Bartel</t>
        </is>
      </c>
      <c r="N914" s="40" t="inlineStr">
        <is>
          <t>Co-Founder &amp; Chief Executive Officer</t>
        </is>
      </c>
      <c r="O914" s="41" t="inlineStr">
        <is>
          <t>hendrik.bartel@insight360.io</t>
        </is>
      </c>
      <c r="P914" s="42" t="inlineStr">
        <is>
          <t>+1 (888) 859-3690</t>
        </is>
      </c>
      <c r="Q914" s="43" t="n">
        <v>2013.0</v>
      </c>
      <c r="R914" s="114">
        <f>HYPERLINK("https://my.pitchbook.com?c=108821-80", "View company online")</f>
      </c>
    </row>
    <row r="915">
      <c r="A915" s="9" t="inlineStr">
        <is>
          <t>53676-55</t>
        </is>
      </c>
      <c r="B915" s="10" t="inlineStr">
        <is>
          <t>TruTouch Technologies</t>
        </is>
      </c>
      <c r="C915" s="11" t="inlineStr">
        <is>
          <t>01776</t>
        </is>
      </c>
      <c r="D915" s="12" t="inlineStr">
        <is>
          <t>Manufacturer of non-invasive intoxication measurement systems designed to enhance work-site safety. The company's non-invasive intoxication measurement systems offer accurate bio-metric alcohol test results, enabling clients to verify fitness of employees at work.</t>
        </is>
      </c>
      <c r="E915" s="13" t="inlineStr">
        <is>
          <t>Other Commercial Products</t>
        </is>
      </c>
      <c r="F915" s="14" t="inlineStr">
        <is>
          <t>Sudbury, MA</t>
        </is>
      </c>
      <c r="G915" s="15" t="inlineStr">
        <is>
          <t>Privately Held (backing)</t>
        </is>
      </c>
      <c r="H915" s="16" t="inlineStr">
        <is>
          <t>Venture Capital-Backed</t>
        </is>
      </c>
      <c r="I915" s="17" t="inlineStr">
        <is>
          <t>Boston Harbor Angels, DataPoint Ventures, Desert Angels, Flywheel Ventures, Fort Washington Capital Partners Group, Individual Investor, InLight Solutions, Internal Revenue Service, iTulip, Jerome Capital, KS Centoco, Launchpad Venture Group, New Mexico Community Capital, Omphalos Venture Partners, Synergy Ventures, Telemedicine and Advanced Technology Research Center, Verge Fund</t>
        </is>
      </c>
      <c r="J915" s="18" t="inlineStr">
        <is>
          <t>www.trutouchtechnologies.com</t>
        </is>
      </c>
      <c r="K915" s="19" t="inlineStr">
        <is>
          <t/>
        </is>
      </c>
      <c r="L915" s="20" t="inlineStr">
        <is>
          <t>+1 (909) 703-5963</t>
        </is>
      </c>
      <c r="M915" s="21" t="inlineStr">
        <is>
          <t>Daniel Sullivan</t>
        </is>
      </c>
      <c r="N915" s="22" t="inlineStr">
        <is>
          <t>Chief Financial Officer &amp; President</t>
        </is>
      </c>
      <c r="O915" s="23" t="inlineStr">
        <is>
          <t>dan.sullivan@tttinc.com</t>
        </is>
      </c>
      <c r="P915" s="24" t="inlineStr">
        <is>
          <t>+1 (909) 703-5963</t>
        </is>
      </c>
      <c r="Q915" s="25" t="n">
        <v>2004.0</v>
      </c>
      <c r="R915" s="113">
        <f>HYPERLINK("https://my.pitchbook.com?c=53676-55", "View company online")</f>
      </c>
    </row>
    <row r="916">
      <c r="A916" s="27" t="inlineStr">
        <is>
          <t>62193-70</t>
        </is>
      </c>
      <c r="B916" s="28" t="inlineStr">
        <is>
          <t>TruTag Technologies</t>
        </is>
      </c>
      <c r="C916" s="29" t="inlineStr">
        <is>
          <t>96707</t>
        </is>
      </c>
      <c r="D916" s="30" t="inlineStr">
        <is>
          <t>Developer of technology for product authentication and brand protection.The company is the creator of Trutags, a microtagging product achieved through nanotechnology which contains a unique code that can only be scanned using the company's proprietary instruments. The tags are biologically inert, edible and virtually invisible. The product is designed as a business-information tool as well as a product-security measure.</t>
        </is>
      </c>
      <c r="E916" s="31" t="inlineStr">
        <is>
          <t>Media and Information Services (B2B)</t>
        </is>
      </c>
      <c r="F916" s="32" t="inlineStr">
        <is>
          <t>Kapolei, HI</t>
        </is>
      </c>
      <c r="G916" s="33" t="inlineStr">
        <is>
          <t>Privately Held (backing)</t>
        </is>
      </c>
      <c r="H916" s="34" t="inlineStr">
        <is>
          <t>Venture Capital-Backed</t>
        </is>
      </c>
      <c r="I916" s="35" t="inlineStr">
        <is>
          <t>DiNova Venture Capital, Skai Ventures, WuXi Healthcare Investment Consulting (Shanghai)</t>
        </is>
      </c>
      <c r="J916" s="36" t="inlineStr">
        <is>
          <t>www.trutags.com</t>
        </is>
      </c>
      <c r="K916" s="37" t="inlineStr">
        <is>
          <t/>
        </is>
      </c>
      <c r="L916" s="38" t="inlineStr">
        <is>
          <t/>
        </is>
      </c>
      <c r="M916" s="39" t="inlineStr">
        <is>
          <t>Peter Wong</t>
        </is>
      </c>
      <c r="N916" s="40" t="inlineStr">
        <is>
          <t>Chief Operating Officer</t>
        </is>
      </c>
      <c r="O916" s="41" t="inlineStr">
        <is>
          <t>pwong@skaiventures.com</t>
        </is>
      </c>
      <c r="P916" s="42" t="inlineStr">
        <is>
          <t>+1 (808) 949-2208</t>
        </is>
      </c>
      <c r="Q916" s="43" t="n">
        <v>2011.0</v>
      </c>
      <c r="R916" s="114">
        <f>HYPERLINK("https://my.pitchbook.com?c=62193-70", "View company online")</f>
      </c>
    </row>
    <row r="917">
      <c r="A917" s="9" t="inlineStr">
        <is>
          <t>52829-20</t>
        </is>
      </c>
      <c r="B917" s="10" t="inlineStr">
        <is>
          <t>TrustYou</t>
        </is>
      </c>
      <c r="C917" s="11" t="inlineStr">
        <is>
          <t>80992</t>
        </is>
      </c>
      <c r="D917" s="12" t="inlineStr">
        <is>
          <t>Provider of a Software-as-a-Service platform. The company develops an online platform that allows travellers to search, book, review and benchmark hotels and resort based on their experiences.</t>
        </is>
      </c>
      <c r="E917" s="13" t="inlineStr">
        <is>
          <t>Application Software</t>
        </is>
      </c>
      <c r="F917" s="14" t="inlineStr">
        <is>
          <t>Munich, Germany</t>
        </is>
      </c>
      <c r="G917" s="15" t="inlineStr">
        <is>
          <t>Privately Held (backing)</t>
        </is>
      </c>
      <c r="H917" s="16" t="inlineStr">
        <is>
          <t>Venture Capital-Backed</t>
        </is>
      </c>
      <c r="I917" s="17" t="inlineStr">
        <is>
          <t>Harbert Management, Holtzbrinck Ventures, Omnes Capital</t>
        </is>
      </c>
      <c r="J917" s="18" t="inlineStr">
        <is>
          <t>www.trustyou.com</t>
        </is>
      </c>
      <c r="K917" s="19" t="inlineStr">
        <is>
          <t>info@trustyou.com</t>
        </is>
      </c>
      <c r="L917" s="20" t="inlineStr">
        <is>
          <t>+49 (0)89 5480 2925</t>
        </is>
      </c>
      <c r="M917" s="21" t="inlineStr">
        <is>
          <t>Benjamin Jost</t>
        </is>
      </c>
      <c r="N917" s="22" t="inlineStr">
        <is>
          <t>Co-Founder &amp; Chief Executive Officer</t>
        </is>
      </c>
      <c r="O917" s="23" t="inlineStr">
        <is>
          <t>benjamin@trustyou.com</t>
        </is>
      </c>
      <c r="P917" s="24" t="inlineStr">
        <is>
          <t>+49 (0)89 5480 2925</t>
        </is>
      </c>
      <c r="Q917" s="25" t="n">
        <v>2008.0</v>
      </c>
      <c r="R917" s="113">
        <f>HYPERLINK("https://my.pitchbook.com?c=52829-20", "View company online")</f>
      </c>
    </row>
    <row r="918">
      <c r="A918" s="27" t="inlineStr">
        <is>
          <t>94281-58</t>
        </is>
      </c>
      <c r="B918" s="28" t="inlineStr">
        <is>
          <t>Trustlook</t>
        </is>
      </c>
      <c r="C918" s="29" t="inlineStr">
        <is>
          <t>95112</t>
        </is>
      </c>
      <c r="D918" s="30" t="inlineStr">
        <is>
          <t>Developer of security software for Android devices. The company develops a static analysis platform for detecting suspicious behavior and malicious characteristics for Android operating systems.</t>
        </is>
      </c>
      <c r="E918" s="31" t="inlineStr">
        <is>
          <t>Network Management Software</t>
        </is>
      </c>
      <c r="F918" s="32" t="inlineStr">
        <is>
          <t>San Jose, CA</t>
        </is>
      </c>
      <c r="G918" s="33" t="inlineStr">
        <is>
          <t>Privately Held (backing)</t>
        </is>
      </c>
      <c r="H918" s="34" t="inlineStr">
        <is>
          <t>Venture Capital-Backed</t>
        </is>
      </c>
      <c r="I918" s="35" t="inlineStr">
        <is>
          <t>Amino Capital, Beijing Daqi Fortune Investment Company, Danhua Capital, Hanhai Investment, Han-Sheong Lai, Linear Capital Partners, Linear Venture, Ping Wu, Sparkland Capital, Trustbridge Partners, Wei Guo, Yao Ma, Yu Yuan, ZhenFund</t>
        </is>
      </c>
      <c r="J918" s="36" t="inlineStr">
        <is>
          <t>www.trustlook.com</t>
        </is>
      </c>
      <c r="K918" s="37" t="inlineStr">
        <is>
          <t/>
        </is>
      </c>
      <c r="L918" s="38" t="inlineStr">
        <is>
          <t>+1 (408) 658-0826</t>
        </is>
      </c>
      <c r="M918" s="39" t="inlineStr">
        <is>
          <t>Allan Zhang</t>
        </is>
      </c>
      <c r="N918" s="40" t="inlineStr">
        <is>
          <t>Chief Executive Officer &amp; Co-Founder</t>
        </is>
      </c>
      <c r="O918" s="41" t="inlineStr">
        <is>
          <t>azhang@trustlook.com</t>
        </is>
      </c>
      <c r="P918" s="42" t="inlineStr">
        <is>
          <t>+1 (408) 658-0826</t>
        </is>
      </c>
      <c r="Q918" s="43" t="n">
        <v>2013.0</v>
      </c>
      <c r="R918" s="114">
        <f>HYPERLINK("https://my.pitchbook.com?c=94281-58", "View company online")</f>
      </c>
    </row>
    <row r="919">
      <c r="A919" s="9" t="inlineStr">
        <is>
          <t>91238-23</t>
        </is>
      </c>
      <c r="B919" s="10" t="inlineStr">
        <is>
          <t>TrustLeaf</t>
        </is>
      </c>
      <c r="C919" s="11" t="inlineStr">
        <is>
          <t>94085</t>
        </is>
      </c>
      <c r="D919" s="12" t="inlineStr">
        <is>
          <t>Provider of an online platform for crowdfunding early-stage businesses. The company helps early-stage startup founders get funding from their friends and family by automatically creating custom loan documents and making repayment planning a smooth process.</t>
        </is>
      </c>
      <c r="E919" s="13" t="inlineStr">
        <is>
          <t>Social/Platform Software</t>
        </is>
      </c>
      <c r="F919" s="14" t="inlineStr">
        <is>
          <t>Sunnyvale, CA</t>
        </is>
      </c>
      <c r="G919" s="15" t="inlineStr">
        <is>
          <t>Privately Held (backing)</t>
        </is>
      </c>
      <c r="H919" s="16" t="inlineStr">
        <is>
          <t>Venture Capital-Backed</t>
        </is>
      </c>
      <c r="I919" s="17" t="inlineStr">
        <is>
          <t>China Growth Capital, David Chen, Founder Institute, Plug and Play Tech Center, Vincent Turner, Wally Wang</t>
        </is>
      </c>
      <c r="J919" s="18" t="inlineStr">
        <is>
          <t>www.trustleaf.com</t>
        </is>
      </c>
      <c r="K919" s="19" t="inlineStr">
        <is>
          <t>hello@trustleaf.com</t>
        </is>
      </c>
      <c r="L919" s="20" t="inlineStr">
        <is>
          <t/>
        </is>
      </c>
      <c r="M919" s="21" t="inlineStr">
        <is>
          <t>Anson Liang</t>
        </is>
      </c>
      <c r="N919" s="22" t="inlineStr">
        <is>
          <t>Co-Founder &amp; Chief Executive Officer</t>
        </is>
      </c>
      <c r="O919" s="23" t="inlineStr">
        <is>
          <t>anson@ashleychloe.com</t>
        </is>
      </c>
      <c r="P919" s="24" t="inlineStr">
        <is>
          <t>+1 (415) 814-0012</t>
        </is>
      </c>
      <c r="Q919" s="25" t="n">
        <v>2013.0</v>
      </c>
      <c r="R919" s="113">
        <f>HYPERLINK("https://my.pitchbook.com?c=91238-23", "View company online")</f>
      </c>
    </row>
    <row r="920">
      <c r="A920" s="27" t="inlineStr">
        <is>
          <t>111951-01</t>
        </is>
      </c>
      <c r="B920" s="28" t="inlineStr">
        <is>
          <t>TrustInSoft</t>
        </is>
      </c>
      <c r="C920" s="29" t="inlineStr">
        <is>
          <t>94107</t>
        </is>
      </c>
      <c r="D920" s="30" t="inlineStr">
        <is>
          <t>Provider of an advanced static code analyzer designed to find source code flaws. The company's advanced static code analyzer performs comprehensive mathematical analyses of software to find and resolve source code flaws and also detect all vulnerabilities, enabling software designers and validation teams to verify and detect flaws in their critical software.</t>
        </is>
      </c>
      <c r="E920" s="31" t="inlineStr">
        <is>
          <t>Software Development Applications</t>
        </is>
      </c>
      <c r="F920" s="32" t="inlineStr">
        <is>
          <t>San Francisco, CA</t>
        </is>
      </c>
      <c r="G920" s="33" t="inlineStr">
        <is>
          <t>Privately Held (backing)</t>
        </is>
      </c>
      <c r="H920" s="34" t="inlineStr">
        <is>
          <t>Venture Capital-Backed</t>
        </is>
      </c>
      <c r="I920" s="35" t="inlineStr">
        <is>
          <t>IdInvest Partners, Starburst Accelerator</t>
        </is>
      </c>
      <c r="J920" s="36" t="inlineStr">
        <is>
          <t>www.trust-in-soft.com</t>
        </is>
      </c>
      <c r="K920" s="37" t="inlineStr">
        <is>
          <t>contact@trust-in-soft.com</t>
        </is>
      </c>
      <c r="L920" s="38" t="inlineStr">
        <is>
          <t>+1 (408) 829-5882</t>
        </is>
      </c>
      <c r="M920" s="39" t="inlineStr">
        <is>
          <t>Fabrice Derepas</t>
        </is>
      </c>
      <c r="N920" s="40" t="inlineStr">
        <is>
          <t>Co-Founder &amp; Chief Executive Officer</t>
        </is>
      </c>
      <c r="O920" s="41" t="inlineStr">
        <is>
          <t>fabrice.derepas@trust-in-soft.com</t>
        </is>
      </c>
      <c r="P920" s="42" t="inlineStr">
        <is>
          <t>+1 (408) 829-5882</t>
        </is>
      </c>
      <c r="Q920" s="43" t="n">
        <v>2013.0</v>
      </c>
      <c r="R920" s="114">
        <f>HYPERLINK("https://my.pitchbook.com?c=111951-01", "View company online")</f>
      </c>
    </row>
    <row r="921">
      <c r="A921" s="9" t="inlineStr">
        <is>
          <t>102481-66</t>
        </is>
      </c>
      <c r="B921" s="10" t="inlineStr">
        <is>
          <t>Trusting Social</t>
        </is>
      </c>
      <c r="C921" s="11" t="inlineStr">
        <is>
          <t>94086</t>
        </is>
      </c>
      <c r="D921" s="12" t="inlineStr">
        <is>
          <t>Provider of consumer credit score data designed to make lending faster, cheaper and friendlier. The company's online platform offers consumer credit score and traditional credit score checks based on social, web and mobile data, enabling lenders to detect identity fraud, verify application data and evaluate credit risk.</t>
        </is>
      </c>
      <c r="E921" s="13" t="inlineStr">
        <is>
          <t>Financial Software</t>
        </is>
      </c>
      <c r="F921" s="14" t="inlineStr">
        <is>
          <t>Sunnyvale, CA</t>
        </is>
      </c>
      <c r="G921" s="15" t="inlineStr">
        <is>
          <t>Privately Held (backing)</t>
        </is>
      </c>
      <c r="H921" s="16" t="inlineStr">
        <is>
          <t>Venture Capital-Backed</t>
        </is>
      </c>
      <c r="I921" s="17" t="inlineStr">
        <is>
          <t>500 Startups, Kima Ventures, Plug and Play Tech Center</t>
        </is>
      </c>
      <c r="J921" s="18" t="inlineStr">
        <is>
          <t>www.trustingsocial.com</t>
        </is>
      </c>
      <c r="K921" s="19" t="inlineStr">
        <is>
          <t>team@trustingsocial.com</t>
        </is>
      </c>
      <c r="L921" s="20" t="inlineStr">
        <is>
          <t/>
        </is>
      </c>
      <c r="M921" s="21" t="inlineStr">
        <is>
          <t>Nguyen Nguyen</t>
        </is>
      </c>
      <c r="N921" s="22" t="inlineStr">
        <is>
          <t>Co-Founder &amp; Chief Executive Officer</t>
        </is>
      </c>
      <c r="O921" s="23" t="inlineStr">
        <is>
          <t>nnguyen@trustingsocial.com</t>
        </is>
      </c>
      <c r="P921" s="24" t="inlineStr">
        <is>
          <t>+1 (212) 888-9889</t>
        </is>
      </c>
      <c r="Q921" s="25" t="n">
        <v>2013.0</v>
      </c>
      <c r="R921" s="113">
        <f>HYPERLINK("https://my.pitchbook.com?c=102481-66", "View company online")</f>
      </c>
    </row>
    <row r="922">
      <c r="A922" s="27" t="inlineStr">
        <is>
          <t>170578-90</t>
        </is>
      </c>
      <c r="B922" s="28" t="inlineStr">
        <is>
          <t>Trusted Mobility</t>
        </is>
      </c>
      <c r="C922" s="29" t="inlineStr">
        <is>
          <t>92121</t>
        </is>
      </c>
      <c r="D922" s="30" t="inlineStr">
        <is>
          <t>Retailer of medical supplies and equipment created to provide effective and prompt service and maintenance to customers with mobility needs. The company's repairing or maintaining mobility device retail store, specialize in repair, maintenance and service of power wheelchairs and mobility devices on-site and gives temporary replacement rental if the chair repair requires device to come to audited service centers, enabling mobility patients to get service and care at a cost effective, prompt and respectful manner, and helping them to keep their power wheelchairs working.</t>
        </is>
      </c>
      <c r="E922" s="31" t="inlineStr">
        <is>
          <t>Other Services (B2C Non-Financial)</t>
        </is>
      </c>
      <c r="F922" s="32" t="inlineStr">
        <is>
          <t>San Diego, CA</t>
        </is>
      </c>
      <c r="G922" s="33" t="inlineStr">
        <is>
          <t>Privately Held (backing)</t>
        </is>
      </c>
      <c r="H922" s="34" t="inlineStr">
        <is>
          <t>Venture Capital-Backed</t>
        </is>
      </c>
      <c r="I922" s="35" t="inlineStr">
        <is>
          <t>Torrey Pines Investment</t>
        </is>
      </c>
      <c r="J922" s="36" t="inlineStr">
        <is>
          <t>www.trustedmobilityrepair.com</t>
        </is>
      </c>
      <c r="K922" s="37" t="inlineStr">
        <is>
          <t/>
        </is>
      </c>
      <c r="L922" s="38" t="inlineStr">
        <is>
          <t>+1 (877) 815-6786</t>
        </is>
      </c>
      <c r="M922" s="39" t="inlineStr">
        <is>
          <t>Stephen Tunnell</t>
        </is>
      </c>
      <c r="N922" s="40" t="inlineStr">
        <is>
          <t>Chief Operating Officer</t>
        </is>
      </c>
      <c r="O922" s="41" t="inlineStr">
        <is>
          <t>stunnell@trustedmobilityrepair.com</t>
        </is>
      </c>
      <c r="P922" s="42" t="inlineStr">
        <is>
          <t>+1 (877) 815-6786</t>
        </is>
      </c>
      <c r="Q922" s="43" t="n">
        <v>2015.0</v>
      </c>
      <c r="R922" s="114">
        <f>HYPERLINK("https://my.pitchbook.com?c=170578-90", "View company online")</f>
      </c>
    </row>
    <row r="923">
      <c r="A923" s="9" t="inlineStr">
        <is>
          <t>55323-82</t>
        </is>
      </c>
      <c r="B923" s="10" t="inlineStr">
        <is>
          <t>Trusted Insight</t>
        </is>
      </c>
      <c r="C923" s="11" t="inlineStr">
        <is>
          <t>94105</t>
        </is>
      </c>
      <c r="D923" s="12" t="inlineStr">
        <is>
          <t>Provider of an online network of investment professionals designed to get insights into alternative assets. The company's network of investment professionals narrows the gap between the digital and real worlds, enabling consumers to keep up with the latest investment trends efficiently with relevant alternative asset news and peer insights.</t>
        </is>
      </c>
      <c r="E923" s="13" t="inlineStr">
        <is>
          <t>Media and Information Services (B2B)</t>
        </is>
      </c>
      <c r="F923" s="14" t="inlineStr">
        <is>
          <t>San Francisco, CA</t>
        </is>
      </c>
      <c r="G923" s="15" t="inlineStr">
        <is>
          <t>Privately Held (backing)</t>
        </is>
      </c>
      <c r="H923" s="16" t="inlineStr">
        <is>
          <t>Venture Capital-Backed</t>
        </is>
      </c>
      <c r="I923" s="17" t="inlineStr">
        <is>
          <t>500 Startups, BootstrapLabs, Cross Border Angels, Data Collective, DN Capital, DoubleRock, Eric Chen, Founders Fund, Individual Investor, Initialized Capital, John Taysom, Lauder Partners, Marleen Groen, Morado Venture Partners, Oakhouse Partners, Real Ventures, Rothenberg Ventures, Route 66 Ventures, RRE Ventures, Saad AlSogair, Sherry Coutu, Steelhead Ventures, Surender Punia, The Entrepreneurs Fund, The Hive, Tikhon Bernstam, Vectr Ventures, Vision Ventures</t>
        </is>
      </c>
      <c r="J923" s="18" t="inlineStr">
        <is>
          <t>www.thetrustedinsight.com</t>
        </is>
      </c>
      <c r="K923" s="19" t="inlineStr">
        <is>
          <t>contact@thetrustedinsight.com</t>
        </is>
      </c>
      <c r="L923" s="20" t="inlineStr">
        <is>
          <t>+1 (415) 871-0280</t>
        </is>
      </c>
      <c r="M923" s="21" t="inlineStr">
        <is>
          <t>Leslie Curry</t>
        </is>
      </c>
      <c r="N923" s="22" t="inlineStr">
        <is>
          <t>Director, Business Development and Sales &amp; Consultant, Business Development</t>
        </is>
      </c>
      <c r="O923" s="23" t="inlineStr">
        <is>
          <t/>
        </is>
      </c>
      <c r="P923" s="24" t="inlineStr">
        <is>
          <t>+1 (415) 871-0280</t>
        </is>
      </c>
      <c r="Q923" s="25" t="n">
        <v>2010.0</v>
      </c>
      <c r="R923" s="113">
        <f>HYPERLINK("https://my.pitchbook.com?c=55323-82", "View company online")</f>
      </c>
    </row>
    <row r="924">
      <c r="A924" s="27" t="inlineStr">
        <is>
          <t>125531-29</t>
        </is>
      </c>
      <c r="B924" s="28" t="inlineStr">
        <is>
          <t>Trusted (ChildCare)</t>
        </is>
      </c>
      <c r="C924" s="29" t="inlineStr">
        <is>
          <t>94107</t>
        </is>
      </c>
      <c r="D924" s="30" t="inlineStr">
        <is>
          <t>Provider of a curated platform for parents seeking child care services. The company provides a mobile application for parents to discover and schedule vetted, trained and qualified child care providers.</t>
        </is>
      </c>
      <c r="E924" s="31" t="inlineStr">
        <is>
          <t>Application Software</t>
        </is>
      </c>
      <c r="F924" s="32" t="inlineStr">
        <is>
          <t>San Francisco, CA</t>
        </is>
      </c>
      <c r="G924" s="33" t="inlineStr">
        <is>
          <t>Privately Held (backing)</t>
        </is>
      </c>
      <c r="H924" s="34" t="inlineStr">
        <is>
          <t>Venture Capital-Backed</t>
        </is>
      </c>
      <c r="I924" s="35" t="inlineStr">
        <is>
          <t>Chad Boeding, Compound Ventures, CrunchFund, Great Oaks Venture Capital, Haystack, Kleiner Perkins Caufield &amp; Byers, KPCB Edge, Naval Ravikant, Sara Mauskopf, Slow Ventures, Techstars, Tianxiang Zhuo</t>
        </is>
      </c>
      <c r="J924" s="36" t="inlineStr">
        <is>
          <t>www.usetrusted.com</t>
        </is>
      </c>
      <c r="K924" s="37" t="inlineStr">
        <is>
          <t>info@usetrusted.com</t>
        </is>
      </c>
      <c r="L924" s="38" t="inlineStr">
        <is>
          <t>+1 (844) 987-8783</t>
        </is>
      </c>
      <c r="M924" s="39" t="inlineStr">
        <is>
          <t>Anand Iyer</t>
        </is>
      </c>
      <c r="N924" s="40" t="inlineStr">
        <is>
          <t>Co-Founder &amp; Chief Executive Officer</t>
        </is>
      </c>
      <c r="O924" s="41" t="inlineStr">
        <is>
          <t>anand.iyer@usetrusted.com</t>
        </is>
      </c>
      <c r="P924" s="42" t="inlineStr">
        <is>
          <t>+1 (844) 987-8783</t>
        </is>
      </c>
      <c r="Q924" s="43" t="n">
        <v>2015.0</v>
      </c>
      <c r="R924" s="114">
        <f>HYPERLINK("https://my.pitchbook.com?c=125531-29", "View company online")</f>
      </c>
    </row>
    <row r="925">
      <c r="A925" s="9" t="inlineStr">
        <is>
          <t>52816-60</t>
        </is>
      </c>
      <c r="B925" s="10" t="inlineStr">
        <is>
          <t>TRUSTe</t>
        </is>
      </c>
      <c r="C925" s="11" t="inlineStr">
        <is>
          <t>94103</t>
        </is>
      </c>
      <c r="D925" s="12" t="inlineStr">
        <is>
          <t>Provider of online privacy tools.The company provides privacy consulting, certifications and technology tools to help businesses manage privacy compliance risk.</t>
        </is>
      </c>
      <c r="E925" s="13" t="inlineStr">
        <is>
          <t>Network Management Software</t>
        </is>
      </c>
      <c r="F925" s="14" t="inlineStr">
        <is>
          <t>San Francisco, CA</t>
        </is>
      </c>
      <c r="G925" s="15" t="inlineStr">
        <is>
          <t>Privately Held (backing)</t>
        </is>
      </c>
      <c r="H925" s="16" t="inlineStr">
        <is>
          <t>Venture Capital-Backed</t>
        </is>
      </c>
      <c r="I925" s="17" t="inlineStr">
        <is>
          <t>Accel, Baseline Ventures, DAG Ventures, Icon Ventures, Industry Ventures, Sherpalo Ventures, Steve Anderson</t>
        </is>
      </c>
      <c r="J925" s="18" t="inlineStr">
        <is>
          <t>www.truste.com</t>
        </is>
      </c>
      <c r="K925" s="19" t="inlineStr">
        <is>
          <t/>
        </is>
      </c>
      <c r="L925" s="20" t="inlineStr">
        <is>
          <t>+1 (415) 520-3490</t>
        </is>
      </c>
      <c r="M925" s="21" t="inlineStr">
        <is>
          <t>Tim Sullivan</t>
        </is>
      </c>
      <c r="N925" s="22" t="inlineStr">
        <is>
          <t>Co-Chief Financial Officer</t>
        </is>
      </c>
      <c r="O925" s="23" t="inlineStr">
        <is>
          <t>tsullivan@truste.com</t>
        </is>
      </c>
      <c r="P925" s="24" t="inlineStr">
        <is>
          <t>+1 (415) 520-3490</t>
        </is>
      </c>
      <c r="Q925" s="25" t="n">
        <v>1997.0</v>
      </c>
      <c r="R925" s="113">
        <f>HYPERLINK("https://my.pitchbook.com?c=52816-60", "View company online")</f>
      </c>
    </row>
    <row r="926">
      <c r="A926" s="27" t="inlineStr">
        <is>
          <t>113881-96</t>
        </is>
      </c>
      <c r="B926" s="28" t="inlineStr">
        <is>
          <t>TruSTAR Technology</t>
        </is>
      </c>
      <c r="C926" s="29" t="inlineStr">
        <is>
          <t>94103</t>
        </is>
      </c>
      <c r="D926" s="30" t="inlineStr">
        <is>
          <t>Provider of cyber incident-sharing platform for businesses. The company offers a cloud based platform that helps to protect and incentivize enterprises to share cyber threat information through their privacy-preserving sharing, correlation and collaboration technology.</t>
        </is>
      </c>
      <c r="E926" s="31" t="inlineStr">
        <is>
          <t>Network Management Software</t>
        </is>
      </c>
      <c r="F926" s="32" t="inlineStr">
        <is>
          <t>San Francisco, CA</t>
        </is>
      </c>
      <c r="G926" s="33" t="inlineStr">
        <is>
          <t>Privately Held (backing)</t>
        </is>
      </c>
      <c r="H926" s="34" t="inlineStr">
        <is>
          <t>Venture Capital-Backed</t>
        </is>
      </c>
      <c r="I926" s="35" t="inlineStr">
        <is>
          <t>Aspect Venture Partners, Resolute Ventures, Storm Ventures</t>
        </is>
      </c>
      <c r="J926" s="36" t="inlineStr">
        <is>
          <t>www.trustar.co</t>
        </is>
      </c>
      <c r="K926" s="37" t="inlineStr">
        <is>
          <t/>
        </is>
      </c>
      <c r="L926" s="38" t="inlineStr">
        <is>
          <t/>
        </is>
      </c>
      <c r="M926" s="39" t="inlineStr">
        <is>
          <t>Paul Kurtz</t>
        </is>
      </c>
      <c r="N926" s="40" t="inlineStr">
        <is>
          <t>Co-Founder, Chief Executive Officer &amp; Board Member</t>
        </is>
      </c>
      <c r="O926" s="41" t="inlineStr">
        <is>
          <t>pkurtz@trustartechnology.com</t>
        </is>
      </c>
      <c r="P926" s="42" t="inlineStr">
        <is>
          <t/>
        </is>
      </c>
      <c r="Q926" s="43" t="n">
        <v>2014.0</v>
      </c>
      <c r="R926" s="114">
        <f>HYPERLINK("https://my.pitchbook.com?c=113881-96", "View company online")</f>
      </c>
    </row>
    <row r="927">
      <c r="A927" s="9" t="inlineStr">
        <is>
          <t>180143-20</t>
        </is>
      </c>
      <c r="B927" s="10" t="inlineStr">
        <is>
          <t>Trust Circle</t>
        </is>
      </c>
      <c r="C927" s="11" t="inlineStr">
        <is>
          <t/>
        </is>
      </c>
      <c r="D927" s="12" t="inlineStr">
        <is>
          <t>Developer of a mobile application designed to provide peer-to-peer financial platform. The company's mobile application helps individuals to pool funds in informal savings clubs and track exactly how much they have put into their kitty which reduces the chance of the organizers to abscond with their money, enabling ordinary people to save and borrow easily without having to pay high financial transactional costs.</t>
        </is>
      </c>
      <c r="E927" s="13" t="inlineStr">
        <is>
          <t>Financial Software</t>
        </is>
      </c>
      <c r="F927" s="14" t="inlineStr">
        <is>
          <t>Ho Chi Minh City, Vietnam</t>
        </is>
      </c>
      <c r="G927" s="15" t="inlineStr">
        <is>
          <t>Privately Held (backing)</t>
        </is>
      </c>
      <c r="H927" s="16" t="inlineStr">
        <is>
          <t>Venture Capital-Backed</t>
        </is>
      </c>
      <c r="I927" s="17" t="inlineStr">
        <is>
          <t>Unitus Impact</t>
        </is>
      </c>
      <c r="J927" s="18" t="inlineStr">
        <is>
          <t>www.trustcircleglobal.com</t>
        </is>
      </c>
      <c r="K927" s="19" t="inlineStr">
        <is>
          <t>info@trustcircleglobal.com</t>
        </is>
      </c>
      <c r="L927" s="20" t="inlineStr">
        <is>
          <t>+84 (0)8 54104105</t>
        </is>
      </c>
      <c r="M927" s="21" t="inlineStr">
        <is>
          <t>Kien Pham</t>
        </is>
      </c>
      <c r="N927" s="22" t="inlineStr">
        <is>
          <t>Co-Founder and Executive Chairman</t>
        </is>
      </c>
      <c r="O927" s="23" t="inlineStr">
        <is>
          <t/>
        </is>
      </c>
      <c r="P927" s="24" t="inlineStr">
        <is>
          <t>+1 (415) 743-1500</t>
        </is>
      </c>
      <c r="Q927" s="25" t="n">
        <v>2014.0</v>
      </c>
      <c r="R927" s="113">
        <f>HYPERLINK("https://my.pitchbook.com?c=180143-20", "View company online")</f>
      </c>
    </row>
    <row r="928">
      <c r="A928" s="27" t="inlineStr">
        <is>
          <t>61397-83</t>
        </is>
      </c>
      <c r="B928" s="28" t="inlineStr">
        <is>
          <t>Trusper</t>
        </is>
      </c>
      <c r="C928" s="29" t="inlineStr">
        <is>
          <t>95051</t>
        </is>
      </c>
      <c r="D928" s="30" t="inlineStr">
        <is>
          <t>Developer of an online platform designed to promote healthy living with both tips and products. The company offers both apps and websites for users to create and share tips, and to buy natural products.</t>
        </is>
      </c>
      <c r="E928" s="31" t="inlineStr">
        <is>
          <t>Social/Platform Software</t>
        </is>
      </c>
      <c r="F928" s="32" t="inlineStr">
        <is>
          <t>Santa Clara, CA</t>
        </is>
      </c>
      <c r="G928" s="33" t="inlineStr">
        <is>
          <t>Privately Held (backing)</t>
        </is>
      </c>
      <c r="H928" s="34" t="inlineStr">
        <is>
          <t>Venture Capital-Backed</t>
        </is>
      </c>
      <c r="I928" s="35" t="inlineStr">
        <is>
          <t>Charles R. Schwab, DCM Ventures, InnoSpring (Shanghai) Company, Justin Caldbeck, Ken Xie, Mark Thompson, Robert V. Gunderson, Jr, SharesPost, Subrah Iyar, Tsingyuan Ventures</t>
        </is>
      </c>
      <c r="J928" s="36" t="inlineStr">
        <is>
          <t>www.musely.com</t>
        </is>
      </c>
      <c r="K928" s="37" t="inlineStr">
        <is>
          <t>info@trusper.com</t>
        </is>
      </c>
      <c r="L928" s="38" t="inlineStr">
        <is>
          <t>+1 (408) 444-7598</t>
        </is>
      </c>
      <c r="M928" s="39" t="inlineStr">
        <is>
          <t>Jack Jia</t>
        </is>
      </c>
      <c r="N928" s="40" t="inlineStr">
        <is>
          <t>Chief Executive Officer &amp; Co-Founder</t>
        </is>
      </c>
      <c r="O928" s="41" t="inlineStr">
        <is>
          <t>jack@trusper.com</t>
        </is>
      </c>
      <c r="P928" s="42" t="inlineStr">
        <is>
          <t>+1 (408) 444-7598</t>
        </is>
      </c>
      <c r="Q928" s="43" t="n">
        <v>2012.0</v>
      </c>
      <c r="R928" s="114">
        <f>HYPERLINK("https://my.pitchbook.com?c=61397-83", "View company online")</f>
      </c>
    </row>
    <row r="929">
      <c r="A929" s="9" t="inlineStr">
        <is>
          <t>53964-19</t>
        </is>
      </c>
      <c r="B929" s="10" t="inlineStr">
        <is>
          <t>Truphone</t>
        </is>
      </c>
      <c r="C929" s="11" t="inlineStr">
        <is>
          <t>E14 5LQ</t>
        </is>
      </c>
      <c r="D929" s="12" t="inlineStr">
        <is>
          <t>Developer of a global mobile network. The company provides sim cards for international mobile communications, with plans offering packages of minutes, text and data across 66 countries, as well as connected coverage in over 200 countries.</t>
        </is>
      </c>
      <c r="E929" s="13" t="inlineStr">
        <is>
          <t>Telecommunications Service Providers</t>
        </is>
      </c>
      <c r="F929" s="14" t="inlineStr">
        <is>
          <t>London, United Kingdom</t>
        </is>
      </c>
      <c r="G929" s="15" t="inlineStr">
        <is>
          <t>Privately Held (backing)</t>
        </is>
      </c>
      <c r="H929" s="16" t="inlineStr">
        <is>
          <t>Venture Capital-Backed</t>
        </is>
      </c>
      <c r="I929" s="17" t="inlineStr">
        <is>
          <t>Alexander Abramov, Burda Digital Ventures, Eden Ventures, Independent News &amp; Media, Individual Investor, Minden, Straub Ventures, Wellington Partners</t>
        </is>
      </c>
      <c r="J929" s="18" t="inlineStr">
        <is>
          <t>www.truphone.com</t>
        </is>
      </c>
      <c r="K929" s="19" t="inlineStr">
        <is>
          <t>generalenquiries@truphone.com</t>
        </is>
      </c>
      <c r="L929" s="20" t="inlineStr">
        <is>
          <t>+44 (0)20 3002 6565</t>
        </is>
      </c>
      <c r="M929" s="21" t="inlineStr">
        <is>
          <t>Harminder Sehmi</t>
        </is>
      </c>
      <c r="N929" s="22" t="inlineStr">
        <is>
          <t>Finance Director</t>
        </is>
      </c>
      <c r="O929" s="23" t="inlineStr">
        <is>
          <t>harminder.sehmi@truphone.com</t>
        </is>
      </c>
      <c r="P929" s="24" t="inlineStr">
        <is>
          <t>+44 (0)20 3002 6565</t>
        </is>
      </c>
      <c r="Q929" s="25" t="n">
        <v>2001.0</v>
      </c>
      <c r="R929" s="113">
        <f>HYPERLINK("https://my.pitchbook.com?c=53964-19", "View company online")</f>
      </c>
    </row>
    <row r="930">
      <c r="A930" s="27" t="inlineStr">
        <is>
          <t>109420-75</t>
        </is>
      </c>
      <c r="B930" s="28" t="inlineStr">
        <is>
          <t>Trunomi</t>
        </is>
      </c>
      <c r="C930" s="29" t="inlineStr">
        <is>
          <t>95110</t>
        </is>
      </c>
      <c r="D930" s="30" t="inlineStr">
        <is>
          <t>Provider of a consent-based data sharing platform intended to create, share and monetize customer data. The company's consent management data sharing platform connects financial institutions and their customers, capturing customer consent to the use of their personal data enabling companies to ensure customer data privacy and consent compliance management.</t>
        </is>
      </c>
      <c r="E930" s="31" t="inlineStr">
        <is>
          <t>Business/Productivity Software</t>
        </is>
      </c>
      <c r="F930" s="32" t="inlineStr">
        <is>
          <t>San Jose, CA</t>
        </is>
      </c>
      <c r="G930" s="33" t="inlineStr">
        <is>
          <t>Privately Held (backing)</t>
        </is>
      </c>
      <c r="H930" s="34" t="inlineStr">
        <is>
          <t>Venture Capital-Backed</t>
        </is>
      </c>
      <c r="I930" s="35" t="inlineStr">
        <is>
          <t>Fenway Summer Ventures, Fintonia, Persistent Systems, Plug and Play Tech Center, Saturn Partners, SenaHill Partners, WorldQuant Ventures</t>
        </is>
      </c>
      <c r="J930" s="36" t="inlineStr">
        <is>
          <t>www.trunomi.com</t>
        </is>
      </c>
      <c r="K930" s="37" t="inlineStr">
        <is>
          <t>info@trunomi.com</t>
        </is>
      </c>
      <c r="L930" s="38" t="inlineStr">
        <is>
          <t>+1 (844) 878-6664</t>
        </is>
      </c>
      <c r="M930" s="39" t="inlineStr">
        <is>
          <t>Stuart Lacey</t>
        </is>
      </c>
      <c r="N930" s="40" t="inlineStr">
        <is>
          <t>Founder &amp; Chief Executive Officer</t>
        </is>
      </c>
      <c r="O930" s="41" t="inlineStr">
        <is>
          <t>stuart@trunomi.com</t>
        </is>
      </c>
      <c r="P930" s="42" t="inlineStr">
        <is>
          <t>+1 (844) 878-6664</t>
        </is>
      </c>
      <c r="Q930" s="43" t="n">
        <v>2013.0</v>
      </c>
      <c r="R930" s="114">
        <f>HYPERLINK("https://my.pitchbook.com?c=109420-75", "View company online")</f>
      </c>
    </row>
    <row r="931">
      <c r="A931" s="9" t="inlineStr">
        <is>
          <t>99029-26</t>
        </is>
      </c>
      <c r="B931" s="10" t="inlineStr">
        <is>
          <t>TruMed Systems</t>
        </is>
      </c>
      <c r="C931" s="11" t="inlineStr">
        <is>
          <t>92037</t>
        </is>
      </c>
      <c r="D931" s="12" t="inlineStr">
        <is>
          <t>Developer of a vaccine management system intended to provide efficient and effective handling of vaccine. The company's vaccine management system helps in minimizing time, errors and waste associated with vaccine storage and handling.</t>
        </is>
      </c>
      <c r="E931" s="13" t="inlineStr">
        <is>
          <t>Other Devices and Supplies</t>
        </is>
      </c>
      <c r="F931" s="14" t="inlineStr">
        <is>
          <t>San Diego, CA</t>
        </is>
      </c>
      <c r="G931" s="15" t="inlineStr">
        <is>
          <t>Privately Held (backing)</t>
        </is>
      </c>
      <c r="H931" s="16" t="inlineStr">
        <is>
          <t>Venture Capital-Backed</t>
        </is>
      </c>
      <c r="I931" s="17" t="inlineStr">
        <is>
          <t>EvoNexus, FusionX Ventures</t>
        </is>
      </c>
      <c r="J931" s="18" t="inlineStr">
        <is>
          <t>www.trumedsystems.com</t>
        </is>
      </c>
      <c r="K931" s="19" t="inlineStr">
        <is>
          <t/>
        </is>
      </c>
      <c r="L931" s="20" t="inlineStr">
        <is>
          <t/>
        </is>
      </c>
      <c r="M931" s="21" t="inlineStr">
        <is>
          <t>Peter Dickstein</t>
        </is>
      </c>
      <c r="N931" s="22" t="inlineStr">
        <is>
          <t>Chief Financial Officer &amp; Vice President, Strategy</t>
        </is>
      </c>
      <c r="O931" s="23" t="inlineStr">
        <is>
          <t>peter_dickstein@trumedsystems.com</t>
        </is>
      </c>
      <c r="P931" s="24" t="inlineStr">
        <is>
          <t/>
        </is>
      </c>
      <c r="Q931" s="25" t="n">
        <v>2012.0</v>
      </c>
      <c r="R931" s="113">
        <f>HYPERLINK("https://my.pitchbook.com?c=99029-26", "View company online")</f>
      </c>
    </row>
    <row r="932">
      <c r="A932" s="27" t="inlineStr">
        <is>
          <t>55426-15</t>
        </is>
      </c>
      <c r="B932" s="28" t="inlineStr">
        <is>
          <t>Trumaker</t>
        </is>
      </c>
      <c r="C932" s="29" t="inlineStr">
        <is>
          <t>94108</t>
        </is>
      </c>
      <c r="D932" s="30" t="inlineStr">
        <is>
          <t>Provider of an online website designed to solve the problems of shopping for men. The company's online website offers tailored menswear that are made by combining old-world personal service with today's technology to build custom and in-stock clothing, enabling men to avail fitted clothes from personal stylist.</t>
        </is>
      </c>
      <c r="E932" s="31" t="inlineStr">
        <is>
          <t>Clothing</t>
        </is>
      </c>
      <c r="F932" s="32" t="inlineStr">
        <is>
          <t>San Francisco, CA</t>
        </is>
      </c>
      <c r="G932" s="33" t="inlineStr">
        <is>
          <t>Privately Held (backing)</t>
        </is>
      </c>
      <c r="H932" s="34" t="inlineStr">
        <is>
          <t>Venture Capital-Backed</t>
        </is>
      </c>
      <c r="I932" s="35" t="inlineStr">
        <is>
          <t>Alex Bard, Andrew Dunn, BoxGroup, Correlation Ventures, Coyote Ridge Ventures, David Tisch, Eniac Ventures, Individual Investor, Interplay Ventures, Javelin Venture Partners, Kevin Tung, Nihal Mehta, Point Judith Capital, RRE Ventures, Rubicon Venture Capital, Velos Partners, Venrock</t>
        </is>
      </c>
      <c r="J932" s="36" t="inlineStr">
        <is>
          <t>www.trumaker.com</t>
        </is>
      </c>
      <c r="K932" s="37" t="inlineStr">
        <is>
          <t>info@trumaker.com</t>
        </is>
      </c>
      <c r="L932" s="38" t="inlineStr">
        <is>
          <t>+1 (855) 623-3878</t>
        </is>
      </c>
      <c r="M932" s="39" t="inlineStr">
        <is>
          <t>Mark Lovas</t>
        </is>
      </c>
      <c r="N932" s="40" t="inlineStr">
        <is>
          <t>Co-Founder &amp; Chief Executive Officer</t>
        </is>
      </c>
      <c r="O932" s="41" t="inlineStr">
        <is>
          <t>mark@trumaker.com</t>
        </is>
      </c>
      <c r="P932" s="42" t="inlineStr">
        <is>
          <t>+1 (855) 623-3878</t>
        </is>
      </c>
      <c r="Q932" s="43" t="n">
        <v>2011.0</v>
      </c>
      <c r="R932" s="114">
        <f>HYPERLINK("https://my.pitchbook.com?c=55426-15", "View company online")</f>
      </c>
    </row>
    <row r="933">
      <c r="A933" s="9" t="inlineStr">
        <is>
          <t>60341-05</t>
        </is>
      </c>
      <c r="B933" s="10" t="inlineStr">
        <is>
          <t>Truly Wireless</t>
        </is>
      </c>
      <c r="C933" s="11" t="inlineStr">
        <is>
          <t>94103</t>
        </is>
      </c>
      <c r="D933" s="12" t="inlineStr">
        <is>
          <t>Developer of an enterprise phone system. The company has developed a business voice platform built for the 3G/4G wireless network, transforming any smartphone with a cellular connection into an enterprise-ready device.</t>
        </is>
      </c>
      <c r="E933" s="13" t="inlineStr">
        <is>
          <t>Communication Software</t>
        </is>
      </c>
      <c r="F933" s="14" t="inlineStr">
        <is>
          <t>San Francisco, CA</t>
        </is>
      </c>
      <c r="G933" s="15" t="inlineStr">
        <is>
          <t>Privately Held (backing)</t>
        </is>
      </c>
      <c r="H933" s="16" t="inlineStr">
        <is>
          <t>Venture Capital-Backed</t>
        </is>
      </c>
      <c r="I933" s="17" t="inlineStr">
        <is>
          <t>AngelPad, Boldstart Ventures, Eniac Ventures, Great Oaks Venture Capital, Greylock Partners, Index Ventures (UK), Individual Investor, Jason Sanders, Jim Payne, Kevin Hartz, LocalGlobe, Nathaniel Turner, Nihal Mehta, Thomas Korte, Zachary Aarons, Zachary Weinberg</t>
        </is>
      </c>
      <c r="J933" s="18" t="inlineStr">
        <is>
          <t>www.trulywireless.com</t>
        </is>
      </c>
      <c r="K933" s="19" t="inlineStr">
        <is>
          <t/>
        </is>
      </c>
      <c r="L933" s="20" t="inlineStr">
        <is>
          <t>+1 (855) 976-8759</t>
        </is>
      </c>
      <c r="M933" s="21" t="inlineStr">
        <is>
          <t>Erol Toker</t>
        </is>
      </c>
      <c r="N933" s="22" t="inlineStr">
        <is>
          <t>Co-Founder &amp; Chief Executive Officer</t>
        </is>
      </c>
      <c r="O933" s="23" t="inlineStr">
        <is>
          <t>erol@trulywireless.com</t>
        </is>
      </c>
      <c r="P933" s="24" t="inlineStr">
        <is>
          <t>+1 (855) 976-8759</t>
        </is>
      </c>
      <c r="Q933" s="25" t="n">
        <v>2012.0</v>
      </c>
      <c r="R933" s="113">
        <f>HYPERLINK("https://my.pitchbook.com?c=60341-05", "View company online")</f>
      </c>
    </row>
    <row r="934">
      <c r="A934" s="27" t="inlineStr">
        <is>
          <t>60583-33</t>
        </is>
      </c>
      <c r="B934" s="28" t="inlineStr">
        <is>
          <t>Trufa</t>
        </is>
      </c>
      <c r="C934" s="29" t="inlineStr">
        <is>
          <t>94402</t>
        </is>
      </c>
      <c r="D934" s="30" t="inlineStr">
        <is>
          <t>Developer of operational performance management software platform designed to help enterprises optimize operational performance and gain competitive advantage in the global marketplace. The company's Trufa Performance Management Machine analyzes a company's entire SAP ERP data set and statistically identifies the business drivers that transform operational performance, enabling enterprises to find performance improvements worth billions in profits, price and working capital.</t>
        </is>
      </c>
      <c r="E934" s="31" t="inlineStr">
        <is>
          <t>Business/Productivity Software</t>
        </is>
      </c>
      <c r="F934" s="32" t="inlineStr">
        <is>
          <t>San Mateo, CA</t>
        </is>
      </c>
      <c r="G934" s="33" t="inlineStr">
        <is>
          <t>Privately Held (backing)</t>
        </is>
      </c>
      <c r="H934" s="34" t="inlineStr">
        <is>
          <t>Venture Capital-Backed</t>
        </is>
      </c>
      <c r="I934" s="35" t="inlineStr">
        <is>
          <t>Accel, Foundation Capital</t>
        </is>
      </c>
      <c r="J934" s="36" t="inlineStr">
        <is>
          <t>www.trufa.net</t>
        </is>
      </c>
      <c r="K934" s="37" t="inlineStr">
        <is>
          <t>trufa@trufa.net</t>
        </is>
      </c>
      <c r="L934" s="38" t="inlineStr">
        <is>
          <t>+1 (650) 653-8600</t>
        </is>
      </c>
      <c r="M934" s="39" t="inlineStr">
        <is>
          <t>Ralph Treitz</t>
        </is>
      </c>
      <c r="N934" s="40" t="inlineStr">
        <is>
          <t>Co-Founder, Managing Director, Chief Operating Officer &amp; Board Member</t>
        </is>
      </c>
      <c r="O934" s="41" t="inlineStr">
        <is>
          <t>ralph.treitz@trufa.net</t>
        </is>
      </c>
      <c r="P934" s="42" t="inlineStr">
        <is>
          <t>+49 (0)62 2143 8520</t>
        </is>
      </c>
      <c r="Q934" s="43" t="n">
        <v>2013.0</v>
      </c>
      <c r="R934" s="114">
        <f>HYPERLINK("https://my.pitchbook.com?c=60583-33", "View company online")</f>
      </c>
    </row>
    <row r="935">
      <c r="A935" s="9" t="inlineStr">
        <is>
          <t>57516-76</t>
        </is>
      </c>
      <c r="B935" s="10" t="inlineStr">
        <is>
          <t>TrueVision Systems</t>
        </is>
      </c>
      <c r="C935" s="11" t="inlineStr">
        <is>
          <t>93117</t>
        </is>
      </c>
      <c r="D935" s="12" t="inlineStr">
        <is>
          <t>Developer of a high-definition visualization system designed to displays the surgical field of view in real-time on a 3D flat-panel display in the operating room. The company's high-definition visualization system combines 3D visualization and guidance software applications focused on improving accuracy, efficiency and outcomes for both surgeons and patients.</t>
        </is>
      </c>
      <c r="E935" s="13" t="inlineStr">
        <is>
          <t>Other Healthcare Technology Systems</t>
        </is>
      </c>
      <c r="F935" s="14" t="inlineStr">
        <is>
          <t>Santa Barbara, CA</t>
        </is>
      </c>
      <c r="G935" s="15" t="inlineStr">
        <is>
          <t>Privately Held (backing)</t>
        </is>
      </c>
      <c r="H935" s="16" t="inlineStr">
        <is>
          <t>Venture Capital-Backed</t>
        </is>
      </c>
      <c r="I935" s="17" t="inlineStr">
        <is>
          <t>Agility Capital</t>
        </is>
      </c>
      <c r="J935" s="18" t="inlineStr">
        <is>
          <t>www.truevisionsys.com</t>
        </is>
      </c>
      <c r="K935" s="19" t="inlineStr">
        <is>
          <t>info@truevisionsys.com</t>
        </is>
      </c>
      <c r="L935" s="20" t="inlineStr">
        <is>
          <t>+1 (805) 963-9700</t>
        </is>
      </c>
      <c r="M935" s="21" t="inlineStr">
        <is>
          <t>Forrest Fleming</t>
        </is>
      </c>
      <c r="N935" s="22" t="inlineStr">
        <is>
          <t>Chief Executive Officer &amp; Board Member</t>
        </is>
      </c>
      <c r="O935" s="23" t="inlineStr">
        <is>
          <t>ffleming@truevisionsys.com</t>
        </is>
      </c>
      <c r="P935" s="24" t="inlineStr">
        <is>
          <t>+1 (805) 963-9700</t>
        </is>
      </c>
      <c r="Q935" s="25" t="n">
        <v>2003.0</v>
      </c>
      <c r="R935" s="113">
        <f>HYPERLINK("https://my.pitchbook.com?c=57516-76", "View company online")</f>
      </c>
    </row>
    <row r="936">
      <c r="A936" s="27" t="inlineStr">
        <is>
          <t>61731-64</t>
        </is>
      </c>
      <c r="B936" s="28" t="inlineStr">
        <is>
          <t>TrueVault</t>
        </is>
      </c>
      <c r="C936" s="29" t="inlineStr">
        <is>
          <t>94063</t>
        </is>
      </c>
      <c r="D936" s="30" t="inlineStr">
        <is>
          <t>Operator of a data storage platform that is compliant with the Health Insurance Portability and Accountability Act (HIPAA). The company provides an application user interface (API) designed to store patients' protected health information.</t>
        </is>
      </c>
      <c r="E936" s="31" t="inlineStr">
        <is>
          <t>Enterprise Systems (Healthcare)</t>
        </is>
      </c>
      <c r="F936" s="32" t="inlineStr">
        <is>
          <t>Redwood City, CA</t>
        </is>
      </c>
      <c r="G936" s="33" t="inlineStr">
        <is>
          <t>Privately Held (backing)</t>
        </is>
      </c>
      <c r="H936" s="34" t="inlineStr">
        <is>
          <t>Venture Capital-Backed</t>
        </is>
      </c>
      <c r="I936" s="35" t="inlineStr">
        <is>
          <t>Alexander Gerko, Amino Capital, Amir Banifatemi, Andreessen Horowitz, Bertrand Navarette, ChinaRock Capital Management, Christian Dahlen, Fenox Venture Capital, FundersClub, General Catalyst Partners, Hironori Maeda, Individual Investor, Justin Darcy, K5 Ventures, Khosla Ventures, Launchpad LA, Maverick Capital, Robert Wuttke, Robin Pimentel, Tech Coast Angels, Tigerlabs Health, Tsingyuan Ventures, William Tai, Y Combinator</t>
        </is>
      </c>
      <c r="J936" s="36" t="inlineStr">
        <is>
          <t>www.truevault.com</t>
        </is>
      </c>
      <c r="K936" s="37" t="inlineStr">
        <is>
          <t>hello@truevault.com</t>
        </is>
      </c>
      <c r="L936" s="38" t="inlineStr">
        <is>
          <t>+1 (415) 462-9710</t>
        </is>
      </c>
      <c r="M936" s="39" t="inlineStr">
        <is>
          <t>Jason Wang</t>
        </is>
      </c>
      <c r="N936" s="40" t="inlineStr">
        <is>
          <t>Co-Founder &amp; Chief Executive Officer</t>
        </is>
      </c>
      <c r="O936" s="41" t="inlineStr">
        <is>
          <t/>
        </is>
      </c>
      <c r="P936" s="42" t="inlineStr">
        <is>
          <t>+1 (415) 462-9710</t>
        </is>
      </c>
      <c r="Q936" s="43" t="n">
        <v>2013.0</v>
      </c>
      <c r="R936" s="114">
        <f>HYPERLINK("https://my.pitchbook.com?c=61731-64", "View company online")</f>
      </c>
    </row>
    <row r="937">
      <c r="A937" s="9" t="inlineStr">
        <is>
          <t>114693-04</t>
        </is>
      </c>
      <c r="B937" s="10" t="inlineStr">
        <is>
          <t>TruePath Wireless</t>
        </is>
      </c>
      <c r="C937" s="11" t="inlineStr">
        <is>
          <t>95134</t>
        </is>
      </c>
      <c r="D937" s="12" t="inlineStr">
        <is>
          <t>Provider of wireless communications technologies. The company offers wireless communications technologies for the aviation, marine and telecom industry.</t>
        </is>
      </c>
      <c r="E937" s="13" t="inlineStr">
        <is>
          <t>Other Commercial Services</t>
        </is>
      </c>
      <c r="F937" s="14" t="inlineStr">
        <is>
          <t>San Jose, CA</t>
        </is>
      </c>
      <c r="G937" s="15" t="inlineStr">
        <is>
          <t>Privately Held (backing)</t>
        </is>
      </c>
      <c r="H937" s="16" t="inlineStr">
        <is>
          <t>Venture Capital-Backed</t>
        </is>
      </c>
      <c r="I937" s="17" t="inlineStr">
        <is>
          <t>Marc La Magna, Turnstone Capital, V-Ten Capital Partners</t>
        </is>
      </c>
      <c r="J937" s="18" t="inlineStr">
        <is>
          <t>www.truepathwireless.com</t>
        </is>
      </c>
      <c r="K937" s="19" t="inlineStr">
        <is>
          <t/>
        </is>
      </c>
      <c r="L937" s="20" t="inlineStr">
        <is>
          <t>+1 (408) 703-5000</t>
        </is>
      </c>
      <c r="M937" s="21" t="inlineStr">
        <is>
          <t>Luis Dominguez</t>
        </is>
      </c>
      <c r="N937" s="22" t="inlineStr">
        <is>
          <t>Chief Operating Officer &amp; Senior Executive Vice President, Sales, Marketing &amp; Services</t>
        </is>
      </c>
      <c r="O937" s="23" t="inlineStr">
        <is>
          <t>luis@truepathwireless.com</t>
        </is>
      </c>
      <c r="P937" s="24" t="inlineStr">
        <is>
          <t>+1 (408) 703-5000</t>
        </is>
      </c>
      <c r="Q937" s="25" t="n">
        <v>2010.0</v>
      </c>
      <c r="R937" s="113">
        <f>HYPERLINK("https://my.pitchbook.com?c=114693-04", "View company online")</f>
      </c>
    </row>
    <row r="938">
      <c r="A938" s="27" t="inlineStr">
        <is>
          <t>62645-86</t>
        </is>
      </c>
      <c r="B938" s="28" t="inlineStr">
        <is>
          <t>TrueChoice</t>
        </is>
      </c>
      <c r="C938" s="29" t="inlineStr">
        <is>
          <t>10022</t>
        </is>
      </c>
      <c r="D938" s="30" t="inlineStr">
        <is>
          <t>Provider of a preference analytics measurement software. The company's TrueChoice Predictive Selling Suite is based on patented econometric technologies that allows companies to precisely quantify the preference structures of individual customers and employees in real time.</t>
        </is>
      </c>
      <c r="E938" s="31" t="inlineStr">
        <is>
          <t>Application Software</t>
        </is>
      </c>
      <c r="F938" s="32" t="inlineStr">
        <is>
          <t>New York, NY</t>
        </is>
      </c>
      <c r="G938" s="33" t="inlineStr">
        <is>
          <t>Privately Held (backing)</t>
        </is>
      </c>
      <c r="H938" s="34" t="inlineStr">
        <is>
          <t>Venture Capital-Backed</t>
        </is>
      </c>
      <c r="I938" s="35" t="inlineStr">
        <is>
          <t>Bridgepoint Merchant Banking, Canyon Creek Capital, David Garrity, Mustapha Baha, NexGen Capital Partners, Pasadena Angels</t>
        </is>
      </c>
      <c r="J938" s="36" t="inlineStr">
        <is>
          <t>www.truechoicesolutions.com</t>
        </is>
      </c>
      <c r="K938" s="37" t="inlineStr">
        <is>
          <t>info@truechoicesolutions.com</t>
        </is>
      </c>
      <c r="L938" s="38" t="inlineStr">
        <is>
          <t>+1 (212) 660-0300</t>
        </is>
      </c>
      <c r="M938" s="39" t="inlineStr">
        <is>
          <t>Sev K-H Keil</t>
        </is>
      </c>
      <c r="N938" s="40" t="inlineStr">
        <is>
          <t>Co-Founder, Chief Executive Officer &amp; Chairman</t>
        </is>
      </c>
      <c r="O938" s="41" t="inlineStr">
        <is>
          <t>skeil@truechoicesolutions.com</t>
        </is>
      </c>
      <c r="P938" s="42" t="inlineStr">
        <is>
          <t>+1 (212) 660-0300</t>
        </is>
      </c>
      <c r="Q938" s="43" t="n">
        <v>2006.0</v>
      </c>
      <c r="R938" s="114">
        <f>HYPERLINK("https://my.pitchbook.com?c=62645-86", "View company online")</f>
      </c>
    </row>
    <row r="939">
      <c r="A939" s="9" t="inlineStr">
        <is>
          <t>55280-44</t>
        </is>
      </c>
      <c r="B939" s="10" t="inlineStr">
        <is>
          <t>Truecaller</t>
        </is>
      </c>
      <c r="C939" s="11" t="inlineStr">
        <is>
          <t>111 43</t>
        </is>
      </c>
      <c r="D939" s="12" t="inlineStr">
        <is>
          <t>Provider of a global crowdsourced phone directory. The company allows users to share their phone book numbers to prepaid phones networks and create a global directory through a mobile application to search and find people.</t>
        </is>
      </c>
      <c r="E939" s="13" t="inlineStr">
        <is>
          <t>Information Services (B2C)</t>
        </is>
      </c>
      <c r="F939" s="14" t="inlineStr">
        <is>
          <t>Stockholm, Sweden</t>
        </is>
      </c>
      <c r="G939" s="15" t="inlineStr">
        <is>
          <t>Privately Held (backing)</t>
        </is>
      </c>
      <c r="H939" s="16" t="inlineStr">
        <is>
          <t>Venture Capital-Backed</t>
        </is>
      </c>
      <c r="I939" s="17" t="inlineStr">
        <is>
          <t>Access Partners, Arjun Sethi, Arun Sarin, Atomico Uk Partners, Kleiner Perkins Caufield &amp; Byers, Martin Varsavsky, Niklas Adalberth, OpenOcean, Pandelis Eliopoulos, Sebastian Siemiatkowski, Sequoia Capital India, Stefan Lennhammer, Zenith Venture Capital</t>
        </is>
      </c>
      <c r="J939" s="18" t="inlineStr">
        <is>
          <t>www.truecaller.com</t>
        </is>
      </c>
      <c r="K939" s="19" t="inlineStr">
        <is>
          <t>info@truecaller.com</t>
        </is>
      </c>
      <c r="L939" s="20" t="inlineStr">
        <is>
          <t>+46 (0)70 45 06 210</t>
        </is>
      </c>
      <c r="M939" s="21" t="inlineStr">
        <is>
          <t>Alan Mamedi</t>
        </is>
      </c>
      <c r="N939" s="22" t="inlineStr">
        <is>
          <t>Co-Founder, Co-Chief Executive Officer &amp; Board Member</t>
        </is>
      </c>
      <c r="O939" s="23" t="inlineStr">
        <is>
          <t>alan.mamedi@truecaller.com</t>
        </is>
      </c>
      <c r="P939" s="24" t="inlineStr">
        <is>
          <t>+46 (0)70 45 06 210</t>
        </is>
      </c>
      <c r="Q939" s="25" t="n">
        <v>2009.0</v>
      </c>
      <c r="R939" s="113">
        <f>HYPERLINK("https://my.pitchbook.com?c=55280-44", "View company online")</f>
      </c>
    </row>
    <row r="940">
      <c r="A940" s="27" t="inlineStr">
        <is>
          <t>155878-21</t>
        </is>
      </c>
      <c r="B940" s="28" t="inlineStr">
        <is>
          <t>Truebill</t>
        </is>
      </c>
      <c r="C940" s="29" t="inlineStr">
        <is>
          <t>94105</t>
        </is>
      </c>
      <c r="D940" s="30" t="inlineStr">
        <is>
          <t>Developer of a subscription management platform designed to give control over subscription services back to the subscriber. The company's subscription management platform acts as a personal financial assistant to find, track and cancel media, digital content and physical good subscriptions, notifies users of all charges they receive from paid subscriptions and recurring bills, and makes recommendations on subscriptions using its data on rates, subscription lengths and why people cancel, enabling users to stay on top of their finances by cancelling unwanted or fraudulent subscriptions.</t>
        </is>
      </c>
      <c r="E940" s="31" t="inlineStr">
        <is>
          <t>Information Services (B2C)</t>
        </is>
      </c>
      <c r="F940" s="32" t="inlineStr">
        <is>
          <t>San Francisco, CA</t>
        </is>
      </c>
      <c r="G940" s="33" t="inlineStr">
        <is>
          <t>Privately Held (backing)</t>
        </is>
      </c>
      <c r="H940" s="34" t="inlineStr">
        <is>
          <t>Venture Capital-Backed</t>
        </is>
      </c>
      <c r="I940" s="35" t="inlineStr">
        <is>
          <t>Bobby Yazdani, Brad Flora, Commerce.Innovated, David Baggett, David Marcus, Eric Wu, Great Oaks Venture Capital, Hiten Shah, Masha Drokova, NKM Capital, Plug and Play Tech Center, Ricardo Calvillo, Sherpa Capital, Signature Capital, Social Capital, Transmedia Capital, Y Combinator</t>
        </is>
      </c>
      <c r="J940" s="36" t="inlineStr">
        <is>
          <t>www.truebill.com</t>
        </is>
      </c>
      <c r="K940" s="37" t="inlineStr">
        <is>
          <t>hello@truebill.com</t>
        </is>
      </c>
      <c r="L940" s="38" t="inlineStr">
        <is>
          <t/>
        </is>
      </c>
      <c r="M940" s="39" t="inlineStr">
        <is>
          <t>Yahya Mokhtarzada</t>
        </is>
      </c>
      <c r="N940" s="40" t="inlineStr">
        <is>
          <t>Co-Founder and Chief Executive Officer</t>
        </is>
      </c>
      <c r="O940" s="41" t="inlineStr">
        <is>
          <t>yahya@truebill.com</t>
        </is>
      </c>
      <c r="P940" s="42" t="inlineStr">
        <is>
          <t/>
        </is>
      </c>
      <c r="Q940" s="43" t="n">
        <v>2015.0</v>
      </c>
      <c r="R940" s="114">
        <f>HYPERLINK("https://my.pitchbook.com?c=155878-21", "View company online")</f>
      </c>
    </row>
    <row r="941">
      <c r="A941" s="9" t="inlineStr">
        <is>
          <t>93116-62</t>
        </is>
      </c>
      <c r="B941" s="10" t="inlineStr">
        <is>
          <t>TrueAccord</t>
        </is>
      </c>
      <c r="C941" s="11" t="inlineStr">
        <is>
          <t>94107</t>
        </is>
      </c>
      <c r="D941" s="12" t="inlineStr">
        <is>
          <t>Developer of an automated debt-recovery platform designed to fundamentally change the debt collection process. The company's automated debt-recovery platform uses behavioral analytics, machine learning and modern communication channels, enabling creditors to improve recovery rates and reduce compliance risk while giving their customers real-time personalization and better user experience.</t>
        </is>
      </c>
      <c r="E941" s="13" t="inlineStr">
        <is>
          <t>Financial Software</t>
        </is>
      </c>
      <c r="F941" s="14" t="inlineStr">
        <is>
          <t>San Francisco, CA</t>
        </is>
      </c>
      <c r="G941" s="15" t="inlineStr">
        <is>
          <t>Privately Held (backing)</t>
        </is>
      </c>
      <c r="H941" s="16" t="inlineStr">
        <is>
          <t>Venture Capital-Backed</t>
        </is>
      </c>
      <c r="I941" s="17" t="inlineStr">
        <is>
          <t>Arbor Ventures, Benjamin Ling, BoxGroup, Bryan Johnson, Homebrew, Hunter Walk, Ilya Sukhar, James Pallotta, Khosla Ventures, Lee Linden, Matt Humphrey, Max Levchin, Michael Liou, Nyca Partners, Plug and Play Tech Center, Raymond Tonsing, TenOneTen Ventures, Tikhon Bernstam, Webb Investment Network</t>
        </is>
      </c>
      <c r="J941" s="18" t="inlineStr">
        <is>
          <t>www.trueaccord.com</t>
        </is>
      </c>
      <c r="K941" s="19" t="inlineStr">
        <is>
          <t>hello@trueaccord.com</t>
        </is>
      </c>
      <c r="L941" s="20" t="inlineStr">
        <is>
          <t>+1 (866) 611-2731</t>
        </is>
      </c>
      <c r="M941" s="21" t="inlineStr">
        <is>
          <t>Ohad Samet</t>
        </is>
      </c>
      <c r="N941" s="22" t="inlineStr">
        <is>
          <t>Co-Founder &amp; Chief Executive Officer</t>
        </is>
      </c>
      <c r="O941" s="23" t="inlineStr">
        <is>
          <t>ohad@trueaccord.com</t>
        </is>
      </c>
      <c r="P941" s="24" t="inlineStr">
        <is>
          <t>+1 (866) 611-2731</t>
        </is>
      </c>
      <c r="Q941" s="25" t="n">
        <v>2013.0</v>
      </c>
      <c r="R941" s="113">
        <f>HYPERLINK("https://my.pitchbook.com?c=93116-62", "View company online")</f>
      </c>
    </row>
    <row r="942">
      <c r="A942" s="27" t="inlineStr">
        <is>
          <t>54564-49</t>
        </is>
      </c>
      <c r="B942" s="28" t="inlineStr">
        <is>
          <t>True&amp;Co</t>
        </is>
      </c>
      <c r="C942" s="29" t="inlineStr">
        <is>
          <t>94103</t>
        </is>
      </c>
      <c r="D942" s="30" t="inlineStr">
        <is>
          <t>Provider of an online lingerie marketplace designed to offer personalized bra shopping. The company's online lingerie marketplace takes an online quiz about the comfort and fit of existing lingerie and provides a personalized home try-on kit with shipping and returns facility, enabling women to find better-fitting brassieres.</t>
        </is>
      </c>
      <c r="E942" s="31" t="inlineStr">
        <is>
          <t>Internet Retail</t>
        </is>
      </c>
      <c r="F942" s="32" t="inlineStr">
        <is>
          <t>San Francisco, CA</t>
        </is>
      </c>
      <c r="G942" s="33" t="inlineStr">
        <is>
          <t>Privately Held (backing)</t>
        </is>
      </c>
      <c r="H942" s="34" t="inlineStr">
        <is>
          <t>Venture Capital-Backed</t>
        </is>
      </c>
      <c r="I942" s="35" t="inlineStr">
        <is>
          <t>Andy White, Barbara Corcoran Venture Partners, Ben Lin, Bobby Yazdani, Chad Byers, Cota Capital, Cowboy Ventures, Crosslink Capital, David Beyer, Ellen Levy, First Round Capital, FundersClub, Great Oaks Venture Capital, Idris Mokhtarzada, Jean-Francois Clavier, Joe O'Connor, Justin Darcy, Kevin Moore, Ligaya Tichy, Michael Wolf, Patrick Sweeney, Paul Holliman, Pear Ventures, Phil Boyer, Robert Kunz, Seth Ginns, Signatures Capital, SoftBank Capital, SoftTech VC, StartX, Stephen Culp, VTF Capital, Zack Christensen</t>
        </is>
      </c>
      <c r="J942" s="36" t="inlineStr">
        <is>
          <t>www.trueandco.com</t>
        </is>
      </c>
      <c r="K942" s="37" t="inlineStr">
        <is>
          <t>hello@trueandco.com</t>
        </is>
      </c>
      <c r="L942" s="38" t="inlineStr">
        <is>
          <t>+1 (888) 968-8783</t>
        </is>
      </c>
      <c r="M942" s="39" t="inlineStr">
        <is>
          <t>Michelle Lam</t>
        </is>
      </c>
      <c r="N942" s="40" t="inlineStr">
        <is>
          <t>Chief Executive Officer &amp; Co-Founder</t>
        </is>
      </c>
      <c r="O942" s="41" t="inlineStr">
        <is>
          <t>michelle@trueandco.com</t>
        </is>
      </c>
      <c r="P942" s="42" t="inlineStr">
        <is>
          <t>+1 (888) 968-8783</t>
        </is>
      </c>
      <c r="Q942" s="43" t="n">
        <v>2012.0</v>
      </c>
      <c r="R942" s="114">
        <f>HYPERLINK("https://my.pitchbook.com?c=54564-49", "View company online")</f>
      </c>
    </row>
    <row r="943">
      <c r="A943" s="9" t="inlineStr">
        <is>
          <t>58804-39</t>
        </is>
      </c>
      <c r="B943" s="10" t="inlineStr">
        <is>
          <t>True North Therapeutics</t>
        </is>
      </c>
      <c r="C943" s="11" t="inlineStr">
        <is>
          <t>94080</t>
        </is>
      </c>
      <c r="D943" s="12" t="inlineStr">
        <is>
          <t>Developer of innovative antibody therapeutics targeting the classical pathway of the complement system. The company's monoclonal antibody to treat cold agglutinin disease TNT009, selectively targets the classical pathway of the complement system and prevents the generation of critical inflammatory mediators and phagocytic markers not addressed by other therapeutic approaches that act by inhibiting the complement system further downstream.</t>
        </is>
      </c>
      <c r="E943" s="13" t="inlineStr">
        <is>
          <t>Drug Discovery</t>
        </is>
      </c>
      <c r="F943" s="14" t="inlineStr">
        <is>
          <t>South San Francisco, CA</t>
        </is>
      </c>
      <c r="G943" s="15" t="inlineStr">
        <is>
          <t>Privately Held (backing)</t>
        </is>
      </c>
      <c r="H943" s="16" t="inlineStr">
        <is>
          <t>Venture Capital-Backed</t>
        </is>
      </c>
      <c r="I943" s="17" t="inlineStr">
        <is>
          <t>Baxalta, Biogen, Cowen Private Investments, Franklin Templeton Investments, HBM Healthcare Investments, Kleiner Perkins Caufield &amp; Byers, Mission Bay Capital, MPM Capital, New Leaf Venture Partners, OrbiMed, Perceptive Advisors, Redmile Group, SR One</t>
        </is>
      </c>
      <c r="J943" s="18" t="inlineStr">
        <is>
          <t>www.truenorthrx.com</t>
        </is>
      </c>
      <c r="K943" s="19" t="inlineStr">
        <is>
          <t>info@truenorthrx.com</t>
        </is>
      </c>
      <c r="L943" s="20" t="inlineStr">
        <is>
          <t>+1 (650) 872-4700</t>
        </is>
      </c>
      <c r="M943" s="21" t="inlineStr">
        <is>
          <t>Nancy Stagliano</t>
        </is>
      </c>
      <c r="N943" s="22" t="inlineStr">
        <is>
          <t>Co-Founder, Chief Executive Officer &amp; Board Member</t>
        </is>
      </c>
      <c r="O943" s="23" t="inlineStr">
        <is>
          <t>nancy@truenorthrx.com</t>
        </is>
      </c>
      <c r="P943" s="24" t="inlineStr">
        <is>
          <t>+1 (650) 872-4700</t>
        </is>
      </c>
      <c r="Q943" s="25" t="n">
        <v>2013.0</v>
      </c>
      <c r="R943" s="113">
        <f>HYPERLINK("https://my.pitchbook.com?c=58804-39", "View company online")</f>
      </c>
    </row>
    <row r="944">
      <c r="A944" s="27" t="inlineStr">
        <is>
          <t>58218-40</t>
        </is>
      </c>
      <c r="B944" s="28" t="inlineStr">
        <is>
          <t>True Link Financial</t>
        </is>
      </c>
      <c r="C944" s="29" t="inlineStr">
        <is>
          <t>94104</t>
        </is>
      </c>
      <c r="D944" s="30" t="inlineStr">
        <is>
          <t>Provider of an anti-fraud payment service for seniors. The company's platform entails a prepaid debit card for seniors or other vulnerable spenders, accompanied with an online fraud-blocking service enabling family members to prevent purchases at specific types of stores and types of merchants. The service also alerts family immediately if suspicious charges do occur.</t>
        </is>
      </c>
      <c r="E944" s="31" t="inlineStr">
        <is>
          <t>Application Software</t>
        </is>
      </c>
      <c r="F944" s="32" t="inlineStr">
        <is>
          <t>San Francisco, CA</t>
        </is>
      </c>
      <c r="G944" s="33" t="inlineStr">
        <is>
          <t>Privately Held (backing)</t>
        </is>
      </c>
      <c r="H944" s="34" t="inlineStr">
        <is>
          <t>Venture Capital-Backed</t>
        </is>
      </c>
      <c r="I944" s="35" t="inlineStr">
        <is>
          <t>Aging2.0, Alexis Ohanian, Allison Bhusri, Bodley Group, Cambia Health Solutions, Collaborative Fund, David Beyer, Deciens Capital, Eric Ries, Garry Tan, Generator Ventures, Initialized Capital, John Wolthuis, Kapor Capital, Karlin Ventures, Kenny Van Zant, Link-age, Matt Cutts, Michael Liou, Paul Buchheit, Rakesh Agrawal, Russell Siegelman, Sumit Gupta, Symmetrical Ventures, Tianxiang Zhuo, Y Combinator</t>
        </is>
      </c>
      <c r="J944" s="36" t="inlineStr">
        <is>
          <t>www.truelinkfinancial.com</t>
        </is>
      </c>
      <c r="K944" s="37" t="inlineStr">
        <is>
          <t>support@truelinkfinancial.com</t>
        </is>
      </c>
      <c r="L944" s="38" t="inlineStr">
        <is>
          <t>+1 (800) 299-7646</t>
        </is>
      </c>
      <c r="M944" s="39" t="inlineStr">
        <is>
          <t>Kai Stinchcombe</t>
        </is>
      </c>
      <c r="N944" s="40" t="inlineStr">
        <is>
          <t>Co-Founder &amp; Chief Executive Officer</t>
        </is>
      </c>
      <c r="O944" s="41" t="inlineStr">
        <is>
          <t>kai@truelinkfinancial.com</t>
        </is>
      </c>
      <c r="P944" s="42" t="inlineStr">
        <is>
          <t>+1 (800) 299-7646</t>
        </is>
      </c>
      <c r="Q944" s="43" t="n">
        <v>2012.0</v>
      </c>
      <c r="R944" s="114">
        <f>HYPERLINK("https://my.pitchbook.com?c=58218-40", "View company online")</f>
      </c>
    </row>
    <row r="945">
      <c r="A945" s="9" t="inlineStr">
        <is>
          <t>60072-31</t>
        </is>
      </c>
      <c r="B945" s="10" t="inlineStr">
        <is>
          <t>True Fit</t>
        </is>
      </c>
      <c r="C945" s="11" t="inlineStr">
        <is>
          <t>01801</t>
        </is>
      </c>
      <c r="D945" s="12" t="inlineStr">
        <is>
          <t>Provider of a database software which helps consumers, brands and retailers to find online stores. The company provides a software which manages database of apparel, footwear and consumer fit data which helps consumers, brands and retailers to find required products on online market.</t>
        </is>
      </c>
      <c r="E945" s="13" t="inlineStr">
        <is>
          <t>Social/Platform Software</t>
        </is>
      </c>
      <c r="F945" s="14" t="inlineStr">
        <is>
          <t>Woburn, MA</t>
        </is>
      </c>
      <c r="G945" s="15" t="inlineStr">
        <is>
          <t>Privately Held (backing)</t>
        </is>
      </c>
      <c r="H945" s="16" t="inlineStr">
        <is>
          <t>Venture Capital-Backed</t>
        </is>
      </c>
      <c r="I945" s="17" t="inlineStr">
        <is>
          <t>Breakaway Innovation Group, BYU Cougar Capital, Founder Collective, Guggenheim Partners, Intel Capital, Jump Capital, Novel TMT Ventures, Promus Ventures, Signal Peak Ventures</t>
        </is>
      </c>
      <c r="J945" s="18" t="inlineStr">
        <is>
          <t>www.truefit.com</t>
        </is>
      </c>
      <c r="K945" s="19" t="inlineStr">
        <is>
          <t/>
        </is>
      </c>
      <c r="L945" s="20" t="inlineStr">
        <is>
          <t>+1 (617) 848-3740</t>
        </is>
      </c>
      <c r="M945" s="21" t="inlineStr">
        <is>
          <t>Chuck Badavas</t>
        </is>
      </c>
      <c r="N945" s="22" t="inlineStr">
        <is>
          <t>Chief Financial Officer</t>
        </is>
      </c>
      <c r="O945" s="23" t="inlineStr">
        <is>
          <t>cbadavas@truefit.com</t>
        </is>
      </c>
      <c r="P945" s="24" t="inlineStr">
        <is>
          <t>+1 (617) 848-3740</t>
        </is>
      </c>
      <c r="Q945" s="25" t="n">
        <v>2005.0</v>
      </c>
      <c r="R945" s="113">
        <f>HYPERLINK("https://my.pitchbook.com?c=60072-31", "View company online")</f>
      </c>
    </row>
    <row r="946">
      <c r="A946" s="27" t="inlineStr">
        <is>
          <t>180621-37</t>
        </is>
      </c>
      <c r="B946" s="28" t="inlineStr">
        <is>
          <t>True Botanicals</t>
        </is>
      </c>
      <c r="C946" s="29" t="inlineStr">
        <is>
          <t>94941</t>
        </is>
      </c>
      <c r="D946" s="30" t="inlineStr">
        <is>
          <t>Provider of luxury natural skincare products intended to transform the result for every skin type. The company's natural skincare products is a direct-to-consumer prestige skin care brand which includes super concentrated and bio-active ingredients which does not harm health or skin and is more than just an anti-aging skin care, enabling users to get incredible skin with organic and chemical free products.</t>
        </is>
      </c>
      <c r="E946" s="31" t="inlineStr">
        <is>
          <t>Personal Products</t>
        </is>
      </c>
      <c r="F946" s="32" t="inlineStr">
        <is>
          <t>Mill Valley, CA</t>
        </is>
      </c>
      <c r="G946" s="33" t="inlineStr">
        <is>
          <t>Privately Held (backing)</t>
        </is>
      </c>
      <c r="H946" s="34" t="inlineStr">
        <is>
          <t>Venture Capital-Backed</t>
        </is>
      </c>
      <c r="I946" s="35" t="inlineStr">
        <is>
          <t>Cue Ball, Mats Lederhausen, Unilever Ventures</t>
        </is>
      </c>
      <c r="J946" s="36" t="inlineStr">
        <is>
          <t>www.truebotanicals.com</t>
        </is>
      </c>
      <c r="K946" s="37" t="inlineStr">
        <is>
          <t>trueteam@truebotanicals.com</t>
        </is>
      </c>
      <c r="L946" s="38" t="inlineStr">
        <is>
          <t/>
        </is>
      </c>
      <c r="M946" s="39" t="inlineStr">
        <is>
          <t>Christina Mace-Turner</t>
        </is>
      </c>
      <c r="N946" s="40" t="inlineStr">
        <is>
          <t>Chief Executive Officer</t>
        </is>
      </c>
      <c r="O946" s="41" t="inlineStr">
        <is>
          <t>christina@truebotanicals.com</t>
        </is>
      </c>
      <c r="P946" s="42" t="inlineStr">
        <is>
          <t/>
        </is>
      </c>
      <c r="Q946" s="43" t="n">
        <v>2014.0</v>
      </c>
      <c r="R946" s="114">
        <f>HYPERLINK("https://my.pitchbook.com?c=180621-37", "View company online")</f>
      </c>
    </row>
    <row r="947">
      <c r="A947" s="9" t="inlineStr">
        <is>
          <t>58362-04</t>
        </is>
      </c>
      <c r="B947" s="10" t="inlineStr">
        <is>
          <t>True Anthem</t>
        </is>
      </c>
      <c r="C947" s="11" t="inlineStr">
        <is>
          <t>94102</t>
        </is>
      </c>
      <c r="D947" s="12" t="inlineStr">
        <is>
          <t>Provider of an online platform designed to help publishers and media companies efficiently distribute their most popular stories across social media. The company's online platform uses artificial intelligence to identify the right content for social audiences and then automatically post it at the right time, enabling clients to engage audiences and create new content instead of repetitive tasks.</t>
        </is>
      </c>
      <c r="E947" s="13" t="inlineStr">
        <is>
          <t>Media and Information Services (B2B)</t>
        </is>
      </c>
      <c r="F947" s="14" t="inlineStr">
        <is>
          <t>San Francisco, CA</t>
        </is>
      </c>
      <c r="G947" s="15" t="inlineStr">
        <is>
          <t>Privately Held (backing)</t>
        </is>
      </c>
      <c r="H947" s="16" t="inlineStr">
        <is>
          <t>Venture Capital-Backed</t>
        </is>
      </c>
      <c r="I947" s="17" t="inlineStr">
        <is>
          <t>Core Ventures Group, CrunchFund, KEC Ventures, Matthew Sonsini, Rubicon Venture Capital, Shinya Akamine, WorldQuant Ventures</t>
        </is>
      </c>
      <c r="J947" s="18" t="inlineStr">
        <is>
          <t>www.trueanthem.com</t>
        </is>
      </c>
      <c r="K947" s="19" t="inlineStr">
        <is>
          <t>hello@trueanthem.com</t>
        </is>
      </c>
      <c r="L947" s="20" t="inlineStr">
        <is>
          <t>+1 (415) 343-6244</t>
        </is>
      </c>
      <c r="M947" s="21" t="inlineStr">
        <is>
          <t>Chris Hart</t>
        </is>
      </c>
      <c r="N947" s="22" t="inlineStr">
        <is>
          <t>Chief Executive Officer &amp; Co-Founder</t>
        </is>
      </c>
      <c r="O947" s="23" t="inlineStr">
        <is>
          <t>chris@trueanthem.com</t>
        </is>
      </c>
      <c r="P947" s="24" t="inlineStr">
        <is>
          <t>+1 (415) 343-6244</t>
        </is>
      </c>
      <c r="Q947" s="25" t="n">
        <v>2008.0</v>
      </c>
      <c r="R947" s="113">
        <f>HYPERLINK("https://my.pitchbook.com?c=58362-04", "View company online")</f>
      </c>
    </row>
    <row r="948">
      <c r="A948" s="27" t="inlineStr">
        <is>
          <t>62918-92</t>
        </is>
      </c>
      <c r="B948" s="28" t="inlineStr">
        <is>
          <t>TruckTrack</t>
        </is>
      </c>
      <c r="C948" s="29" t="inlineStr">
        <is>
          <t>94103</t>
        </is>
      </c>
      <c r="D948" s="30" t="inlineStr">
        <is>
          <t>Developer of a SaaS software for trucking industries. The company focuses on digitizing truck transportation industry by providing a record of all documents, equipment and employees through its cloud application.</t>
        </is>
      </c>
      <c r="E948" s="31" t="inlineStr">
        <is>
          <t>Application Software</t>
        </is>
      </c>
      <c r="F948" s="32" t="inlineStr">
        <is>
          <t>San Francisco, CA</t>
        </is>
      </c>
      <c r="G948" s="33" t="inlineStr">
        <is>
          <t>Privately Held (backing)</t>
        </is>
      </c>
      <c r="H948" s="34" t="inlineStr">
        <is>
          <t>Venture Capital-Backed</t>
        </is>
      </c>
      <c r="I948" s="35" t="inlineStr">
        <is>
          <t>500 Startups, Eileen Burbidge, Ivan Mitrovic, Passion Capital, Robert Dighero, Seedcamp</t>
        </is>
      </c>
      <c r="J948" s="36" t="inlineStr">
        <is>
          <t>www.trucktrack.co</t>
        </is>
      </c>
      <c r="K948" s="37" t="inlineStr">
        <is>
          <t>ping@trucktrack.co</t>
        </is>
      </c>
      <c r="L948" s="38" t="inlineStr">
        <is>
          <t>+1 (866) 856-1056</t>
        </is>
      </c>
      <c r="M948" s="39" t="inlineStr">
        <is>
          <t>Vuk Nikolic</t>
        </is>
      </c>
      <c r="N948" s="40" t="inlineStr">
        <is>
          <t>Chief Executive Officer &amp; Co-Founder</t>
        </is>
      </c>
      <c r="O948" s="41" t="inlineStr">
        <is>
          <t>vuk@trucktrack.co</t>
        </is>
      </c>
      <c r="P948" s="42" t="inlineStr">
        <is>
          <t>+1 (866) 856-1056</t>
        </is>
      </c>
      <c r="Q948" s="43" t="n">
        <v>2013.0</v>
      </c>
      <c r="R948" s="114">
        <f>HYPERLINK("https://my.pitchbook.com?c=62918-92", "View company online")</f>
      </c>
    </row>
    <row r="949">
      <c r="A949" s="9" t="inlineStr">
        <is>
          <t>109616-41</t>
        </is>
      </c>
      <c r="B949" s="10" t="inlineStr">
        <is>
          <t>Trucker Path</t>
        </is>
      </c>
      <c r="C949" s="11" t="inlineStr">
        <is>
          <t>94041</t>
        </is>
      </c>
      <c r="D949" s="12" t="inlineStr">
        <is>
          <t>Provider of navigational assistance and load sourcing services for the truck drivers. The company provides a platform for trip planning enabling drivers to update the real-time status of places on their route while connecting shippers and brokers to the carriers helping in the load matching process.</t>
        </is>
      </c>
      <c r="E949" s="13" t="inlineStr">
        <is>
          <t>Application Software</t>
        </is>
      </c>
      <c r="F949" s="14" t="inlineStr">
        <is>
          <t>Mountain View, CA</t>
        </is>
      </c>
      <c r="G949" s="15" t="inlineStr">
        <is>
          <t>Privately Held (backing)</t>
        </is>
      </c>
      <c r="H949" s="16" t="inlineStr">
        <is>
          <t>Venture Capital-Backed</t>
        </is>
      </c>
      <c r="I949" s="17" t="inlineStr">
        <is>
          <t>Renren, StartX, Wicklow Capital</t>
        </is>
      </c>
      <c r="J949" s="18" t="inlineStr">
        <is>
          <t>www.truckerpath.com</t>
        </is>
      </c>
      <c r="K949" s="19" t="inlineStr">
        <is>
          <t>press@truckerpath.com</t>
        </is>
      </c>
      <c r="L949" s="20" t="inlineStr">
        <is>
          <t>+1 (877) 890-0377</t>
        </is>
      </c>
      <c r="M949" s="21" t="inlineStr">
        <is>
          <t>Tom Paskert</t>
        </is>
      </c>
      <c r="N949" s="22" t="inlineStr">
        <is>
          <t>Chief Financial Officer</t>
        </is>
      </c>
      <c r="O949" s="23" t="inlineStr">
        <is>
          <t/>
        </is>
      </c>
      <c r="P949" s="24" t="inlineStr">
        <is>
          <t>+1 (877) 890-0377</t>
        </is>
      </c>
      <c r="Q949" s="25" t="n">
        <v>2013.0</v>
      </c>
      <c r="R949" s="113">
        <f>HYPERLINK("https://my.pitchbook.com?c=109616-41", "View company online")</f>
      </c>
    </row>
    <row r="950">
      <c r="A950" s="27" t="inlineStr">
        <is>
          <t>128343-88</t>
        </is>
      </c>
      <c r="B950" s="28" t="inlineStr">
        <is>
          <t>TruBuzz</t>
        </is>
      </c>
      <c r="C950" s="29" t="inlineStr">
        <is>
          <t>92612</t>
        </is>
      </c>
      <c r="D950" s="30" t="inlineStr">
        <is>
          <t>Provider of an investment platform designed to offer investment advisory and portfolio management services. The company's investment platform helps users to set alerts and trade using their smartphone, monitor important financial information form anywhere, as well as manage personal assets easily and efficiently, enabling users to invest in various securities, track investments and get advice from investment experts.</t>
        </is>
      </c>
      <c r="E950" s="31" t="inlineStr">
        <is>
          <t>Financial Software</t>
        </is>
      </c>
      <c r="F950" s="32" t="inlineStr">
        <is>
          <t>Irvine, CA</t>
        </is>
      </c>
      <c r="G950" s="33" t="inlineStr">
        <is>
          <t>Privately Held (backing)</t>
        </is>
      </c>
      <c r="H950" s="34" t="inlineStr">
        <is>
          <t>Venture Capital-Backed</t>
        </is>
      </c>
      <c r="I950" s="35" t="inlineStr">
        <is>
          <t>Innolinks Ventures</t>
        </is>
      </c>
      <c r="J950" s="36" t="inlineStr">
        <is>
          <t>www.trubuzz.com</t>
        </is>
      </c>
      <c r="K950" s="37" t="inlineStr">
        <is>
          <t/>
        </is>
      </c>
      <c r="L950" s="38" t="inlineStr">
        <is>
          <t/>
        </is>
      </c>
      <c r="M950" s="39" t="inlineStr">
        <is>
          <t>Martin Chen</t>
        </is>
      </c>
      <c r="N950" s="40" t="inlineStr">
        <is>
          <t>Chief Executive Officer &amp; Chairman</t>
        </is>
      </c>
      <c r="O950" s="41" t="inlineStr">
        <is>
          <t>martin.chen@trubuzz.com</t>
        </is>
      </c>
      <c r="P950" s="42" t="inlineStr">
        <is>
          <t/>
        </is>
      </c>
      <c r="Q950" s="43" t="n">
        <v>2012.0</v>
      </c>
      <c r="R950" s="114">
        <f>HYPERLINK("https://my.pitchbook.com?c=128343-88", "View company online")</f>
      </c>
    </row>
    <row r="951">
      <c r="A951" s="9" t="inlineStr">
        <is>
          <t>95299-03</t>
        </is>
      </c>
      <c r="B951" s="10" t="inlineStr">
        <is>
          <t>truBrain</t>
        </is>
      </c>
      <c r="C951" s="11" t="inlineStr">
        <is>
          <t/>
        </is>
      </c>
      <c r="D951" s="12" t="inlineStr">
        <is>
          <t>Developer of a brain stimulating drink. The company develops a drink that address the fundamental components of brain chemistry by stimulating blood flow to deliver oxygen and nourishment to the brain and create optimal conditions for attention span, memory, sustained energy and complex reasoning.</t>
        </is>
      </c>
      <c r="E951" s="13" t="inlineStr">
        <is>
          <t>Beverages</t>
        </is>
      </c>
      <c r="F951" s="14" t="inlineStr">
        <is>
          <t>Santa Monica, CA</t>
        </is>
      </c>
      <c r="G951" s="15" t="inlineStr">
        <is>
          <t>Privately Held (backing)</t>
        </is>
      </c>
      <c r="H951" s="16" t="inlineStr">
        <is>
          <t>Venture Capital-Backed</t>
        </is>
      </c>
      <c r="I951" s="17" t="inlineStr">
        <is>
          <t>Blueberry Ventures, Brent Beckley, Brightstone Venture Capital, Howard Marks, Jackson Leung, Paul Kessler, Sherpa Capital, StartEngine.com</t>
        </is>
      </c>
      <c r="J951" s="18" t="inlineStr">
        <is>
          <t>www.trubrain.com</t>
        </is>
      </c>
      <c r="K951" s="19" t="inlineStr">
        <is>
          <t>team@trubrain.com</t>
        </is>
      </c>
      <c r="L951" s="20" t="inlineStr">
        <is>
          <t>+1 (650) 241-8372</t>
        </is>
      </c>
      <c r="M951" s="21" t="inlineStr">
        <is>
          <t>Christopher Thompson</t>
        </is>
      </c>
      <c r="N951" s="22" t="inlineStr">
        <is>
          <t>Co-Founder &amp; Chief Executive Officer</t>
        </is>
      </c>
      <c r="O951" s="23" t="inlineStr">
        <is>
          <t>chris@trubrain.com</t>
        </is>
      </c>
      <c r="P951" s="24" t="inlineStr">
        <is>
          <t>+1 (650) 241-8372</t>
        </is>
      </c>
      <c r="Q951" s="25" t="n">
        <v>2013.0</v>
      </c>
      <c r="R951" s="113">
        <f>HYPERLINK("https://my.pitchbook.com?c=95299-03", "View company online")</f>
      </c>
    </row>
    <row r="952">
      <c r="A952" s="27" t="inlineStr">
        <is>
          <t>109893-07</t>
        </is>
      </c>
      <c r="B952" s="28" t="inlineStr">
        <is>
          <t>Trove Tech</t>
        </is>
      </c>
      <c r="C952" s="29" t="inlineStr">
        <is>
          <t/>
        </is>
      </c>
      <c r="D952" s="30" t="inlineStr">
        <is>
          <t>Provider of an online trading platform for used furniture. The company operates an online marketplace for buying and selling used furniture and other home decor.</t>
        </is>
      </c>
      <c r="E952" s="31" t="inlineStr">
        <is>
          <t>Internet Retail</t>
        </is>
      </c>
      <c r="F952" s="32" t="inlineStr">
        <is>
          <t>San Francisco, CA</t>
        </is>
      </c>
      <c r="G952" s="33" t="inlineStr">
        <is>
          <t>Privately Held (backing)</t>
        </is>
      </c>
      <c r="H952" s="34" t="inlineStr">
        <is>
          <t>Venture Capital-Backed</t>
        </is>
      </c>
      <c r="I952" s="35" t="inlineStr">
        <is>
          <t>iSeed Ventures</t>
        </is>
      </c>
      <c r="J952" s="36" t="inlineStr">
        <is>
          <t>www.usetrove.com</t>
        </is>
      </c>
      <c r="K952" s="37" t="inlineStr">
        <is>
          <t>info@usetrove.com</t>
        </is>
      </c>
      <c r="L952" s="38" t="inlineStr">
        <is>
          <t/>
        </is>
      </c>
      <c r="M952" s="39" t="inlineStr">
        <is>
          <t>David Geere</t>
        </is>
      </c>
      <c r="N952" s="40" t="inlineStr">
        <is>
          <t>Co-Founder &amp; Chief Executive Officer</t>
        </is>
      </c>
      <c r="O952" s="41" t="inlineStr">
        <is>
          <t>david.geere@daybear.com</t>
        </is>
      </c>
      <c r="P952" s="42" t="inlineStr">
        <is>
          <t>+1 (415) 789-6568</t>
        </is>
      </c>
      <c r="Q952" s="43" t="n">
        <v>2014.0</v>
      </c>
      <c r="R952" s="114">
        <f>HYPERLINK("https://my.pitchbook.com?c=109893-07", "View company online")</f>
      </c>
    </row>
    <row r="953">
      <c r="A953" s="9" t="inlineStr">
        <is>
          <t>98444-35</t>
        </is>
      </c>
      <c r="B953" s="10" t="inlineStr">
        <is>
          <t>Trove app</t>
        </is>
      </c>
      <c r="C953" s="11" t="inlineStr">
        <is>
          <t>94115</t>
        </is>
      </c>
      <c r="D953" s="12" t="inlineStr">
        <is>
          <t>Developer of a mobile application designed to discover social content from the world of fashion. The company's mobile application curates content from major fashion blogs and fashion influencers which the can be accessed with a single swipe, enabling users to discover new trends, learn the latest styling tricks and shop for accessories and apparel that are currently trending.</t>
        </is>
      </c>
      <c r="E953" s="13" t="inlineStr">
        <is>
          <t>Application Software</t>
        </is>
      </c>
      <c r="F953" s="14" t="inlineStr">
        <is>
          <t>San Francisco, CA</t>
        </is>
      </c>
      <c r="G953" s="15" t="inlineStr">
        <is>
          <t>Privately Held (backing)</t>
        </is>
      </c>
      <c r="H953" s="16" t="inlineStr">
        <is>
          <t>Venture Capital-Backed</t>
        </is>
      </c>
      <c r="I953" s="17" t="inlineStr">
        <is>
          <t>Highland Capital Partners, Wasabi Ventures, XSeed Capital</t>
        </is>
      </c>
      <c r="J953" s="18" t="inlineStr">
        <is>
          <t>www.thetroveapp.com</t>
        </is>
      </c>
      <c r="K953" s="19" t="inlineStr">
        <is>
          <t>help@thetroveapp.com</t>
        </is>
      </c>
      <c r="L953" s="20" t="inlineStr">
        <is>
          <t/>
        </is>
      </c>
      <c r="M953" s="21" t="inlineStr">
        <is>
          <t>Mary Orton</t>
        </is>
      </c>
      <c r="N953" s="22" t="inlineStr">
        <is>
          <t>Co-Founder</t>
        </is>
      </c>
      <c r="O953" s="23" t="inlineStr">
        <is>
          <t>mary@thetroveapp.com</t>
        </is>
      </c>
      <c r="P953" s="24" t="inlineStr">
        <is>
          <t/>
        </is>
      </c>
      <c r="Q953" s="25" t="n">
        <v>2015.0</v>
      </c>
      <c r="R953" s="113">
        <f>HYPERLINK("https://my.pitchbook.com?c=98444-35", "View company online")</f>
      </c>
    </row>
    <row r="954">
      <c r="A954" s="27" t="inlineStr">
        <is>
          <t>181300-15</t>
        </is>
      </c>
      <c r="B954" s="28" t="inlineStr">
        <is>
          <t>Trove (Logistics)</t>
        </is>
      </c>
      <c r="C954" s="29" t="inlineStr">
        <is>
          <t>94107</t>
        </is>
      </c>
      <c r="D954" s="30" t="inlineStr">
        <is>
          <t>Provider of storage service intended to handle everything from locating an affordable space to connecting customers with moving companies. The company's storage service provides assistance with services like renting a truck, buying boxes, packing boxes, enabling the clients in moving the stuff into another unit.</t>
        </is>
      </c>
      <c r="E954" s="31" t="inlineStr">
        <is>
          <t>Logistics</t>
        </is>
      </c>
      <c r="F954" s="32" t="inlineStr">
        <is>
          <t>San Francisco, CA</t>
        </is>
      </c>
      <c r="G954" s="33" t="inlineStr">
        <is>
          <t>Privately Held (backing)</t>
        </is>
      </c>
      <c r="H954" s="34" t="inlineStr">
        <is>
          <t>Venture Capital-Backed</t>
        </is>
      </c>
      <c r="I954" s="35" t="inlineStr">
        <is>
          <t>Greylock Partners</t>
        </is>
      </c>
      <c r="J954" s="36" t="inlineStr">
        <is>
          <t>www.mytrove.com</t>
        </is>
      </c>
      <c r="K954" s="37" t="inlineStr">
        <is>
          <t>team@mytrove.com</t>
        </is>
      </c>
      <c r="L954" s="38" t="inlineStr">
        <is>
          <t>+1 (415) 966-4357</t>
        </is>
      </c>
      <c r="M954" s="39" t="inlineStr">
        <is>
          <t>Michael Pao</t>
        </is>
      </c>
      <c r="N954" s="40" t="inlineStr">
        <is>
          <t>Co-Founder &amp; Chief Executive Officer</t>
        </is>
      </c>
      <c r="O954" s="41" t="inlineStr">
        <is>
          <t>mpao@greylock.com</t>
        </is>
      </c>
      <c r="P954" s="42" t="inlineStr">
        <is>
          <t>+1 (650) 493-5525</t>
        </is>
      </c>
      <c r="Q954" s="43" t="inlineStr">
        <is>
          <t/>
        </is>
      </c>
      <c r="R954" s="114">
        <f>HYPERLINK("https://my.pitchbook.com?c=181300-15", "View company online")</f>
      </c>
    </row>
    <row r="955">
      <c r="A955" s="9" t="inlineStr">
        <is>
          <t>58180-87</t>
        </is>
      </c>
      <c r="B955" s="10" t="inlineStr">
        <is>
          <t>Trōv</t>
        </is>
      </c>
      <c r="C955" s="11" t="inlineStr">
        <is>
          <t>94526</t>
        </is>
      </c>
      <c r="D955" s="12" t="inlineStr">
        <is>
          <t>Provider of an on-demand insurance platform designed to simplify the insurance service for single items. The company's on-demand insurance platform is a personalized quote featuring micro-duration policies, algorithmic pricing, integrated billing and intelligent bot-assisted claims for important single items and can instantly turn insurance on or off for an individual item, for whatever length of time they need, paying only for the coverage they require through a cloud-native insurance platform and a mobile application.</t>
        </is>
      </c>
      <c r="E955" s="13" t="inlineStr">
        <is>
          <t>Financial Software</t>
        </is>
      </c>
      <c r="F955" s="14" t="inlineStr">
        <is>
          <t>Danville, CA</t>
        </is>
      </c>
      <c r="G955" s="15" t="inlineStr">
        <is>
          <t>Privately Held (backing)</t>
        </is>
      </c>
      <c r="H955" s="16" t="inlineStr">
        <is>
          <t>Venture Capital-Backed</t>
        </is>
      </c>
      <c r="I955" s="17" t="inlineStr">
        <is>
          <t>Anthemis Group, CNF Investments, Gordon Bell, Guidewire, Munich Re/HSB Ventures, Oak HC/FT, Pivot Investment Partners, Sompo Japan Nipponkoa Holdings, Suncorp Group</t>
        </is>
      </c>
      <c r="J955" s="18" t="inlineStr">
        <is>
          <t>www.trov.com</t>
        </is>
      </c>
      <c r="K955" s="19" t="inlineStr">
        <is>
          <t>contact@trov.com</t>
        </is>
      </c>
      <c r="L955" s="20" t="inlineStr">
        <is>
          <t>+1 (925) 498-7800</t>
        </is>
      </c>
      <c r="M955" s="21" t="inlineStr">
        <is>
          <t>Jeff Berezny</t>
        </is>
      </c>
      <c r="N955" s="22" t="inlineStr">
        <is>
          <t>Vice President of Marketing &amp; Communications</t>
        </is>
      </c>
      <c r="O955" s="23" t="inlineStr">
        <is>
          <t>jeff@trov.com</t>
        </is>
      </c>
      <c r="P955" s="24" t="inlineStr">
        <is>
          <t>+1 (925) 394-6010</t>
        </is>
      </c>
      <c r="Q955" s="25" t="n">
        <v>2012.0</v>
      </c>
      <c r="R955" s="113">
        <f>HYPERLINK("https://my.pitchbook.com?c=58180-87", "View company online")</f>
      </c>
    </row>
    <row r="956">
      <c r="A956" s="27" t="inlineStr">
        <is>
          <t>95298-58</t>
        </is>
      </c>
      <c r="B956" s="28" t="inlineStr">
        <is>
          <t>Trooly</t>
        </is>
      </c>
      <c r="C956" s="29" t="inlineStr">
        <is>
          <t>94022</t>
        </is>
      </c>
      <c r="D956" s="30" t="inlineStr">
        <is>
          <t>Developer of peer-to-peer financial technology. The company offers a platform that leverages data science and social science, with a focus on improving trust and compatibility between individuals in online and offline interactions.</t>
        </is>
      </c>
      <c r="E956" s="31" t="inlineStr">
        <is>
          <t>Social/Platform Software</t>
        </is>
      </c>
      <c r="F956" s="32" t="inlineStr">
        <is>
          <t>Los Altos, CA</t>
        </is>
      </c>
      <c r="G956" s="33" t="inlineStr">
        <is>
          <t>Privately Held (backing)</t>
        </is>
      </c>
      <c r="H956" s="34" t="inlineStr">
        <is>
          <t>Venture Capital-Backed</t>
        </is>
      </c>
      <c r="I956" s="35" t="inlineStr">
        <is>
          <t>Anand Rajaraman, Bain Capital Ventures, Milliways Ventures</t>
        </is>
      </c>
      <c r="J956" s="36" t="inlineStr">
        <is>
          <t>www.troo.ly</t>
        </is>
      </c>
      <c r="K956" s="37" t="inlineStr">
        <is>
          <t>info@troo.ly</t>
        </is>
      </c>
      <c r="L956" s="38" t="inlineStr">
        <is>
          <t>+1 (844) 305-9602</t>
        </is>
      </c>
      <c r="M956" s="39" t="inlineStr">
        <is>
          <t>Nilesh Dalvi</t>
        </is>
      </c>
      <c r="N956" s="40" t="inlineStr">
        <is>
          <t>Co-Founder &amp; Chief Science Officer</t>
        </is>
      </c>
      <c r="O956" s="41" t="inlineStr">
        <is>
          <t>nd@troo.ly</t>
        </is>
      </c>
      <c r="P956" s="42" t="inlineStr">
        <is>
          <t>+1 (844) 305-9602</t>
        </is>
      </c>
      <c r="Q956" s="43" t="n">
        <v>2013.0</v>
      </c>
      <c r="R956" s="114">
        <f>HYPERLINK("https://my.pitchbook.com?c=95298-58", "View company online")</f>
      </c>
    </row>
    <row r="957">
      <c r="A957" s="9" t="inlineStr">
        <is>
          <t>97130-98</t>
        </is>
      </c>
      <c r="B957" s="10" t="inlineStr">
        <is>
          <t>Troia Therapeutics</t>
        </is>
      </c>
      <c r="C957" s="11" t="inlineStr">
        <is>
          <t>92037</t>
        </is>
      </c>
      <c r="D957" s="12" t="inlineStr">
        <is>
          <t>Provider of undisclosed products and services.</t>
        </is>
      </c>
      <c r="E957" s="13" t="inlineStr">
        <is>
          <t>Other Commercial Services</t>
        </is>
      </c>
      <c r="F957" s="14" t="inlineStr">
        <is>
          <t>San Diego, CA</t>
        </is>
      </c>
      <c r="G957" s="15" t="inlineStr">
        <is>
          <t>Privately Held (backing)</t>
        </is>
      </c>
      <c r="H957" s="16" t="inlineStr">
        <is>
          <t>Venture Capital-Backed</t>
        </is>
      </c>
      <c r="I957" s="17" t="inlineStr">
        <is>
          <t>Biobrit</t>
        </is>
      </c>
      <c r="J957" s="18" t="inlineStr">
        <is>
          <t/>
        </is>
      </c>
      <c r="K957" s="19" t="inlineStr">
        <is>
          <t/>
        </is>
      </c>
      <c r="L957" s="20" t="inlineStr">
        <is>
          <t/>
        </is>
      </c>
      <c r="M957" s="21" t="inlineStr">
        <is>
          <t>Daniel Bradbury</t>
        </is>
      </c>
      <c r="N957" s="22" t="inlineStr">
        <is>
          <t>President and Board Member</t>
        </is>
      </c>
      <c r="O957" s="23" t="inlineStr">
        <is>
          <t>bradbury@biobrit.com</t>
        </is>
      </c>
      <c r="P957" s="24" t="inlineStr">
        <is>
          <t/>
        </is>
      </c>
      <c r="Q957" s="25" t="n">
        <v>2013.0</v>
      </c>
      <c r="R957" s="113">
        <f>HYPERLINK("https://my.pitchbook.com?c=97130-98", "View company online")</f>
      </c>
    </row>
    <row r="958">
      <c r="A958" s="27" t="inlineStr">
        <is>
          <t>104743-63</t>
        </is>
      </c>
      <c r="B958" s="28" t="inlineStr">
        <is>
          <t>Trizic</t>
        </is>
      </c>
      <c r="C958" s="29" t="inlineStr">
        <is>
          <t>94903</t>
        </is>
      </c>
      <c r="D958" s="30" t="inlineStr">
        <is>
          <t>Provider of financial management software for financial advisers. The company provides Trizic Accelerator, a cloud-based digital wealth advisory platform for broker-dealers, asset managers, banks, credit unions, trust companies and independent wealth management firms to offer online investment advice to prospective or current clients.</t>
        </is>
      </c>
      <c r="E958" s="31" t="inlineStr">
        <is>
          <t>Financial Software</t>
        </is>
      </c>
      <c r="F958" s="32" t="inlineStr">
        <is>
          <t>San Rafael, CA</t>
        </is>
      </c>
      <c r="G958" s="33" t="inlineStr">
        <is>
          <t>Privately Held (backing)</t>
        </is>
      </c>
      <c r="H958" s="34" t="inlineStr">
        <is>
          <t>Venture Capital-Backed</t>
        </is>
      </c>
      <c r="I958" s="35" t="inlineStr">
        <is>
          <t>Broadhaven Capital Partners, Commerce Ventures, Freestyle Capital, Operative Capital</t>
        </is>
      </c>
      <c r="J958" s="36" t="inlineStr">
        <is>
          <t>www.trizic.com</t>
        </is>
      </c>
      <c r="K958" s="37" t="inlineStr">
        <is>
          <t>info@trizic.com</t>
        </is>
      </c>
      <c r="L958" s="38" t="inlineStr">
        <is>
          <t>+1 (415) 366-6583</t>
        </is>
      </c>
      <c r="M958" s="39" t="inlineStr">
        <is>
          <t>Andrew Sievers</t>
        </is>
      </c>
      <c r="N958" s="40" t="inlineStr">
        <is>
          <t>Chief Executive Officer, President &amp; Board Member</t>
        </is>
      </c>
      <c r="O958" s="41" t="inlineStr">
        <is>
          <t>drew.sievers@operativecapital.com</t>
        </is>
      </c>
      <c r="P958" s="42" t="inlineStr">
        <is>
          <t>+1 (415) 425-7496</t>
        </is>
      </c>
      <c r="Q958" s="43" t="n">
        <v>2011.0</v>
      </c>
      <c r="R958" s="114">
        <f>HYPERLINK("https://my.pitchbook.com?c=104743-63", "View company online")</f>
      </c>
    </row>
    <row r="959">
      <c r="A959" s="9" t="inlineStr">
        <is>
          <t>102741-13</t>
        </is>
      </c>
      <c r="B959" s="10" t="inlineStr">
        <is>
          <t>TripVerse</t>
        </is>
      </c>
      <c r="C959" s="11" t="inlineStr">
        <is>
          <t>94105</t>
        </is>
      </c>
      <c r="D959" s="12" t="inlineStr">
        <is>
          <t>Developer of a social application for travel planning. The company offers a platform for sharing travel itinerary and for creating, sharing and discovering authentic travel experiences.</t>
        </is>
      </c>
      <c r="E959" s="13" t="inlineStr">
        <is>
          <t>Application Software</t>
        </is>
      </c>
      <c r="F959" s="14" t="inlineStr">
        <is>
          <t>San Francisco, CA</t>
        </is>
      </c>
      <c r="G959" s="15" t="inlineStr">
        <is>
          <t>Privately Held (backing)</t>
        </is>
      </c>
      <c r="H959" s="16" t="inlineStr">
        <is>
          <t>Venture Capital-Backed</t>
        </is>
      </c>
      <c r="I959" s="17" t="inlineStr">
        <is>
          <t>Ricochet Consulting, Solo Holdings, Yuan-Huey Co</t>
        </is>
      </c>
      <c r="J959" s="18" t="inlineStr">
        <is>
          <t>www.tripverse.co</t>
        </is>
      </c>
      <c r="K959" s="19" t="inlineStr">
        <is>
          <t/>
        </is>
      </c>
      <c r="L959" s="20" t="inlineStr">
        <is>
          <t>+1 (510) 676-7083</t>
        </is>
      </c>
      <c r="M959" s="21" t="inlineStr">
        <is>
          <t>Benny Kao</t>
        </is>
      </c>
      <c r="N959" s="22" t="inlineStr">
        <is>
          <t>Founder, President, Chief Executive Officer and Board Member</t>
        </is>
      </c>
      <c r="O959" s="23" t="inlineStr">
        <is>
          <t>benny@tripverse.co</t>
        </is>
      </c>
      <c r="P959" s="24" t="inlineStr">
        <is>
          <t>+1 (510) 676-7083</t>
        </is>
      </c>
      <c r="Q959" s="25" t="n">
        <v>2014.0</v>
      </c>
      <c r="R959" s="113">
        <f>HYPERLINK("https://my.pitchbook.com?c=102741-13", "View company online")</f>
      </c>
    </row>
    <row r="960">
      <c r="A960" s="27" t="inlineStr">
        <is>
          <t>61066-99</t>
        </is>
      </c>
      <c r="B960" s="28" t="inlineStr">
        <is>
          <t>Triptease</t>
        </is>
      </c>
      <c r="C960" s="29" t="inlineStr">
        <is>
          <t>WC1V 7DA</t>
        </is>
      </c>
      <c r="D960" s="30" t="inlineStr">
        <is>
          <t>Developer of SaaS online booking platform for hotels designed to make the booking process easier for guests and increase direct bookings for hotels. The company's all-in-one direct booking platform integrates with a hotel's current website and booking engine, tracks millions of consumer booking journeys across thousands of hotel websites and brings conversion optimization to each individual hotel website, enabling hotels to engage with guests, increase direct bookings and improve their conversion.</t>
        </is>
      </c>
      <c r="E960" s="31" t="inlineStr">
        <is>
          <t>Social/Platform Software</t>
        </is>
      </c>
      <c r="F960" s="32" t="inlineStr">
        <is>
          <t>London, United Kingdom</t>
        </is>
      </c>
      <c r="G960" s="33" t="inlineStr">
        <is>
          <t>Privately Held (backing)</t>
        </is>
      </c>
      <c r="H960" s="34" t="inlineStr">
        <is>
          <t>Venture Capital-Backed</t>
        </is>
      </c>
      <c r="I960" s="35" t="inlineStr">
        <is>
          <t>BGF Ventures, Damien Lane, Episode 1 Ventures, Notion Capital</t>
        </is>
      </c>
      <c r="J960" s="36" t="inlineStr">
        <is>
          <t>www.triptease.com</t>
        </is>
      </c>
      <c r="K960" s="37" t="inlineStr">
        <is>
          <t>info@triptease.com</t>
        </is>
      </c>
      <c r="L960" s="38" t="inlineStr">
        <is>
          <t>+44 (0)16 0032 0011</t>
        </is>
      </c>
      <c r="M960" s="39" t="inlineStr">
        <is>
          <t>Charles Osmond</t>
        </is>
      </c>
      <c r="N960" s="40" t="inlineStr">
        <is>
          <t>Co-Founder, Chief Executive Officer &amp; Board Member</t>
        </is>
      </c>
      <c r="O960" s="41" t="inlineStr">
        <is>
          <t>charles@triptease.com</t>
        </is>
      </c>
      <c r="P960" s="42" t="inlineStr">
        <is>
          <t>+44 (0)16 0032 0011</t>
        </is>
      </c>
      <c r="Q960" s="43" t="n">
        <v>2012.0</v>
      </c>
      <c r="R960" s="114">
        <f>HYPERLINK("https://my.pitchbook.com?c=61066-99", "View company online")</f>
      </c>
    </row>
    <row r="961">
      <c r="A961" s="9" t="inlineStr">
        <is>
          <t>95296-96</t>
        </is>
      </c>
      <c r="B961" s="10" t="inlineStr">
        <is>
          <t>TripSeer</t>
        </is>
      </c>
      <c r="C961" s="85">
        <f>HYPERLINK("https://my.pitchbook.com?rrp=95296-96&amp;type=c", "This Company's information is not available to download. Need this Company? Request availability")</f>
      </c>
      <c r="D961" s="12" t="inlineStr">
        <is>
          <t/>
        </is>
      </c>
      <c r="E961" s="13" t="inlineStr">
        <is>
          <t/>
        </is>
      </c>
      <c r="F961" s="14" t="inlineStr">
        <is>
          <t/>
        </is>
      </c>
      <c r="G961" s="15" t="inlineStr">
        <is>
          <t/>
        </is>
      </c>
      <c r="H961" s="16" t="inlineStr">
        <is>
          <t/>
        </is>
      </c>
      <c r="I961" s="17" t="inlineStr">
        <is>
          <t/>
        </is>
      </c>
      <c r="J961" s="18" t="inlineStr">
        <is>
          <t/>
        </is>
      </c>
      <c r="K961" s="19" t="inlineStr">
        <is>
          <t/>
        </is>
      </c>
      <c r="L961" s="20" t="inlineStr">
        <is>
          <t/>
        </is>
      </c>
      <c r="M961" s="21" t="inlineStr">
        <is>
          <t/>
        </is>
      </c>
      <c r="N961" s="22" t="inlineStr">
        <is>
          <t/>
        </is>
      </c>
      <c r="O961" s="23" t="inlineStr">
        <is>
          <t/>
        </is>
      </c>
      <c r="P961" s="24" t="inlineStr">
        <is>
          <t/>
        </is>
      </c>
      <c r="Q961" s="25" t="inlineStr">
        <is>
          <t/>
        </is>
      </c>
      <c r="R961" s="26" t="inlineStr">
        <is>
          <t/>
        </is>
      </c>
    </row>
    <row r="962">
      <c r="A962" s="27" t="inlineStr">
        <is>
          <t>53380-72</t>
        </is>
      </c>
      <c r="B962" s="28" t="inlineStr">
        <is>
          <t>Trippy</t>
        </is>
      </c>
      <c r="C962" s="29" t="inlineStr">
        <is>
          <t>60608</t>
        </is>
      </c>
      <c r="D962" s="30" t="inlineStr">
        <is>
          <t>Provider of trip planning and travel services application. The company's web and mobile app is designed to let user's friends plan their trip.</t>
        </is>
      </c>
      <c r="E962" s="31" t="inlineStr">
        <is>
          <t>Application Software</t>
        </is>
      </c>
      <c r="F962" s="32" t="inlineStr">
        <is>
          <t>Chicago, IL</t>
        </is>
      </c>
      <c r="G962" s="33" t="inlineStr">
        <is>
          <t>Privately Held (backing)</t>
        </is>
      </c>
      <c r="H962" s="34" t="inlineStr">
        <is>
          <t>Venture Capital-Backed</t>
        </is>
      </c>
      <c r="I962" s="35" t="inlineStr">
        <is>
          <t>Brian Lee, e.ventures, Gary Vaynerchuk, Gil Elbaz, Individual Investor, Rob Solomon, Sequoia Capital, SV Angel, TenOneTen Ventures, Timothy Ferriss, True Ventures</t>
        </is>
      </c>
      <c r="J962" s="36" t="inlineStr">
        <is>
          <t>www.trippy.com</t>
        </is>
      </c>
      <c r="K962" s="37" t="inlineStr">
        <is>
          <t>feedback@trippy.com</t>
        </is>
      </c>
      <c r="L962" s="38" t="inlineStr">
        <is>
          <t/>
        </is>
      </c>
      <c r="M962" s="39" t="inlineStr">
        <is>
          <t>J.R. Johnson</t>
        </is>
      </c>
      <c r="N962" s="40" t="inlineStr">
        <is>
          <t>Founder &amp; Chief Executive Officer</t>
        </is>
      </c>
      <c r="O962" s="41" t="inlineStr">
        <is>
          <t>jr@trippy.com</t>
        </is>
      </c>
      <c r="P962" s="42" t="inlineStr">
        <is>
          <t/>
        </is>
      </c>
      <c r="Q962" s="43" t="n">
        <v>2011.0</v>
      </c>
      <c r="R962" s="114">
        <f>HYPERLINK("https://my.pitchbook.com?c=53380-72", "View company online")</f>
      </c>
    </row>
    <row r="963">
      <c r="A963" s="9" t="inlineStr">
        <is>
          <t>52376-86</t>
        </is>
      </c>
      <c r="B963" s="10" t="inlineStr">
        <is>
          <t>Tripping.com</t>
        </is>
      </c>
      <c r="C963" s="11" t="inlineStr">
        <is>
          <t>94105</t>
        </is>
      </c>
      <c r="D963" s="12" t="inlineStr">
        <is>
          <t>Provider of a hospitality network for travelers, expats and locals. The company provides an online platform for users to book vacation homes and short-term rentals.</t>
        </is>
      </c>
      <c r="E963" s="13" t="inlineStr">
        <is>
          <t>Social/Platform Software</t>
        </is>
      </c>
      <c r="F963" s="14" t="inlineStr">
        <is>
          <t>San Francisco, CA</t>
        </is>
      </c>
      <c r="G963" s="15" t="inlineStr">
        <is>
          <t>Privately Held (backing)</t>
        </is>
      </c>
      <c r="H963" s="16" t="inlineStr">
        <is>
          <t>Venture Capital-Backed</t>
        </is>
      </c>
      <c r="I963" s="17" t="inlineStr">
        <is>
          <t>Adams Street Partners, Azure Capital Partners, Brendan Wallace, Draper Associates, Drew Goldman, E-Merge, Enspire Capital, Erik Blachford, Fritz Demopoulos, Grey Wolf VC, Hackers/Founders, LaunchCapital, Lisa Gansky, Monte Koch, Orange Fab, Otter Rock Capital, Princeville Global, Quest Venture Partners, Recruit Holdings, Robert Wuttke, Seven Seas Partners, Seven Seas Venture Capital, Shawntae Spencer, Steadfast Venture Capital, Tom Chiu</t>
        </is>
      </c>
      <c r="J963" s="18" t="inlineStr">
        <is>
          <t>www.tripping.com</t>
        </is>
      </c>
      <c r="K963" s="19" t="inlineStr">
        <is>
          <t/>
        </is>
      </c>
      <c r="L963" s="20" t="inlineStr">
        <is>
          <t/>
        </is>
      </c>
      <c r="M963" s="21" t="inlineStr">
        <is>
          <t>Jen O'Neal</t>
        </is>
      </c>
      <c r="N963" s="22" t="inlineStr">
        <is>
          <t>Co-Founder, Chief Executive Officer &amp; Board Member</t>
        </is>
      </c>
      <c r="O963" s="23" t="inlineStr">
        <is>
          <t>jen@tripping.com</t>
        </is>
      </c>
      <c r="P963" s="24" t="inlineStr">
        <is>
          <t/>
        </is>
      </c>
      <c r="Q963" s="25" t="n">
        <v>2009.0</v>
      </c>
      <c r="R963" s="113">
        <f>HYPERLINK("https://my.pitchbook.com?c=52376-86", "View company online")</f>
      </c>
    </row>
    <row r="964">
      <c r="A964" s="27" t="inlineStr">
        <is>
          <t>51555-97</t>
        </is>
      </c>
      <c r="B964" s="28" t="inlineStr">
        <is>
          <t>Triporati</t>
        </is>
      </c>
      <c r="C964" s="29" t="inlineStr">
        <is>
          <t>94129</t>
        </is>
      </c>
      <c r="D964" s="30" t="inlineStr">
        <is>
          <t>Operator of a website that provide information on travel destinations. The company also facilitates travel and non-travel related advertisers to target an audience of leisure travelers through its Website.</t>
        </is>
      </c>
      <c r="E964" s="31" t="inlineStr">
        <is>
          <t>Application Software</t>
        </is>
      </c>
      <c r="F964" s="32" t="inlineStr">
        <is>
          <t>San Francisco, CA</t>
        </is>
      </c>
      <c r="G964" s="33" t="inlineStr">
        <is>
          <t>Privately Held (backing)</t>
        </is>
      </c>
      <c r="H964" s="34" t="inlineStr">
        <is>
          <t>Venture Capital-Backed</t>
        </is>
      </c>
      <c r="I964" s="35" t="inlineStr">
        <is>
          <t>Draper Associates, Hornthal Investment partners, Hybrid Capital, Individual Investor, MENA Venture Investments, Presidio Partners, Red Eagle Ventures, Ronald Conway, Ted Leonsis, Timothy Draper</t>
        </is>
      </c>
      <c r="J964" s="36" t="inlineStr">
        <is>
          <t>www.triporati.com</t>
        </is>
      </c>
      <c r="K964" s="37" t="inlineStr">
        <is>
          <t>customersupport@triporati.com</t>
        </is>
      </c>
      <c r="L964" s="38" t="inlineStr">
        <is>
          <t/>
        </is>
      </c>
      <c r="M964" s="39" t="inlineStr">
        <is>
          <t>James Hornthal</t>
        </is>
      </c>
      <c r="N964" s="40" t="inlineStr">
        <is>
          <t>Chairman &amp; Chief Executive Officer</t>
        </is>
      </c>
      <c r="O964" s="41" t="inlineStr">
        <is>
          <t/>
        </is>
      </c>
      <c r="P964" s="42" t="inlineStr">
        <is>
          <t>+1 (415) 901-0631</t>
        </is>
      </c>
      <c r="Q964" s="43" t="n">
        <v>2008.0</v>
      </c>
      <c r="R964" s="114">
        <f>HYPERLINK("https://my.pitchbook.com?c=51555-97", "View company online")</f>
      </c>
    </row>
    <row r="965">
      <c r="A965" s="9" t="inlineStr">
        <is>
          <t>117318-97</t>
        </is>
      </c>
      <c r="B965" s="10" t="inlineStr">
        <is>
          <t>Triplebyte</t>
        </is>
      </c>
      <c r="C965" s="11" t="inlineStr">
        <is>
          <t/>
        </is>
      </c>
      <c r="D965" s="12" t="inlineStr">
        <is>
          <t>Provider of an online platform designed to arrange and line up on-site interviews. The company's online interview platform provides technical hiring process that evaluates technical skills, not credentials, enabling engineers to find find job.</t>
        </is>
      </c>
      <c r="E965" s="13" t="inlineStr">
        <is>
          <t>Application Software</t>
        </is>
      </c>
      <c r="F965" s="14" t="inlineStr">
        <is>
          <t>San Francisco, CA</t>
        </is>
      </c>
      <c r="G965" s="15" t="inlineStr">
        <is>
          <t>Privately Held (backing)</t>
        </is>
      </c>
      <c r="H965" s="16" t="inlineStr">
        <is>
          <t>Venture Capital-Backed</t>
        </is>
      </c>
      <c r="I965" s="17" t="inlineStr">
        <is>
          <t>Andrew Houston, Bill Clerico, Caffeinated Capital, Daniel Gross, David King, Elad Gil, Emmett Shear, Eric Wu, Felicis Ventures, Geoff Ralston, Greg Brockman, Ilya Sukhar, Initialized Capital, Jake Gibson, James Beshara, Jared Friedman, Jessica Livingston, Joe Greenstein, Justin Kan, Kevin Hale, Kyle Vogt, Michael Seibel, Paul Buchheit, Paul Graham, Raymond Tonsing, Robby Walker, Sam Altman, SV Angel, Tikhon Bernstam, Trevor Blackwell, Y Combinator</t>
        </is>
      </c>
      <c r="J965" s="18" t="inlineStr">
        <is>
          <t>www.triplebyte.com</t>
        </is>
      </c>
      <c r="K965" s="19" t="inlineStr">
        <is>
          <t>feedback@triplebyte.com</t>
        </is>
      </c>
      <c r="L965" s="20" t="inlineStr">
        <is>
          <t/>
        </is>
      </c>
      <c r="M965" s="21" t="inlineStr">
        <is>
          <t>Harj Taggar</t>
        </is>
      </c>
      <c r="N965" s="22" t="inlineStr">
        <is>
          <t>Co-Founder &amp; Chief Executive Officer</t>
        </is>
      </c>
      <c r="O965" s="23" t="inlineStr">
        <is>
          <t>harjeet.taggar@initialized.co</t>
        </is>
      </c>
      <c r="P965" s="24" t="inlineStr">
        <is>
          <t>+1 (415) 493-8264</t>
        </is>
      </c>
      <c r="Q965" s="25" t="n">
        <v>2015.0</v>
      </c>
      <c r="R965" s="113">
        <f>HYPERLINK("https://my.pitchbook.com?c=117318-97", "View company online")</f>
      </c>
    </row>
    <row r="966">
      <c r="A966" s="27" t="inlineStr">
        <is>
          <t>150004-45</t>
        </is>
      </c>
      <c r="B966" s="28" t="inlineStr">
        <is>
          <t>Triple W</t>
        </is>
      </c>
      <c r="C966" s="29" t="inlineStr">
        <is>
          <t/>
        </is>
      </c>
      <c r="D966" s="30" t="inlineStr">
        <is>
          <t>Developer of smart device and mobile social application. The company develops So Sick, an application that enables users to take and share photos. It also manufactures DFree, a wearable device that helps people to track and predict bowel movements.</t>
        </is>
      </c>
      <c r="E966" s="31" t="inlineStr">
        <is>
          <t>Electronics (B2C)</t>
        </is>
      </c>
      <c r="F966" s="32" t="inlineStr">
        <is>
          <t>Tokyo, Japan</t>
        </is>
      </c>
      <c r="G966" s="33" t="inlineStr">
        <is>
          <t>Privately Held (backing)</t>
        </is>
      </c>
      <c r="H966" s="34" t="inlineStr">
        <is>
          <t>Venture Capital-Backed</t>
        </is>
      </c>
      <c r="I966" s="35" t="inlineStr">
        <is>
          <t>2020, DAIWA Corporate Investment, Hankyu, Heart Catch, Hon Hai Ventures, iSG Investment Works, Japanese Finance, Mizuho Bank, Nissay Capital, Revamp, SBI Investment</t>
        </is>
      </c>
      <c r="J966" s="36" t="inlineStr">
        <is>
          <t>www-biz.co</t>
        </is>
      </c>
      <c r="K966" s="37" t="inlineStr">
        <is>
          <t>dfree@www-biz.co</t>
        </is>
      </c>
      <c r="L966" s="38" t="inlineStr">
        <is>
          <t>+81 (0)35 459 1295</t>
        </is>
      </c>
      <c r="M966" s="39" t="inlineStr">
        <is>
          <t>Atsushi Nakanishi</t>
        </is>
      </c>
      <c r="N966" s="40" t="inlineStr">
        <is>
          <t>Chief Executive Officer &amp; Organizer</t>
        </is>
      </c>
      <c r="O966" s="41" t="inlineStr">
        <is>
          <t>anakanishi@dfree.biz</t>
        </is>
      </c>
      <c r="P966" s="42" t="inlineStr">
        <is>
          <t>+81 (0)35 459 1295</t>
        </is>
      </c>
      <c r="Q966" s="43" t="n">
        <v>2014.0</v>
      </c>
      <c r="R966" s="114">
        <f>HYPERLINK("https://my.pitchbook.com?c=150004-45", "View company online")</f>
      </c>
    </row>
    <row r="967">
      <c r="A967" s="9" t="inlineStr">
        <is>
          <t>64437-49</t>
        </is>
      </c>
      <c r="B967" s="10" t="inlineStr">
        <is>
          <t>TripHobo</t>
        </is>
      </c>
      <c r="C967" s="11" t="inlineStr">
        <is>
          <t>411045</t>
        </is>
      </c>
      <c r="D967" s="12" t="inlineStr">
        <is>
          <t>Operator of an online trip planning platform. The company offers resources for creating itineraries, searching places, finding and booking hotels worldwide and also allows to share travel experiences over various social networking sites.</t>
        </is>
      </c>
      <c r="E967" s="13" t="inlineStr">
        <is>
          <t>Social/Platform Software</t>
        </is>
      </c>
      <c r="F967" s="14" t="inlineStr">
        <is>
          <t>Pune, India</t>
        </is>
      </c>
      <c r="G967" s="15" t="inlineStr">
        <is>
          <t>Privately Held (backing)</t>
        </is>
      </c>
      <c r="H967" s="16" t="inlineStr">
        <is>
          <t>Venture Capital-Backed</t>
        </is>
      </c>
      <c r="I967" s="17" t="inlineStr">
        <is>
          <t>Bootstrap Incubation, Individual Investor, Kalaari Capital, Mayfield Fund</t>
        </is>
      </c>
      <c r="J967" s="18" t="inlineStr">
        <is>
          <t>www.triphobo.com</t>
        </is>
      </c>
      <c r="K967" s="19" t="inlineStr">
        <is>
          <t>hi@triphobo.com</t>
        </is>
      </c>
      <c r="L967" s="20" t="inlineStr">
        <is>
          <t/>
        </is>
      </c>
      <c r="M967" s="21" t="inlineStr">
        <is>
          <t>Praveen Kumar</t>
        </is>
      </c>
      <c r="N967" s="22" t="inlineStr">
        <is>
          <t>Chief Executive Officer &amp; Co-Founder</t>
        </is>
      </c>
      <c r="O967" s="23" t="inlineStr">
        <is>
          <t>praveen@triphobo.com</t>
        </is>
      </c>
      <c r="P967" s="24" t="inlineStr">
        <is>
          <t/>
        </is>
      </c>
      <c r="Q967" s="25" t="n">
        <v>2012.0</v>
      </c>
      <c r="R967" s="113">
        <f>HYPERLINK("https://my.pitchbook.com?c=64437-49", "View company online")</f>
      </c>
    </row>
    <row r="968">
      <c r="A968" s="27" t="inlineStr">
        <is>
          <t>153093-34</t>
        </is>
      </c>
      <c r="B968" s="28" t="inlineStr">
        <is>
          <t>Triphase Accelerator</t>
        </is>
      </c>
      <c r="C968" s="29" t="inlineStr">
        <is>
          <t>M5G 1L7</t>
        </is>
      </c>
      <c r="D968" s="30" t="inlineStr">
        <is>
          <t>Developer of novel therapeutics for the treatment of cancer. The company accelerates the development of cancer therapies from pre-IND to proof of concept (Phase II) in order to bring more effective treatments to cancer patients.</t>
        </is>
      </c>
      <c r="E968" s="31" t="inlineStr">
        <is>
          <t>Drug Delivery</t>
        </is>
      </c>
      <c r="F968" s="32" t="inlineStr">
        <is>
          <t>Toronto, Canada</t>
        </is>
      </c>
      <c r="G968" s="33" t="inlineStr">
        <is>
          <t>Privately Held (backing)</t>
        </is>
      </c>
      <c r="H968" s="34" t="inlineStr">
        <is>
          <t>Venture Capital-Backed</t>
        </is>
      </c>
      <c r="I968" s="35" t="inlineStr">
        <is>
          <t>Celgene, Fight Against Cancer Innovation Trust, JLabs, MaRS Innovation</t>
        </is>
      </c>
      <c r="J968" s="36" t="inlineStr">
        <is>
          <t>www.triphaseco.com</t>
        </is>
      </c>
      <c r="K968" s="37" t="inlineStr">
        <is>
          <t>info@triphaseco.com</t>
        </is>
      </c>
      <c r="L968" s="38" t="inlineStr">
        <is>
          <t>+1 (416) 649-5632</t>
        </is>
      </c>
      <c r="M968" s="39" t="inlineStr">
        <is>
          <t>Grant Gibson</t>
        </is>
      </c>
      <c r="N968" s="40" t="inlineStr">
        <is>
          <t>Chief Financial Officer</t>
        </is>
      </c>
      <c r="O968" s="41" t="inlineStr">
        <is>
          <t>grant@triphaseco.com</t>
        </is>
      </c>
      <c r="P968" s="42" t="inlineStr">
        <is>
          <t>+1 (416) 649-5632</t>
        </is>
      </c>
      <c r="Q968" s="43" t="n">
        <v>2010.0</v>
      </c>
      <c r="R968" s="114">
        <f>HYPERLINK("https://my.pitchbook.com?c=153093-34", "View company online")</f>
      </c>
    </row>
    <row r="969">
      <c r="A969" s="9" t="inlineStr">
        <is>
          <t>91233-82</t>
        </is>
      </c>
      <c r="B969" s="10" t="inlineStr">
        <is>
          <t>Tripfactory</t>
        </is>
      </c>
      <c r="C969" s="11" t="inlineStr">
        <is>
          <t>560043</t>
        </is>
      </c>
      <c r="D969" s="12" t="inlineStr">
        <is>
          <t>Provider of online travel platform. The company offers an online platform and holiday packages curated by travel operators, where consumers can buy their holidays either by customizing it themselves or seek assistance by talking to experts who can plan for them.</t>
        </is>
      </c>
      <c r="E969" s="13" t="inlineStr">
        <is>
          <t>Social/Platform Software</t>
        </is>
      </c>
      <c r="F969" s="14" t="inlineStr">
        <is>
          <t>Banglore, India</t>
        </is>
      </c>
      <c r="G969" s="15" t="inlineStr">
        <is>
          <t>Privately Held (backing)</t>
        </is>
      </c>
      <c r="H969" s="16" t="inlineStr">
        <is>
          <t>Venture Capital-Backed</t>
        </is>
      </c>
      <c r="I969" s="17" t="inlineStr">
        <is>
          <t>Ranjan Pai</t>
        </is>
      </c>
      <c r="J969" s="18" t="inlineStr">
        <is>
          <t>www.tripfactory.com</t>
        </is>
      </c>
      <c r="K969" s="19" t="inlineStr">
        <is>
          <t>care@tripfactory.com</t>
        </is>
      </c>
      <c r="L969" s="20" t="inlineStr">
        <is>
          <t>+91 (0)80 6766 1661</t>
        </is>
      </c>
      <c r="M969" s="21" t="inlineStr">
        <is>
          <t>Amit Aggarwal</t>
        </is>
      </c>
      <c r="N969" s="22" t="inlineStr">
        <is>
          <t>Chief Executive Officer &amp; Co-Founder</t>
        </is>
      </c>
      <c r="O969" s="23" t="inlineStr">
        <is>
          <t>amit@tripfactory.com</t>
        </is>
      </c>
      <c r="P969" s="24" t="inlineStr">
        <is>
          <t>+91 (0)80 6766 1661</t>
        </is>
      </c>
      <c r="Q969" s="25" t="n">
        <v>2013.0</v>
      </c>
      <c r="R969" s="113">
        <f>HYPERLINK("https://my.pitchbook.com?c=91233-82", "View company online")</f>
      </c>
    </row>
    <row r="970">
      <c r="A970" s="27" t="inlineStr">
        <is>
          <t>108558-55</t>
        </is>
      </c>
      <c r="B970" s="28" t="inlineStr">
        <is>
          <t>Tripaneer</t>
        </is>
      </c>
      <c r="C970" s="29" t="inlineStr">
        <is>
          <t>2518VR</t>
        </is>
      </c>
      <c r="D970" s="30" t="inlineStr">
        <is>
          <t>Provider of a travel platform for theme vacations. The company's travel platform for theme vacations, enables visitors to find, compare and book travel such experiences as surfing, yoga, meditation or even culinary vacations, anywhere in the world.</t>
        </is>
      </c>
      <c r="E970" s="31" t="inlineStr">
        <is>
          <t>Information Services (B2C)</t>
        </is>
      </c>
      <c r="F970" s="32" t="inlineStr">
        <is>
          <t>The Hague, Netherlands</t>
        </is>
      </c>
      <c r="G970" s="33" t="inlineStr">
        <is>
          <t>Privately Held (backing)</t>
        </is>
      </c>
      <c r="H970" s="34" t="inlineStr">
        <is>
          <t>Venture Capital-Backed</t>
        </is>
      </c>
      <c r="I970" s="35" t="inlineStr">
        <is>
          <t>Point Nine Capital</t>
        </is>
      </c>
      <c r="J970" s="36" t="inlineStr">
        <is>
          <t>www.tripaneer.com</t>
        </is>
      </c>
      <c r="K970" s="37" t="inlineStr">
        <is>
          <t>info@tripaneer.com</t>
        </is>
      </c>
      <c r="L970" s="38" t="inlineStr">
        <is>
          <t>+31 (0)85 888 8017</t>
        </is>
      </c>
      <c r="M970" s="39" t="inlineStr">
        <is>
          <t>Robert den Hollander</t>
        </is>
      </c>
      <c r="N970" s="40" t="inlineStr">
        <is>
          <t>Founder &amp; Chief Executive Officer</t>
        </is>
      </c>
      <c r="O970" s="41" t="inlineStr">
        <is>
          <t>robert@tripaneer.com</t>
        </is>
      </c>
      <c r="P970" s="42" t="inlineStr">
        <is>
          <t>+31 (0)85 888 8017</t>
        </is>
      </c>
      <c r="Q970" s="43" t="n">
        <v>2012.0</v>
      </c>
      <c r="R970" s="114">
        <f>HYPERLINK("https://my.pitchbook.com?c=108558-55", "View company online")</f>
      </c>
    </row>
    <row r="971">
      <c r="A971" s="9" t="inlineStr">
        <is>
          <t>112950-64</t>
        </is>
      </c>
      <c r="B971" s="10" t="inlineStr">
        <is>
          <t>TripActions</t>
        </is>
      </c>
      <c r="C971" s="11" t="inlineStr">
        <is>
          <t>94025</t>
        </is>
      </c>
      <c r="D971" s="12" t="inlineStr">
        <is>
          <t>Developer of an online corporate and business travel management platform designed to help business travel managers and travelers in booking hotels and flights at a discounted price. The company's online corporate and business travel management platform offers a dashboard which shows information related to travel management reports, savings, itinerary details and conducts reward programs, enabling corporate travelers to have the better travel experience and help save companies a lot of money in business tours and travels.</t>
        </is>
      </c>
      <c r="E971" s="13" t="inlineStr">
        <is>
          <t>Business/Productivity Software</t>
        </is>
      </c>
      <c r="F971" s="14" t="inlineStr">
        <is>
          <t>Menlo Park, CA</t>
        </is>
      </c>
      <c r="G971" s="15" t="inlineStr">
        <is>
          <t>Privately Held (backing)</t>
        </is>
      </c>
      <c r="H971" s="16" t="inlineStr">
        <is>
          <t>Venture Capital-Backed</t>
        </is>
      </c>
      <c r="I971" s="17" t="inlineStr">
        <is>
          <t>Lightspeed Venture Partners, Oren Zeev, SGVC, Zeev Ventures</t>
        </is>
      </c>
      <c r="J971" s="18" t="inlineStr">
        <is>
          <t>www.tripactions.com</t>
        </is>
      </c>
      <c r="K971" s="19" t="inlineStr">
        <is>
          <t/>
        </is>
      </c>
      <c r="L971" s="20" t="inlineStr">
        <is>
          <t>+1 (888) 505-8747</t>
        </is>
      </c>
      <c r="M971" s="21" t="inlineStr">
        <is>
          <t>Ariel Cohen</t>
        </is>
      </c>
      <c r="N971" s="22" t="inlineStr">
        <is>
          <t>Co-Founder, Board Member &amp; Chief Executive Officer</t>
        </is>
      </c>
      <c r="O971" s="23" t="inlineStr">
        <is>
          <t>ariel@tripactions.com</t>
        </is>
      </c>
      <c r="P971" s="24" t="inlineStr">
        <is>
          <t>+1 (888) 505-8747</t>
        </is>
      </c>
      <c r="Q971" s="25" t="n">
        <v>2015.0</v>
      </c>
      <c r="R971" s="113">
        <f>HYPERLINK("https://my.pitchbook.com?c=112950-64", "View company online")</f>
      </c>
    </row>
    <row r="972">
      <c r="A972" s="27" t="inlineStr">
        <is>
          <t>43081-03</t>
        </is>
      </c>
      <c r="B972" s="28" t="inlineStr">
        <is>
          <t>Trip.com</t>
        </is>
      </c>
      <c r="C972" s="29" t="inlineStr">
        <is>
          <t>94301</t>
        </is>
      </c>
      <c r="D972" s="30" t="inlineStr">
        <is>
          <t>Provider of an online platform designed to offer travel planning and guidance. The company's online platform allows to share tips on where to go and what to do with other like-minded people, enabling users to discover amazing places.</t>
        </is>
      </c>
      <c r="E972" s="31" t="inlineStr">
        <is>
          <t>Social/Platform Software</t>
        </is>
      </c>
      <c r="F972" s="32" t="inlineStr">
        <is>
          <t>Palo Alto, CA</t>
        </is>
      </c>
      <c r="G972" s="33" t="inlineStr">
        <is>
          <t>Privately Held (backing)</t>
        </is>
      </c>
      <c r="H972" s="34" t="inlineStr">
        <is>
          <t>Venture Capital-Backed</t>
        </is>
      </c>
      <c r="I972" s="35" t="inlineStr">
        <is>
          <t>Battery Ventures, CrunchFund, Dror Berman, HomeAway, Innovation Endeavors, Juvo Capital, Keith Rabois, Michael Arrington, Ooga Labs, Oren Zeev, Redpoint Ventures</t>
        </is>
      </c>
      <c r="J972" s="36" t="inlineStr">
        <is>
          <t>www.trip.com</t>
        </is>
      </c>
      <c r="K972" s="37" t="inlineStr">
        <is>
          <t>info@gogobot.com</t>
        </is>
      </c>
      <c r="L972" s="38" t="inlineStr">
        <is>
          <t>+1 (650) 838-9877</t>
        </is>
      </c>
      <c r="M972" s="39" t="inlineStr">
        <is>
          <t>Travis Katz</t>
        </is>
      </c>
      <c r="N972" s="40" t="inlineStr">
        <is>
          <t>Chief Executive Officer &amp; Board Member</t>
        </is>
      </c>
      <c r="O972" s="41" t="inlineStr">
        <is>
          <t>travis@gogobot.com</t>
        </is>
      </c>
      <c r="P972" s="42" t="inlineStr">
        <is>
          <t>+1 (650) 838-9877</t>
        </is>
      </c>
      <c r="Q972" s="43" t="n">
        <v>2010.0</v>
      </c>
      <c r="R972" s="114">
        <f>HYPERLINK("https://my.pitchbook.com?c=43081-03", "View company online")</f>
      </c>
    </row>
    <row r="973">
      <c r="A973" s="9" t="inlineStr">
        <is>
          <t>13228-75</t>
        </is>
      </c>
      <c r="B973" s="10" t="inlineStr">
        <is>
          <t>Trion Worlds</t>
        </is>
      </c>
      <c r="C973" s="11" t="inlineStr">
        <is>
          <t>94065</t>
        </is>
      </c>
      <c r="D973" s="12" t="inlineStr">
        <is>
          <t>Publisher and developer of online games designed to develop premium games. The company's online video games delivers dynamic, social games operated as live services across the biggest game genres and devices, enabling game enthusiasts to play online multiplayer video games.</t>
        </is>
      </c>
      <c r="E973" s="13" t="inlineStr">
        <is>
          <t>Movies, Music and Entertainment</t>
        </is>
      </c>
      <c r="F973" s="14" t="inlineStr">
        <is>
          <t>Redwood City, CA</t>
        </is>
      </c>
      <c r="G973" s="15" t="inlineStr">
        <is>
          <t>Privately Held (backing)</t>
        </is>
      </c>
      <c r="H973" s="16" t="inlineStr">
        <is>
          <t>Venture Capital-Backed</t>
        </is>
      </c>
      <c r="I973" s="17" t="inlineStr">
        <is>
          <t>Act II Capital, Bertelsmann Digital Media Investments, Comcast Ventures, DCM Ventures, Fidelity Investments, Industry Ventures, Ontario Teachers' Pension Plan, Partners for Growth, Peacock Equity, Rustic Canyon Partners, Saints Capital, Time Warner Investments, Trinity Ventures</t>
        </is>
      </c>
      <c r="J973" s="18" t="inlineStr">
        <is>
          <t>www.trionworlds.com</t>
        </is>
      </c>
      <c r="K973" s="19" t="inlineStr">
        <is>
          <t>communications@trionworlds.com</t>
        </is>
      </c>
      <c r="L973" s="20" t="inlineStr">
        <is>
          <t>+1 (650) 631-9800</t>
        </is>
      </c>
      <c r="M973" s="21" t="inlineStr">
        <is>
          <t>Lars Butler</t>
        </is>
      </c>
      <c r="N973" s="22" t="inlineStr">
        <is>
          <t>Chairman and Co-Founder</t>
        </is>
      </c>
      <c r="O973" s="23" t="inlineStr">
        <is>
          <t>lb@trionworld.com</t>
        </is>
      </c>
      <c r="P973" s="24" t="inlineStr">
        <is>
          <t>+1 (650) 631-9800</t>
        </is>
      </c>
      <c r="Q973" s="25" t="n">
        <v>2006.0</v>
      </c>
      <c r="R973" s="113">
        <f>HYPERLINK("https://my.pitchbook.com?c=13228-75", "View company online")</f>
      </c>
    </row>
    <row r="974">
      <c r="A974" s="27" t="inlineStr">
        <is>
          <t>148717-54</t>
        </is>
      </c>
      <c r="B974" s="28" t="inlineStr">
        <is>
          <t>Trion SuperCars</t>
        </is>
      </c>
      <c r="C974" s="29" t="inlineStr">
        <is>
          <t/>
        </is>
      </c>
      <c r="D974" s="30" t="inlineStr">
        <is>
          <t>Manufacturer of sports cars. The company's vehicles are specialized with dual electric motors and four cylinder gasoline engine and it wears a lightweight carbon fiber body or chassis, enabling owners to ride in luxurious cars.</t>
        </is>
      </c>
      <c r="E974" s="31" t="inlineStr">
        <is>
          <t>Automotive</t>
        </is>
      </c>
      <c r="F974" s="32" t="inlineStr">
        <is>
          <t>Los Angeles, CA</t>
        </is>
      </c>
      <c r="G974" s="33" t="inlineStr">
        <is>
          <t>Privately Held (backing)</t>
        </is>
      </c>
      <c r="H974" s="34" t="inlineStr">
        <is>
          <t>Venture Capital-Backed</t>
        </is>
      </c>
      <c r="I974" s="35" t="inlineStr">
        <is>
          <t>Venture-Net Partners</t>
        </is>
      </c>
      <c r="J974" s="36" t="inlineStr">
        <is>
          <t>www.trionsupercars.com</t>
        </is>
      </c>
      <c r="K974" s="37" t="inlineStr">
        <is>
          <t>info@trionsupercars.com</t>
        </is>
      </c>
      <c r="L974" s="38" t="inlineStr">
        <is>
          <t>+1 (855) 233-2224</t>
        </is>
      </c>
      <c r="M974" s="39" t="inlineStr">
        <is>
          <t>Richard Patterson</t>
        </is>
      </c>
      <c r="N974" s="40" t="inlineStr">
        <is>
          <t>Founder, Chief Executive Officer, Chief Technology Officer &amp; Chief Designer</t>
        </is>
      </c>
      <c r="O974" s="41" t="inlineStr">
        <is>
          <t>rpatterson@trionsupercars.com</t>
        </is>
      </c>
      <c r="P974" s="42" t="inlineStr">
        <is>
          <t>+1 (855) 233-2224</t>
        </is>
      </c>
      <c r="Q974" s="43" t="n">
        <v>2012.0</v>
      </c>
      <c r="R974" s="114">
        <f>HYPERLINK("https://my.pitchbook.com?c=148717-54", "View company online")</f>
      </c>
    </row>
    <row r="975">
      <c r="A975" s="9" t="inlineStr">
        <is>
          <t>118089-46</t>
        </is>
      </c>
      <c r="B975" s="10" t="inlineStr">
        <is>
          <t>Trio Health</t>
        </is>
      </c>
      <c r="C975" s="11" t="inlineStr">
        <is>
          <t>92037</t>
        </is>
      </c>
      <c r="D975" s="12" t="inlineStr">
        <is>
          <t>Provider of a technology platform intended to improve the quality of care in patient outcomes through disease management. The company's technology platform tracks patients throughout the course of their treatment enabling pharmaceutical companies, clinicians and patients to get disease management protocols, pricing, clinical insights, pharmacy strategies and other opportunities.</t>
        </is>
      </c>
      <c r="E975" s="13" t="inlineStr">
        <is>
          <t>Practice Management (Healthcare)</t>
        </is>
      </c>
      <c r="F975" s="14" t="inlineStr">
        <is>
          <t>La Jolla, CA</t>
        </is>
      </c>
      <c r="G975" s="15" t="inlineStr">
        <is>
          <t>Privately Held (backing)</t>
        </is>
      </c>
      <c r="H975" s="16" t="inlineStr">
        <is>
          <t>Venture Capital-Backed</t>
        </is>
      </c>
      <c r="I975" s="17" t="inlineStr">
        <is>
          <t/>
        </is>
      </c>
      <c r="J975" s="18" t="inlineStr">
        <is>
          <t>www.triohealth.com</t>
        </is>
      </c>
      <c r="K975" s="19" t="inlineStr">
        <is>
          <t>info@triohealth.com</t>
        </is>
      </c>
      <c r="L975" s="20" t="inlineStr">
        <is>
          <t>+1 (858) 771-2500</t>
        </is>
      </c>
      <c r="M975" s="21" t="inlineStr">
        <is>
          <t>Brent Clough</t>
        </is>
      </c>
      <c r="N975" s="22" t="inlineStr">
        <is>
          <t>Co-Founder, Chief Executive Officer &amp; Board Member</t>
        </is>
      </c>
      <c r="O975" s="23" t="inlineStr">
        <is>
          <t>brent.clough@triohealth.com</t>
        </is>
      </c>
      <c r="P975" s="24" t="inlineStr">
        <is>
          <t>+1 (858) 771-2500</t>
        </is>
      </c>
      <c r="Q975" s="25" t="n">
        <v>2013.0</v>
      </c>
      <c r="R975" s="113">
        <f>HYPERLINK("https://my.pitchbook.com?c=118089-46", "View company online")</f>
      </c>
    </row>
    <row r="976">
      <c r="A976" s="27" t="inlineStr">
        <is>
          <t>169079-41</t>
        </is>
      </c>
      <c r="B976" s="28" t="inlineStr">
        <is>
          <t>TRiNDS</t>
        </is>
      </c>
      <c r="C976" s="29" t="inlineStr">
        <is>
          <t/>
        </is>
      </c>
      <c r="D976" s="30" t="inlineStr">
        <is>
          <t>Developer of clinical measurement tools. The company engages in testing and developing of tools used in clinical operations, data management, biostatistics and study measurements for pharmaceutical and biotechnology industries as well as academic investigators and clinical centers.</t>
        </is>
      </c>
      <c r="E976" s="31" t="inlineStr">
        <is>
          <t>Other Healthcare Technology Systems</t>
        </is>
      </c>
      <c r="F976" s="32" t="inlineStr">
        <is>
          <t>Newport Beach, CA</t>
        </is>
      </c>
      <c r="G976" s="33" t="inlineStr">
        <is>
          <t>Privately Held (backing)</t>
        </is>
      </c>
      <c r="H976" s="34" t="inlineStr">
        <is>
          <t>Venture Capital-Backed</t>
        </is>
      </c>
      <c r="I976" s="35" t="inlineStr">
        <is>
          <t>CureDuchenne</t>
        </is>
      </c>
      <c r="J976" s="36" t="inlineStr">
        <is>
          <t>www.trinds.com</t>
        </is>
      </c>
      <c r="K976" s="37" t="inlineStr">
        <is>
          <t>info@trinds.com</t>
        </is>
      </c>
      <c r="L976" s="38" t="inlineStr">
        <is>
          <t>+1 (412) 224-2030</t>
        </is>
      </c>
      <c r="M976" s="39" t="inlineStr">
        <is>
          <t>Lauren Morgenroth</t>
        </is>
      </c>
      <c r="N976" s="40" t="inlineStr">
        <is>
          <t>Chief Operating Officer</t>
        </is>
      </c>
      <c r="O976" s="41" t="inlineStr">
        <is>
          <t>lmorgenroth@trinds.com</t>
        </is>
      </c>
      <c r="P976" s="42" t="inlineStr">
        <is>
          <t>+1 (412) 224-2030</t>
        </is>
      </c>
      <c r="Q976" s="43" t="inlineStr">
        <is>
          <t/>
        </is>
      </c>
      <c r="R976" s="114">
        <f>HYPERLINK("https://my.pitchbook.com?c=169079-41", "View company online")</f>
      </c>
    </row>
    <row r="977">
      <c r="A977" s="9" t="inlineStr">
        <is>
          <t>90373-06</t>
        </is>
      </c>
      <c r="B977" s="10" t="inlineStr">
        <is>
          <t>Trimantium Capital</t>
        </is>
      </c>
      <c r="C977" s="11" t="inlineStr">
        <is>
          <t>3000</t>
        </is>
      </c>
      <c r="D977" s="12" t="inlineStr">
        <is>
          <t>Trimantium Capital is a diversified investment management company operating direct investments, superannuation, growth and venture capital funds</t>
        </is>
      </c>
      <c r="E977" s="13" t="inlineStr">
        <is>
          <t>Other Financial Services</t>
        </is>
      </c>
      <c r="F977" s="14" t="inlineStr">
        <is>
          <t>Melbourne, Australia</t>
        </is>
      </c>
      <c r="G977" s="15" t="inlineStr">
        <is>
          <t>Privately Held (backing)</t>
        </is>
      </c>
      <c r="H977" s="16" t="inlineStr">
        <is>
          <t>Venture Capital-Backed</t>
        </is>
      </c>
      <c r="I977" s="17" t="inlineStr">
        <is>
          <t/>
        </is>
      </c>
      <c r="J977" s="18" t="inlineStr">
        <is>
          <t>www.trimantium.com</t>
        </is>
      </c>
      <c r="K977" s="19" t="inlineStr">
        <is>
          <t>contact@trimantium.com</t>
        </is>
      </c>
      <c r="L977" s="20" t="inlineStr">
        <is>
          <t>+61 (0)3 6173 0500</t>
        </is>
      </c>
      <c r="M977" s="21" t="inlineStr">
        <is>
          <t>Phillip Kingston</t>
        </is>
      </c>
      <c r="N977" s="22" t="inlineStr">
        <is>
          <t>Founder &amp; Managing Director</t>
        </is>
      </c>
      <c r="O977" s="23" t="inlineStr">
        <is>
          <t>phillip.kingston@trimantium.com</t>
        </is>
      </c>
      <c r="P977" s="24" t="inlineStr">
        <is>
          <t>+61 (0)3 6173 0500</t>
        </is>
      </c>
      <c r="Q977" s="25" t="n">
        <v>2008.0</v>
      </c>
      <c r="R977" s="113">
        <f>HYPERLINK("https://my.pitchbook.com?c=90373-06", "View company online")</f>
      </c>
    </row>
    <row r="978">
      <c r="A978" s="27" t="inlineStr">
        <is>
          <t>128409-67</t>
        </is>
      </c>
      <c r="B978" s="28" t="inlineStr">
        <is>
          <t>Trim (Personal Finance App)</t>
        </is>
      </c>
      <c r="C978" s="29" t="inlineStr">
        <is>
          <t>94110</t>
        </is>
      </c>
      <c r="D978" s="30" t="inlineStr">
        <is>
          <t>Provider of a personal finance assistant application. The company offers a personal finance assistant application which pulls out data from user's credit and debit card statements to cancel and manage subscriptions that they do not need.</t>
        </is>
      </c>
      <c r="E978" s="31" t="inlineStr">
        <is>
          <t>Application Software</t>
        </is>
      </c>
      <c r="F978" s="32" t="inlineStr">
        <is>
          <t>San Francisco, CA</t>
        </is>
      </c>
      <c r="G978" s="33" t="inlineStr">
        <is>
          <t>Privately Held (backing)</t>
        </is>
      </c>
      <c r="H978" s="34" t="inlineStr">
        <is>
          <t>Venture Capital-Backed</t>
        </is>
      </c>
      <c r="I978" s="35" t="inlineStr">
        <is>
          <t>Bertrand Navarette, Beta Bridge Capital, Core Innovation Capital, Eniac Ventures, Sound Ventures, Version One Ventures</t>
        </is>
      </c>
      <c r="J978" s="36" t="inlineStr">
        <is>
          <t>www.asktrim.com</t>
        </is>
      </c>
      <c r="K978" s="37" t="inlineStr">
        <is>
          <t>hello@asktrim.com</t>
        </is>
      </c>
      <c r="L978" s="38" t="inlineStr">
        <is>
          <t/>
        </is>
      </c>
      <c r="M978" s="39" t="inlineStr">
        <is>
          <t>Thomas Smyth</t>
        </is>
      </c>
      <c r="N978" s="40" t="inlineStr">
        <is>
          <t>Co-Founder &amp; Chief Executive Officer</t>
        </is>
      </c>
      <c r="O978" s="41" t="inlineStr">
        <is>
          <t/>
        </is>
      </c>
      <c r="P978" s="42" t="inlineStr">
        <is>
          <t/>
        </is>
      </c>
      <c r="Q978" s="43" t="n">
        <v>2015.0</v>
      </c>
      <c r="R978" s="114">
        <f>HYPERLINK("https://my.pitchbook.com?c=128409-67", "View company online")</f>
      </c>
    </row>
    <row r="979">
      <c r="A979" s="9" t="inlineStr">
        <is>
          <t>174364-39</t>
        </is>
      </c>
      <c r="B979" s="10" t="inlineStr">
        <is>
          <t>Trilogy Studios</t>
        </is>
      </c>
      <c r="C979" s="85">
        <f>HYPERLINK("https://my.pitchbook.com?rrp=174364-39&amp;type=c",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row>
    <row r="980">
      <c r="A980" s="27" t="inlineStr">
        <is>
          <t>162130-06</t>
        </is>
      </c>
      <c r="B980" s="28" t="inlineStr">
        <is>
          <t>Trillium (Network Management Software)</t>
        </is>
      </c>
      <c r="C980" s="29" t="inlineStr">
        <is>
          <t>150-0013</t>
        </is>
      </c>
      <c r="D980" s="30" t="inlineStr">
        <is>
          <t>Developer of advanced IoT and automotive cyber-security software designed to protect mission critical automotive and IoT networks. The company's advanced IoT and automotive cyber-security software uses advanced encryption, authentication and key management technologies, enabling users to protect in-vehicle networks of automobiles and other transportation equipment from cyber-attack and other mission critical automotive and IoT networks.</t>
        </is>
      </c>
      <c r="E980" s="31" t="inlineStr">
        <is>
          <t>Network Management Software</t>
        </is>
      </c>
      <c r="F980" s="32" t="inlineStr">
        <is>
          <t>Tokyo, Japan</t>
        </is>
      </c>
      <c r="G980" s="33" t="inlineStr">
        <is>
          <t>Privately Held (backing)</t>
        </is>
      </c>
      <c r="H980" s="34" t="inlineStr">
        <is>
          <t>Venture Capital-Backed</t>
        </is>
      </c>
      <c r="I980" s="35" t="inlineStr">
        <is>
          <t>DBJ Capital, Global Brain, Mizuho Capital</t>
        </is>
      </c>
      <c r="J980" s="36" t="inlineStr">
        <is>
          <t>www.trillium.co.jp</t>
        </is>
      </c>
      <c r="K980" s="37" t="inlineStr">
        <is>
          <t>web_information@trillium.co.jp</t>
        </is>
      </c>
      <c r="L980" s="38" t="inlineStr">
        <is>
          <t>+81 (0)36 459 3132</t>
        </is>
      </c>
      <c r="M980" s="39" t="inlineStr">
        <is>
          <t>David Uze</t>
        </is>
      </c>
      <c r="N980" s="40" t="inlineStr">
        <is>
          <t>Founder, Chief Executive Officer &amp; President</t>
        </is>
      </c>
      <c r="O980" s="41" t="inlineStr">
        <is>
          <t>david.uze@trillium.co.jp</t>
        </is>
      </c>
      <c r="P980" s="42" t="inlineStr">
        <is>
          <t>+81 (0)36 459 3132</t>
        </is>
      </c>
      <c r="Q980" s="43" t="n">
        <v>2014.0</v>
      </c>
      <c r="R980" s="114">
        <f>HYPERLINK("https://my.pitchbook.com?c=162130-06", "View company online")</f>
      </c>
    </row>
    <row r="981">
      <c r="A981" s="9" t="inlineStr">
        <is>
          <t>58390-12</t>
        </is>
      </c>
      <c r="B981" s="10" t="inlineStr">
        <is>
          <t>Trillion Science</t>
        </is>
      </c>
      <c r="C981" s="11" t="inlineStr">
        <is>
          <t>94555</t>
        </is>
      </c>
      <c r="D981" s="12" t="inlineStr">
        <is>
          <t>Provider of materials and technologies for high-tech and life science industries. The company develops different kinds of coatings and adhesives for semiconductor and display applications of life science industries.</t>
        </is>
      </c>
      <c r="E981" s="13" t="inlineStr">
        <is>
          <t>Industrial Chemicals</t>
        </is>
      </c>
      <c r="F981" s="14" t="inlineStr">
        <is>
          <t>Fremont, CA</t>
        </is>
      </c>
      <c r="G981" s="15" t="inlineStr">
        <is>
          <t>Privately Held (backing)</t>
        </is>
      </c>
      <c r="H981" s="16" t="inlineStr">
        <is>
          <t>Venture Capital-Backed</t>
        </is>
      </c>
      <c r="I981" s="17" t="inlineStr">
        <is>
          <t/>
        </is>
      </c>
      <c r="J981" s="18" t="inlineStr">
        <is>
          <t>www.trillionscience.com</t>
        </is>
      </c>
      <c r="K981" s="19" t="inlineStr">
        <is>
          <t>sales@trillionscience.com</t>
        </is>
      </c>
      <c r="L981" s="20" t="inlineStr">
        <is>
          <t/>
        </is>
      </c>
      <c r="M981" s="21" t="inlineStr">
        <is>
          <t>Rong-Chang Liang</t>
        </is>
      </c>
      <c r="N981" s="22" t="inlineStr">
        <is>
          <t>Founding Chairman</t>
        </is>
      </c>
      <c r="O981" s="23" t="inlineStr">
        <is>
          <t>rc.liang@trillionscience.com</t>
        </is>
      </c>
      <c r="P981" s="24" t="inlineStr">
        <is>
          <t/>
        </is>
      </c>
      <c r="Q981" s="25" t="n">
        <v>2005.0</v>
      </c>
      <c r="R981" s="113">
        <f>HYPERLINK("https://my.pitchbook.com?c=58390-12", "View company online")</f>
      </c>
    </row>
    <row r="982">
      <c r="A982" s="27" t="inlineStr">
        <is>
          <t>43024-15</t>
        </is>
      </c>
      <c r="B982" s="28" t="inlineStr">
        <is>
          <t>Trilliant</t>
        </is>
      </c>
      <c r="C982" s="29" t="inlineStr">
        <is>
          <t>94065</t>
        </is>
      </c>
      <c r="D982" s="30" t="inlineStr">
        <is>
          <t>Provider of a smart grid communication platform designed to address modern energy challenges. The company's smart grid communication platform offers scalable, secure, meter-independent and multi-technology smart grid communications, enabling utilities and energy providers to deliver reliable, clean and affordable energy to their customers.</t>
        </is>
      </c>
      <c r="E982" s="31" t="inlineStr">
        <is>
          <t>Wireless Communications Equipment</t>
        </is>
      </c>
      <c r="F982" s="32" t="inlineStr">
        <is>
          <t>Redwood City, CA</t>
        </is>
      </c>
      <c r="G982" s="33" t="inlineStr">
        <is>
          <t>Privately Held (backing)</t>
        </is>
      </c>
      <c r="H982" s="34" t="inlineStr">
        <is>
          <t>Venture Capital-Backed</t>
        </is>
      </c>
      <c r="I982" s="35" t="inlineStr">
        <is>
          <t>ABB Technology Ventures, GE Ventures, Hercules Capital, MissionPoint Partners, Patricia Industries, Selby Ventures, UMC Capital, VantagePoint Capital Partners, Zouk Capital</t>
        </is>
      </c>
      <c r="J982" s="36" t="inlineStr">
        <is>
          <t>www.trilliantinc.com</t>
        </is>
      </c>
      <c r="K982" s="37" t="inlineStr">
        <is>
          <t>info@trilliantinc.com</t>
        </is>
      </c>
      <c r="L982" s="38" t="inlineStr">
        <is>
          <t>+1 (650) 204-5050</t>
        </is>
      </c>
      <c r="M982" s="39" t="inlineStr">
        <is>
          <t>Andrew White</t>
        </is>
      </c>
      <c r="N982" s="40" t="inlineStr">
        <is>
          <t>Chief Executive Officer &amp; Chairman</t>
        </is>
      </c>
      <c r="O982" s="41" t="inlineStr">
        <is>
          <t>andy.white@trilliantinc.com</t>
        </is>
      </c>
      <c r="P982" s="42" t="inlineStr">
        <is>
          <t>+1 (650) 204-5050</t>
        </is>
      </c>
      <c r="Q982" s="43" t="n">
        <v>1985.0</v>
      </c>
      <c r="R982" s="114">
        <f>HYPERLINK("https://my.pitchbook.com?c=43024-15", "View company online")</f>
      </c>
    </row>
    <row r="983">
      <c r="A983" s="9" t="inlineStr">
        <is>
          <t>52849-18</t>
        </is>
      </c>
      <c r="B983" s="10" t="inlineStr">
        <is>
          <t>Trilibis Mobile</t>
        </is>
      </c>
      <c r="C983" s="11" t="inlineStr">
        <is>
          <t>94022</t>
        </is>
      </c>
      <c r="D983" s="12" t="inlineStr">
        <is>
          <t>Provider of mobile development provisions and services to online brands, media companies, and marketing agencies. The company develops, manages, and hosts mobile products and mobile sites for various brands. It offers SmartPath mobile publishing platform, a SaaS-based provisions that enables the creation and management of mobile programs. It also provides mobile web development services, such as text messaging, QR code destination, social network integration, feeds, Email, promotional content, registration and data collection, mobile shopping, Ad network integration, and widgets and lite applications.</t>
        </is>
      </c>
      <c r="E983" s="13" t="inlineStr">
        <is>
          <t>Application Software</t>
        </is>
      </c>
      <c r="F983" s="14" t="inlineStr">
        <is>
          <t>Los Altos, CA</t>
        </is>
      </c>
      <c r="G983" s="15" t="inlineStr">
        <is>
          <t>Privately Held (backing)</t>
        </is>
      </c>
      <c r="H983" s="16" t="inlineStr">
        <is>
          <t>Venture Capital-Backed</t>
        </is>
      </c>
      <c r="I983" s="17" t="inlineStr">
        <is>
          <t>Altos Ventures, ATA Ventures, Individual Investor</t>
        </is>
      </c>
      <c r="J983" s="18" t="inlineStr">
        <is>
          <t>www.trilibis.com</t>
        </is>
      </c>
      <c r="K983" s="19" t="inlineStr">
        <is>
          <t>info@trilibis.com</t>
        </is>
      </c>
      <c r="L983" s="20" t="inlineStr">
        <is>
          <t/>
        </is>
      </c>
      <c r="M983" s="21" t="inlineStr">
        <is>
          <t>Thomas Burke</t>
        </is>
      </c>
      <c r="N983" s="22" t="inlineStr">
        <is>
          <t>Chief Financial Officer</t>
        </is>
      </c>
      <c r="O983" s="23" t="inlineStr">
        <is>
          <t>tburke@trilibis.com</t>
        </is>
      </c>
      <c r="P983" s="24" t="inlineStr">
        <is>
          <t/>
        </is>
      </c>
      <c r="Q983" s="25" t="n">
        <v>2002.0</v>
      </c>
      <c r="R983" s="113">
        <f>HYPERLINK("https://my.pitchbook.com?c=52849-18", "View company online")</f>
      </c>
    </row>
    <row r="984">
      <c r="A984" s="27" t="inlineStr">
        <is>
          <t>61504-66</t>
        </is>
      </c>
      <c r="B984" s="28" t="inlineStr">
        <is>
          <t>Trigger (Communications Technology)</t>
        </is>
      </c>
      <c r="C984" s="29" t="inlineStr">
        <is>
          <t>90064</t>
        </is>
      </c>
      <c r="D984" s="30" t="inlineStr">
        <is>
          <t>Operator of a communications technology company. The company is engaged in designing and developing applications, websites and interactive marketing campaigns. It also develops games for mobile devices.</t>
        </is>
      </c>
      <c r="E984" s="31" t="inlineStr">
        <is>
          <t>Application Software</t>
        </is>
      </c>
      <c r="F984" s="32" t="inlineStr">
        <is>
          <t>Los Angeles, CA</t>
        </is>
      </c>
      <c r="G984" s="33" t="inlineStr">
        <is>
          <t>Privately Held (backing)</t>
        </is>
      </c>
      <c r="H984" s="34" t="inlineStr">
        <is>
          <t>Venture Capital-Backed</t>
        </is>
      </c>
      <c r="I984" s="35" t="inlineStr">
        <is>
          <t>Qualcomm Ventures</t>
        </is>
      </c>
      <c r="J984" s="36" t="inlineStr">
        <is>
          <t>www.triggerglobal.com</t>
        </is>
      </c>
      <c r="K984" s="37" t="inlineStr">
        <is>
          <t>info@triggerglobal.com</t>
        </is>
      </c>
      <c r="L984" s="38" t="inlineStr">
        <is>
          <t>+1 (310) 921-7070</t>
        </is>
      </c>
      <c r="M984" s="39" t="inlineStr">
        <is>
          <t>Carlo Decena</t>
        </is>
      </c>
      <c r="N984" s="40" t="inlineStr">
        <is>
          <t>Vice President, Finance</t>
        </is>
      </c>
      <c r="O984" s="41" t="inlineStr">
        <is>
          <t>carlo.decena@triggerglobal.com</t>
        </is>
      </c>
      <c r="P984" s="42" t="inlineStr">
        <is>
          <t>+1 (310) 921-7070</t>
        </is>
      </c>
      <c r="Q984" s="43" t="n">
        <v>2005.0</v>
      </c>
      <c r="R984" s="114">
        <f>HYPERLINK("https://my.pitchbook.com?c=61504-66", "View company online")</f>
      </c>
    </row>
    <row r="985">
      <c r="A985" s="9" t="inlineStr">
        <is>
          <t>51750-64</t>
        </is>
      </c>
      <c r="B985" s="10" t="inlineStr">
        <is>
          <t>Trigger</t>
        </is>
      </c>
      <c r="C985" s="11" t="inlineStr">
        <is>
          <t>94155</t>
        </is>
      </c>
      <c r="D985" s="12" t="inlineStr">
        <is>
          <t>Provider of an application building software. The company offers a cross-platform mobile development framework enabling Web developers to create mobile applications.</t>
        </is>
      </c>
      <c r="E985" s="13" t="inlineStr">
        <is>
          <t>Software Development Applications</t>
        </is>
      </c>
      <c r="F985" s="14" t="inlineStr">
        <is>
          <t>San Francisco, CA</t>
        </is>
      </c>
      <c r="G985" s="15" t="inlineStr">
        <is>
          <t>Privately Held (backing)</t>
        </is>
      </c>
      <c r="H985" s="16" t="inlineStr">
        <is>
          <t>Venture Capital-Backed</t>
        </is>
      </c>
      <c r="I985" s="17" t="inlineStr">
        <is>
          <t>500 Startups, Adam Schwartz, Boox, David Cummings, Individual Investor, John Taysom, Jonathan Siegel, Lance White, Matt Cutts, Maurice Werdegar, Mehrdad Piroozram, Nexus Private Equity Partners, Paul Graham, Right Ventures, Robin Klein, Russ Siegelmann, Russell Siegelman, Stage One Capital, Steven Walske, SV Angel, The Acceleration Group, Ullas Naik, Venture51, Y Combinator</t>
        </is>
      </c>
      <c r="J985" s="18" t="inlineStr">
        <is>
          <t>www.trigger.io</t>
        </is>
      </c>
      <c r="K985" s="19" t="inlineStr">
        <is>
          <t/>
        </is>
      </c>
      <c r="L985" s="20" t="inlineStr">
        <is>
          <t/>
        </is>
      </c>
      <c r="M985" s="21" t="inlineStr">
        <is>
          <t>Amir Nathoo</t>
        </is>
      </c>
      <c r="N985" s="22" t="inlineStr">
        <is>
          <t>Director &amp; Co-Founder</t>
        </is>
      </c>
      <c r="O985" s="23" t="inlineStr">
        <is>
          <t>amir@trigger.io</t>
        </is>
      </c>
      <c r="P985" s="24" t="inlineStr">
        <is>
          <t/>
        </is>
      </c>
      <c r="Q985" s="25" t="inlineStr">
        <is>
          <t/>
        </is>
      </c>
      <c r="R985" s="113">
        <f>HYPERLINK("https://my.pitchbook.com?c=51750-64", "View company online")</f>
      </c>
    </row>
    <row r="986">
      <c r="A986" s="27" t="inlineStr">
        <is>
          <t>60164-74</t>
        </is>
      </c>
      <c r="B986" s="28" t="inlineStr">
        <is>
          <t>Trigence Semiconductor</t>
        </is>
      </c>
      <c r="C986" s="29" t="inlineStr">
        <is>
          <t>101-0021</t>
        </is>
      </c>
      <c r="D986" s="30" t="inlineStr">
        <is>
          <t>Developer of audio technology that delivers audio quality to consumer electronics. The company specializes in technology that converts analog signals and digital signals.</t>
        </is>
      </c>
      <c r="E986" s="31" t="inlineStr">
        <is>
          <t>Electronics (B2C)</t>
        </is>
      </c>
      <c r="F986" s="32" t="inlineStr">
        <is>
          <t>Chiyoda-ku, Japan</t>
        </is>
      </c>
      <c r="G986" s="33" t="inlineStr">
        <is>
          <t>Privately Held (backing)</t>
        </is>
      </c>
      <c r="H986" s="34" t="inlineStr">
        <is>
          <t>Venture Capital-Backed</t>
        </is>
      </c>
      <c r="I986" s="35" t="inlineStr">
        <is>
          <t>Innovation Network Corporation of Japan, Intel Capital, Nittoku Engineering, TDK Systems</t>
        </is>
      </c>
      <c r="J986" s="36" t="inlineStr">
        <is>
          <t>www.trigence.com</t>
        </is>
      </c>
      <c r="K986" s="37" t="inlineStr">
        <is>
          <t/>
        </is>
      </c>
      <c r="L986" s="38" t="inlineStr">
        <is>
          <t>+81 (0)33 525 4435</t>
        </is>
      </c>
      <c r="M986" s="39" t="inlineStr">
        <is>
          <t>Jun-ichi Okamura</t>
        </is>
      </c>
      <c r="N986" s="40" t="inlineStr">
        <is>
          <t>Cheif Executive Officer, Executive Vice President, Director, Co-Founder &amp; Partner</t>
        </is>
      </c>
      <c r="O986" s="41" t="inlineStr">
        <is>
          <t>okamura@trigence.com</t>
        </is>
      </c>
      <c r="P986" s="42" t="inlineStr">
        <is>
          <t>+81 (0)33 525 4435</t>
        </is>
      </c>
      <c r="Q986" s="43" t="n">
        <v>2006.0</v>
      </c>
      <c r="R986" s="114">
        <f>HYPERLINK("https://my.pitchbook.com?c=60164-74", "View company online")</f>
      </c>
    </row>
    <row r="987">
      <c r="A987" s="9" t="inlineStr">
        <is>
          <t>57570-94</t>
        </is>
      </c>
      <c r="B987" s="10" t="inlineStr">
        <is>
          <t>Trigemina</t>
        </is>
      </c>
      <c r="C987" s="11" t="inlineStr">
        <is>
          <t>94556</t>
        </is>
      </c>
      <c r="D987" s="12" t="inlineStr">
        <is>
          <t>Developer of non-narcotic analgesic drug products. The company develops non-opiate drug formulations and delivery systems for pain therapy. It delivers its drug products through nasal-cerebral pathway.</t>
        </is>
      </c>
      <c r="E987" s="13" t="inlineStr">
        <is>
          <t>Drug Discovery</t>
        </is>
      </c>
      <c r="F987" s="14" t="inlineStr">
        <is>
          <t>Moraga, CA</t>
        </is>
      </c>
      <c r="G987" s="15" t="inlineStr">
        <is>
          <t>Privately Held (backing)</t>
        </is>
      </c>
      <c r="H987" s="16" t="inlineStr">
        <is>
          <t>Venture Capital-Backed</t>
        </is>
      </c>
      <c r="I987" s="17" t="inlineStr">
        <is>
          <t>Arrow Hedge Partners, Aurus Gestion de Inversiones, CORFO, U.S. Department of Health and Human Services</t>
        </is>
      </c>
      <c r="J987" s="18" t="inlineStr">
        <is>
          <t>www.trigemina.com</t>
        </is>
      </c>
      <c r="K987" s="19" t="inlineStr">
        <is>
          <t>info@trigemina.com</t>
        </is>
      </c>
      <c r="L987" s="20" t="inlineStr">
        <is>
          <t>+1 (925) 377-0664</t>
        </is>
      </c>
      <c r="M987" s="21" t="inlineStr">
        <is>
          <t>Michael Leonard</t>
        </is>
      </c>
      <c r="N987" s="22" t="inlineStr">
        <is>
          <t>Chief Financial Officer &amp; Chief Operating Officer</t>
        </is>
      </c>
      <c r="O987" s="23" t="inlineStr">
        <is>
          <t>mleonard@trigemina.com</t>
        </is>
      </c>
      <c r="P987" s="24" t="inlineStr">
        <is>
          <t>+1 (650) 303-6140</t>
        </is>
      </c>
      <c r="Q987" s="25" t="n">
        <v>2006.0</v>
      </c>
      <c r="R987" s="113">
        <f>HYPERLINK("https://my.pitchbook.com?c=57570-94", "View company online")</f>
      </c>
    </row>
    <row r="988">
      <c r="A988" s="27" t="inlineStr">
        <is>
          <t>55369-99</t>
        </is>
      </c>
      <c r="B988" s="28" t="inlineStr">
        <is>
          <t>Trifacta</t>
        </is>
      </c>
      <c r="C988" s="29" t="inlineStr">
        <is>
          <t>94105</t>
        </is>
      </c>
      <c r="D988" s="30" t="inlineStr">
        <is>
          <t>Provider of productivity platforms for data analysis. The company provides a platform designed to give non-technical people the ability to transform raw data into actionable form whether for immediate insights or for use in analysis tools.</t>
        </is>
      </c>
      <c r="E988" s="31" t="inlineStr">
        <is>
          <t>Database Software</t>
        </is>
      </c>
      <c r="F988" s="32" t="inlineStr">
        <is>
          <t>San Francisco, CA</t>
        </is>
      </c>
      <c r="G988" s="33" t="inlineStr">
        <is>
          <t>Privately Held (backing)</t>
        </is>
      </c>
      <c r="H988" s="34" t="inlineStr">
        <is>
          <t>Venture Capital-Backed</t>
        </is>
      </c>
      <c r="I988" s="35" t="inlineStr">
        <is>
          <t>Accel, Anand Rajaraman, Cathay Capital Private Equity, Data Collective, Dave Goldberg, Greylock Partners, IDG Ventures USA, Ignition Venture Partners, Infosys, Milliways Ventures, TriplePoint Capital, Venkatesh Harinarayan, XSeed Capital</t>
        </is>
      </c>
      <c r="J988" s="36" t="inlineStr">
        <is>
          <t>www.trifacta.com</t>
        </is>
      </c>
      <c r="K988" s="37" t="inlineStr">
        <is>
          <t>info@trifacta.com</t>
        </is>
      </c>
      <c r="L988" s="38" t="inlineStr">
        <is>
          <t>+1 (844) 332-2821</t>
        </is>
      </c>
      <c r="M988" s="39" t="inlineStr">
        <is>
          <t>Adam Wilson</t>
        </is>
      </c>
      <c r="N988" s="40" t="inlineStr">
        <is>
          <t>Chief Executive Officer &amp; Board Member</t>
        </is>
      </c>
      <c r="O988" s="41" t="inlineStr">
        <is>
          <t>adam@trifacta.com</t>
        </is>
      </c>
      <c r="P988" s="42" t="inlineStr">
        <is>
          <t>+1 (844) 332-2821</t>
        </is>
      </c>
      <c r="Q988" s="43" t="n">
        <v>2012.0</v>
      </c>
      <c r="R988" s="114">
        <f>HYPERLINK("https://my.pitchbook.com?c=55369-99", "View company online")</f>
      </c>
    </row>
    <row r="989">
      <c r="A989" s="9" t="inlineStr">
        <is>
          <t>90372-34</t>
        </is>
      </c>
      <c r="B989" s="10" t="inlineStr">
        <is>
          <t>Triductor</t>
        </is>
      </c>
      <c r="C989" s="11" t="inlineStr">
        <is>
          <t>215021</t>
        </is>
      </c>
      <c r="D989" s="12" t="inlineStr">
        <is>
          <t>Provider of digital communication services. The company caters to the semiconductor industry and offers mixed-signal integrated circuits for broadband and digital communication infrastructure.</t>
        </is>
      </c>
      <c r="E989" s="13" t="inlineStr">
        <is>
          <t>Cable Service Providers</t>
        </is>
      </c>
      <c r="F989" s="14" t="inlineStr">
        <is>
          <t>Jiangsu, China</t>
        </is>
      </c>
      <c r="G989" s="15" t="inlineStr">
        <is>
          <t>Privately Held (backing)</t>
        </is>
      </c>
      <c r="H989" s="16" t="inlineStr">
        <is>
          <t>Venture Capital-Backed</t>
        </is>
      </c>
      <c r="I989" s="17" t="inlineStr">
        <is>
          <t>China-Singapore Suzhou Industrial Park Ventures, Cowin Capital, Jun LI, Oriza Holdings, Riverwood Capital, Shenzhen Capital Group, Shenzhen Tongsheng Investment Fund</t>
        </is>
      </c>
      <c r="J989" s="18" t="inlineStr">
        <is>
          <t>www.triductor.com</t>
        </is>
      </c>
      <c r="K989" s="19" t="inlineStr">
        <is>
          <t>info@triductor.com</t>
        </is>
      </c>
      <c r="L989" s="20" t="inlineStr">
        <is>
          <t>+86 (0)512 6288 7395</t>
        </is>
      </c>
      <c r="M989" s="21" t="inlineStr">
        <is>
          <t>Yaolong Tan</t>
        </is>
      </c>
      <c r="N989" s="22" t="inlineStr">
        <is>
          <t>Co-Founder, President &amp; Co-Chief Executive Officer</t>
        </is>
      </c>
      <c r="O989" s="23" t="inlineStr">
        <is>
          <t>yaolong@triductor.com</t>
        </is>
      </c>
      <c r="P989" s="24" t="inlineStr">
        <is>
          <t>+86 (0)512 6288 7395</t>
        </is>
      </c>
      <c r="Q989" s="25" t="n">
        <v>2005.0</v>
      </c>
      <c r="R989" s="113">
        <f>HYPERLINK("https://my.pitchbook.com?c=90372-34", "View company online")</f>
      </c>
    </row>
    <row r="990">
      <c r="A990" s="27" t="inlineStr">
        <is>
          <t>177891-67</t>
        </is>
      </c>
      <c r="B990" s="28" t="inlineStr">
        <is>
          <t>TRI-D Systems</t>
        </is>
      </c>
      <c r="C990" s="86">
        <f>HYPERLINK("https://my.pitchbook.com?rrp=177891-67&amp;type=c", "This Company's information is not available to download. Need this Company? Request availability")</f>
      </c>
      <c r="D990" s="30" t="inlineStr">
        <is>
          <t/>
        </is>
      </c>
      <c r="E990" s="31" t="inlineStr">
        <is>
          <t/>
        </is>
      </c>
      <c r="F990" s="32" t="inlineStr">
        <is>
          <t/>
        </is>
      </c>
      <c r="G990" s="33" t="inlineStr">
        <is>
          <t/>
        </is>
      </c>
      <c r="H990" s="34" t="inlineStr">
        <is>
          <t/>
        </is>
      </c>
      <c r="I990" s="35" t="inlineStr">
        <is>
          <t/>
        </is>
      </c>
      <c r="J990" s="36" t="inlineStr">
        <is>
          <t/>
        </is>
      </c>
      <c r="K990" s="37" t="inlineStr">
        <is>
          <t/>
        </is>
      </c>
      <c r="L990" s="38" t="inlineStr">
        <is>
          <t/>
        </is>
      </c>
      <c r="M990" s="39" t="inlineStr">
        <is>
          <t/>
        </is>
      </c>
      <c r="N990" s="40" t="inlineStr">
        <is>
          <t/>
        </is>
      </c>
      <c r="O990" s="41" t="inlineStr">
        <is>
          <t/>
        </is>
      </c>
      <c r="P990" s="42" t="inlineStr">
        <is>
          <t/>
        </is>
      </c>
      <c r="Q990" s="43" t="inlineStr">
        <is>
          <t/>
        </is>
      </c>
      <c r="R990" s="44" t="inlineStr">
        <is>
          <t/>
        </is>
      </c>
    </row>
    <row r="991">
      <c r="A991" s="9" t="inlineStr">
        <is>
          <t>61312-96</t>
        </is>
      </c>
      <c r="B991" s="10" t="inlineStr">
        <is>
          <t>Tricida</t>
        </is>
      </c>
      <c r="C991" s="11" t="inlineStr">
        <is>
          <t>94080</t>
        </is>
      </c>
      <c r="D991" s="12" t="inlineStr">
        <is>
          <t>Operator of a bio-pharmaceutical company. The company focuses on discovery and development of first-in-class chronic therapies for patients with chronic kidney disease.</t>
        </is>
      </c>
      <c r="E991" s="13" t="inlineStr">
        <is>
          <t>Drug Discovery</t>
        </is>
      </c>
      <c r="F991" s="14" t="inlineStr">
        <is>
          <t>South San Francisco, CA</t>
        </is>
      </c>
      <c r="G991" s="15" t="inlineStr">
        <is>
          <t>Privately Held (backing)</t>
        </is>
      </c>
      <c r="H991" s="16" t="inlineStr">
        <is>
          <t>Venture Capital-Backed</t>
        </is>
      </c>
      <c r="I991" s="17" t="inlineStr">
        <is>
          <t>Limulus Venture Partners, Longitude Capital, OrbiMed, Sibling Capital Ventures, Vivo Capital</t>
        </is>
      </c>
      <c r="J991" s="18" t="inlineStr">
        <is>
          <t>www.tricida.com</t>
        </is>
      </c>
      <c r="K991" s="19" t="inlineStr">
        <is>
          <t>info@tricida.com</t>
        </is>
      </c>
      <c r="L991" s="20" t="inlineStr">
        <is>
          <t>+1 (415) 429-7800</t>
        </is>
      </c>
      <c r="M991" s="21" t="inlineStr">
        <is>
          <t>Gerrit Klaerner</t>
        </is>
      </c>
      <c r="N991" s="22" t="inlineStr">
        <is>
          <t>Chief Executive Officer, President and Board of Director</t>
        </is>
      </c>
      <c r="O991" s="23" t="inlineStr">
        <is>
          <t>gklaerner@tricida.com</t>
        </is>
      </c>
      <c r="P991" s="24" t="inlineStr">
        <is>
          <t>+1 (415) 429-7800</t>
        </is>
      </c>
      <c r="Q991" s="25" t="n">
        <v>2013.0</v>
      </c>
      <c r="R991" s="113">
        <f>HYPERLINK("https://my.pitchbook.com?c=61312-96", "View company online")</f>
      </c>
    </row>
    <row r="992">
      <c r="A992" s="27" t="inlineStr">
        <is>
          <t>58653-37</t>
        </is>
      </c>
      <c r="B992" s="28" t="inlineStr">
        <is>
          <t>Tricentis</t>
        </is>
      </c>
      <c r="C992" s="29" t="inlineStr">
        <is>
          <t>1220</t>
        </is>
      </c>
      <c r="D992" s="30" t="inlineStr">
        <is>
          <t>Provider of software testing tools designed to accelerate business innovation with peace of mind. The company's integrated software testing tools consists of a unique model-based test automation and test case design approach, encompassing risk-based testing, test data management and provisioning, service virtualization enabling its customers to deliver significant performance improvements to testing projects.</t>
        </is>
      </c>
      <c r="E992" s="31" t="inlineStr">
        <is>
          <t>Application Software</t>
        </is>
      </c>
      <c r="F992" s="32" t="inlineStr">
        <is>
          <t>Vienna, Austria</t>
        </is>
      </c>
      <c r="G992" s="33" t="inlineStr">
        <is>
          <t>Privately Held (backing)</t>
        </is>
      </c>
      <c r="H992" s="34" t="inlineStr">
        <is>
          <t>Venture Capital-Backed</t>
        </is>
      </c>
      <c r="I992" s="35" t="inlineStr">
        <is>
          <t>Insight Venture Partners</t>
        </is>
      </c>
      <c r="J992" s="36" t="inlineStr">
        <is>
          <t>www.tricentis.com</t>
        </is>
      </c>
      <c r="K992" s="37" t="inlineStr">
        <is>
          <t>office@tricentis.com</t>
        </is>
      </c>
      <c r="L992" s="38" t="inlineStr">
        <is>
          <t>+43 (0)1 263 2409 0</t>
        </is>
      </c>
      <c r="M992" s="39" t="inlineStr">
        <is>
          <t>Johannes Kornitzer</t>
        </is>
      </c>
      <c r="N992" s="40" t="inlineStr">
        <is>
          <t>Chief Financial Officer</t>
        </is>
      </c>
      <c r="O992" s="41" t="inlineStr">
        <is>
          <t>j.kornitzer@tricentis.com</t>
        </is>
      </c>
      <c r="P992" s="42" t="inlineStr">
        <is>
          <t>+43 (0)1 263 2409 0</t>
        </is>
      </c>
      <c r="Q992" s="43" t="n">
        <v>2007.0</v>
      </c>
      <c r="R992" s="114">
        <f>HYPERLINK("https://my.pitchbook.com?c=58653-37", "View company online")</f>
      </c>
    </row>
    <row r="993">
      <c r="A993" s="9" t="inlineStr">
        <is>
          <t>53451-55</t>
        </is>
      </c>
      <c r="B993" s="10" t="inlineStr">
        <is>
          <t>Tribogenics</t>
        </is>
      </c>
      <c r="C993" s="11" t="inlineStr">
        <is>
          <t>90066</t>
        </is>
      </c>
      <c r="D993" s="12" t="inlineStr">
        <is>
          <t>Provider of portable X-ray technology. The company is developing low-cost, miniature X-ray devices with applications for the mining, industrial, military and medical imaging markets.</t>
        </is>
      </c>
      <c r="E993" s="13" t="inlineStr">
        <is>
          <t>Other Healthcare Technology Systems</t>
        </is>
      </c>
      <c r="F993" s="14" t="inlineStr">
        <is>
          <t>Los Angeles, CA</t>
        </is>
      </c>
      <c r="G993" s="15" t="inlineStr">
        <is>
          <t>Privately Held (backing)</t>
        </is>
      </c>
      <c r="H993" s="16" t="inlineStr">
        <is>
          <t>Venture Capital-Backed</t>
        </is>
      </c>
      <c r="I993" s="17" t="inlineStr">
        <is>
          <t>1&amp;12 Investment Partners, Flywheel Ventures, Founders Fund, Maneesh Goyal, Nikon, Peter Diamandis, Seraph Group, Struck Capital, Synergy Ventures, The UCLA Venture Capital Fund, WTI</t>
        </is>
      </c>
      <c r="J993" s="18" t="inlineStr">
        <is>
          <t>www.tribogenics.com</t>
        </is>
      </c>
      <c r="K993" s="19" t="inlineStr">
        <is>
          <t>info@tribogenics.com</t>
        </is>
      </c>
      <c r="L993" s="20" t="inlineStr">
        <is>
          <t>+1 (858) 971-9123</t>
        </is>
      </c>
      <c r="M993" s="21" t="inlineStr">
        <is>
          <t>Dale Fox</t>
        </is>
      </c>
      <c r="N993" s="22" t="inlineStr">
        <is>
          <t>Co-Founder &amp; Chief Executive Officer</t>
        </is>
      </c>
      <c r="O993" s="23" t="inlineStr">
        <is>
          <t>dale@tribogenics.com</t>
        </is>
      </c>
      <c r="P993" s="24" t="inlineStr">
        <is>
          <t>+1 (858) 971-9123</t>
        </is>
      </c>
      <c r="Q993" s="25" t="n">
        <v>2009.0</v>
      </c>
      <c r="R993" s="113">
        <f>HYPERLINK("https://my.pitchbook.com?c=53451-55", "View company online")</f>
      </c>
    </row>
    <row r="994">
      <c r="A994" s="27" t="inlineStr">
        <is>
          <t>94446-28</t>
        </is>
      </c>
      <c r="B994" s="28" t="inlineStr">
        <is>
          <t>Tribe Dynamics</t>
        </is>
      </c>
      <c r="C994" s="29" t="inlineStr">
        <is>
          <t>94105</t>
        </is>
      </c>
      <c r="D994" s="30" t="inlineStr">
        <is>
          <t>Provider of data and analytics services intended to provide enterprise-class marketing technology to small, large, for profit, and non-profit businesses. The company's proprietary data and digital expertise stretch across software, competitive reporting, and marketing strategy, providing customers with a tailor-made strategy to increase brand awareness and revenue.</t>
        </is>
      </c>
      <c r="E994" s="31" t="inlineStr">
        <is>
          <t>Consulting Services (B2B)</t>
        </is>
      </c>
      <c r="F994" s="32" t="inlineStr">
        <is>
          <t>San Francisco, CA</t>
        </is>
      </c>
      <c r="G994" s="33" t="inlineStr">
        <is>
          <t>Privately Held (backing)</t>
        </is>
      </c>
      <c r="H994" s="34" t="inlineStr">
        <is>
          <t>Venture Capital-Backed</t>
        </is>
      </c>
      <c r="I994" s="35" t="inlineStr">
        <is>
          <t>DGNL Ventures</t>
        </is>
      </c>
      <c r="J994" s="36" t="inlineStr">
        <is>
          <t>www.tribedynamics.com</t>
        </is>
      </c>
      <c r="K994" s="37" t="inlineStr">
        <is>
          <t/>
        </is>
      </c>
      <c r="L994" s="38" t="inlineStr">
        <is>
          <t>+1 (415) 562-5561</t>
        </is>
      </c>
      <c r="M994" s="39" t="inlineStr">
        <is>
          <t>Brit McCorquodale</t>
        </is>
      </c>
      <c r="N994" s="40" t="inlineStr">
        <is>
          <t>Director, Marketing</t>
        </is>
      </c>
      <c r="O994" s="41" t="inlineStr">
        <is>
          <t>brit.mccorquodale@tribedynamics.com</t>
        </is>
      </c>
      <c r="P994" s="42" t="inlineStr">
        <is>
          <t>+1 (415) 562-5561</t>
        </is>
      </c>
      <c r="Q994" s="43" t="n">
        <v>2012.0</v>
      </c>
      <c r="R994" s="114">
        <f>HYPERLINK("https://my.pitchbook.com?c=94446-28", "View company online")</f>
      </c>
    </row>
    <row r="995">
      <c r="A995" s="9" t="inlineStr">
        <is>
          <t>110726-38</t>
        </is>
      </c>
      <c r="B995" s="10" t="inlineStr">
        <is>
          <t>Tribe</t>
        </is>
      </c>
      <c r="C995" s="11" t="inlineStr">
        <is>
          <t/>
        </is>
      </c>
      <c r="D995" s="12" t="inlineStr">
        <is>
          <t>Developer of a video group messaging application. The company provides a mobile application to contact people in the phone contact list through a video chat, text or through a voice message. It also provides photo sharing and content sharing facilities.</t>
        </is>
      </c>
      <c r="E995" s="13" t="inlineStr">
        <is>
          <t>Social/Platform Software</t>
        </is>
      </c>
      <c r="F995" s="14" t="inlineStr">
        <is>
          <t>San Francisco, CA</t>
        </is>
      </c>
      <c r="G995" s="15" t="inlineStr">
        <is>
          <t>Privately Held (backing)</t>
        </is>
      </c>
      <c r="H995" s="16" t="inlineStr">
        <is>
          <t>Venture Capital-Backed</t>
        </is>
      </c>
      <c r="I995" s="17" t="inlineStr">
        <is>
          <t>Kima Ventures, Ludlow Ventures, Partech Ventures, Sean Combs, Seed4Equity, Sequoia Capital</t>
        </is>
      </c>
      <c r="J995" s="18" t="inlineStr">
        <is>
          <t>www.tribe.pm</t>
        </is>
      </c>
      <c r="K995" s="19" t="inlineStr">
        <is>
          <t/>
        </is>
      </c>
      <c r="L995" s="20" t="inlineStr">
        <is>
          <t/>
        </is>
      </c>
      <c r="M995" s="21" t="inlineStr">
        <is>
          <t>Cyril Paglino</t>
        </is>
      </c>
      <c r="N995" s="22" t="inlineStr">
        <is>
          <t>Co-Founder &amp; Chief Executive Officer</t>
        </is>
      </c>
      <c r="O995" s="23" t="inlineStr">
        <is>
          <t>cyril@tribe.pm</t>
        </is>
      </c>
      <c r="P995" s="24" t="inlineStr">
        <is>
          <t/>
        </is>
      </c>
      <c r="Q995" s="25" t="inlineStr">
        <is>
          <t/>
        </is>
      </c>
      <c r="R995" s="113">
        <f>HYPERLINK("https://my.pitchbook.com?c=110726-38", "View company online")</f>
      </c>
    </row>
    <row r="996">
      <c r="A996" s="27" t="inlineStr">
        <is>
          <t>52115-50</t>
        </is>
      </c>
      <c r="B996" s="28" t="inlineStr">
        <is>
          <t>Tria Beauty</t>
        </is>
      </c>
      <c r="C996" s="29" t="inlineStr">
        <is>
          <t>94568</t>
        </is>
      </c>
      <c r="D996" s="30" t="inlineStr">
        <is>
          <t>Developer of therapeutic beauty products and devices designed to transform skincare. The company's therapeutic beauty products and devices use diode-laser and light technology preferred by dermatologists for in-office treatments, enabling women to get professional results in the privacy and comfort of home and at a fraction of the cost.</t>
        </is>
      </c>
      <c r="E996" s="31" t="inlineStr">
        <is>
          <t>Electronics (B2C)</t>
        </is>
      </c>
      <c r="F996" s="32" t="inlineStr">
        <is>
          <t>Dublin, CA</t>
        </is>
      </c>
      <c r="G996" s="33" t="inlineStr">
        <is>
          <t>Privately Held (backing)</t>
        </is>
      </c>
      <c r="H996" s="34" t="inlineStr">
        <is>
          <t>Venture Capital-Backed</t>
        </is>
      </c>
      <c r="I996" s="35" t="inlineStr">
        <is>
          <t>Aisling Capital, AMOREPACIFIC Ventures, Athyrium Capital Management, De Novo Ventures, Global Venture Capital, Incubic Management, Morgan Stanley Investment Management, Nippon Venture Capital, SDL Ventures, Synergy Ventures, Technology Partners, Vivo Capital</t>
        </is>
      </c>
      <c r="J996" s="36" t="inlineStr">
        <is>
          <t>www.triabeauty.com</t>
        </is>
      </c>
      <c r="K996" s="37" t="inlineStr">
        <is>
          <t>customercare@triabeauty.com</t>
        </is>
      </c>
      <c r="L996" s="38" t="inlineStr">
        <is>
          <t>+1 (877) 321-8742</t>
        </is>
      </c>
      <c r="M996" s="39" t="inlineStr">
        <is>
          <t>Peter Wyles</t>
        </is>
      </c>
      <c r="N996" s="40" t="inlineStr">
        <is>
          <t>President, Chief Executive Officer and Board Member</t>
        </is>
      </c>
      <c r="O996" s="41" t="inlineStr">
        <is>
          <t>peter@triabeauty.com</t>
        </is>
      </c>
      <c r="P996" s="42" t="inlineStr">
        <is>
          <t>+1 (877) 321-8742</t>
        </is>
      </c>
      <c r="Q996" s="43" t="n">
        <v>2003.0</v>
      </c>
      <c r="R996" s="114">
        <f>HYPERLINK("https://my.pitchbook.com?c=52115-50", "View company online")</f>
      </c>
    </row>
    <row r="997">
      <c r="A997" s="9" t="inlineStr">
        <is>
          <t>63620-65</t>
        </is>
      </c>
      <c r="B997" s="10" t="inlineStr">
        <is>
          <t>Tri Alpha Energy</t>
        </is>
      </c>
      <c r="C997" s="11" t="inlineStr">
        <is>
          <t>92688-7010</t>
        </is>
      </c>
      <c r="D997" s="12" t="inlineStr">
        <is>
          <t>Developer of plasma fusion technologies designed to develop commercially competitive clean fusion energy as fast as possible. The company's plasma fusion technologies provide a virtually unlimited supply of baseload electricity from power plants that are carbon-free, safe and sustainable, enabling business to avail electricity at a cheaper rate.</t>
        </is>
      </c>
      <c r="E997" s="13" t="inlineStr">
        <is>
          <t>Energy Production</t>
        </is>
      </c>
      <c r="F997" s="14" t="inlineStr">
        <is>
          <t>Rancho Santa Margarita, CA</t>
        </is>
      </c>
      <c r="G997" s="15" t="inlineStr">
        <is>
          <t>Privately Held (backing)</t>
        </is>
      </c>
      <c r="H997" s="16" t="inlineStr">
        <is>
          <t>Venture Capital-Backed</t>
        </is>
      </c>
      <c r="I997" s="17" t="inlineStr">
        <is>
          <t>Big Sky Partners, Enel Latin America, Individual Investor, New Enterprise Associates, PIZ Signal, Rusnano, The Goldman Sachs Group, Venrock, Vulcan Capital</t>
        </is>
      </c>
      <c r="J997" s="18" t="inlineStr">
        <is>
          <t>www.trialphaenergy.com</t>
        </is>
      </c>
      <c r="K997" s="19" t="inlineStr">
        <is>
          <t>geriksson@trialphaenergy.com</t>
        </is>
      </c>
      <c r="L997" s="20" t="inlineStr">
        <is>
          <t>+1 (949) 830-2117</t>
        </is>
      </c>
      <c r="M997" s="21" t="inlineStr">
        <is>
          <t>David Ewing</t>
        </is>
      </c>
      <c r="N997" s="22" t="inlineStr">
        <is>
          <t>Chief Information Officer &amp; Senior Vice President, Communications</t>
        </is>
      </c>
      <c r="O997" s="23" t="inlineStr">
        <is>
          <t>david.ewing@trialphaenergy.com</t>
        </is>
      </c>
      <c r="P997" s="24" t="inlineStr">
        <is>
          <t>+1 (949) 830-2117</t>
        </is>
      </c>
      <c r="Q997" s="25" t="n">
        <v>1998.0</v>
      </c>
      <c r="R997" s="113">
        <f>HYPERLINK("https://my.pitchbook.com?c=63620-65", "View company online")</f>
      </c>
    </row>
    <row r="998">
      <c r="A998" s="27" t="inlineStr">
        <is>
          <t>153946-81</t>
        </is>
      </c>
      <c r="B998" s="28" t="inlineStr">
        <is>
          <t>TRG-Aston Martin Racing</t>
        </is>
      </c>
      <c r="C998" s="29" t="inlineStr">
        <is>
          <t>94954</t>
        </is>
      </c>
      <c r="D998" s="30" t="inlineStr">
        <is>
          <t>Operator of winning programs for motorsports company. The company operates the Aston Martin Racing sports car program in North America and races in the IMSA WeatherTech SportsCar Championship, Continental Tire SportsCar Challenge and Pirelli World Challenge. It also offers sponsorship, business networking and experiential marketing programs.</t>
        </is>
      </c>
      <c r="E998" s="31" t="inlineStr">
        <is>
          <t>Media and Information Services (B2B)</t>
        </is>
      </c>
      <c r="F998" s="32" t="inlineStr">
        <is>
          <t>Petaluma, CA</t>
        </is>
      </c>
      <c r="G998" s="33" t="inlineStr">
        <is>
          <t>Privately Held (backing)</t>
        </is>
      </c>
      <c r="H998" s="34" t="inlineStr">
        <is>
          <t>Venture Capital-Backed</t>
        </is>
      </c>
      <c r="I998" s="35" t="inlineStr">
        <is>
          <t>WestRiver Group</t>
        </is>
      </c>
      <c r="J998" s="36" t="inlineStr">
        <is>
          <t>www.theracersgroup.com</t>
        </is>
      </c>
      <c r="K998" s="37" t="inlineStr">
        <is>
          <t>info@trg-amr.com</t>
        </is>
      </c>
      <c r="L998" s="38" t="inlineStr">
        <is>
          <t>+1 (707) 935-3999</t>
        </is>
      </c>
      <c r="M998" s="39" t="inlineStr">
        <is>
          <t>Kevin Buckler</t>
        </is>
      </c>
      <c r="N998" s="40" t="inlineStr">
        <is>
          <t>Chief Executive Officer, Founder &amp; Co-Owner</t>
        </is>
      </c>
      <c r="O998" s="41" t="inlineStr">
        <is>
          <t>kevin@theracersgroup.com</t>
        </is>
      </c>
      <c r="P998" s="42" t="inlineStr">
        <is>
          <t>+1 (707) 935-3999</t>
        </is>
      </c>
      <c r="Q998" s="43" t="n">
        <v>2013.0</v>
      </c>
      <c r="R998" s="114">
        <f>HYPERLINK("https://my.pitchbook.com?c=153946-81", "View company online")</f>
      </c>
    </row>
    <row r="999">
      <c r="A999" s="9" t="inlineStr">
        <is>
          <t>125574-22</t>
        </is>
      </c>
      <c r="B999" s="10" t="inlineStr">
        <is>
          <t>T-Rex (Risk Analysis Tools)</t>
        </is>
      </c>
      <c r="C999" s="11" t="inlineStr">
        <is>
          <t>10001</t>
        </is>
      </c>
      <c r="D999" s="12" t="inlineStr">
        <is>
          <t>Provider of a finance based platform for investment in renewable energy. The company provides investors, asset managers, and developers with an enterprise SaaS-based analytics, risk, and portfolio management platform to efficiently finance, securitize, and manage their assets.</t>
        </is>
      </c>
      <c r="E999" s="13" t="inlineStr">
        <is>
          <t>Financial Software</t>
        </is>
      </c>
      <c r="F999" s="14" t="inlineStr">
        <is>
          <t>New York, NY</t>
        </is>
      </c>
      <c r="G999" s="15" t="inlineStr">
        <is>
          <t>Privately Held (backing)</t>
        </is>
      </c>
      <c r="H999" s="16" t="inlineStr">
        <is>
          <t>Venture Capital-Backed</t>
        </is>
      </c>
      <c r="I999" s="17" t="inlineStr">
        <is>
          <t>Clean Pacific Ventures, Energy Excelerator, FinTech Innovation Lab, Innogy Venture Capital, Partnership for New York City, Safeguard Scientifics, The Ecosystem Integrity Fund</t>
        </is>
      </c>
      <c r="J999" s="18" t="inlineStr">
        <is>
          <t>www.trexgroup.com</t>
        </is>
      </c>
      <c r="K999" s="19" t="inlineStr">
        <is>
          <t>it-admin@trexgroup.com</t>
        </is>
      </c>
      <c r="L999" s="20" t="inlineStr">
        <is>
          <t/>
        </is>
      </c>
      <c r="M999" s="21" t="inlineStr">
        <is>
          <t>Benjamin Cohen</t>
        </is>
      </c>
      <c r="N999" s="22" t="inlineStr">
        <is>
          <t>Founder, Chief Executive Officer, President &amp; Chairman</t>
        </is>
      </c>
      <c r="O999" s="23" t="inlineStr">
        <is>
          <t>benjamin.cohen@trexgroup.com</t>
        </is>
      </c>
      <c r="P999" s="24" t="inlineStr">
        <is>
          <t/>
        </is>
      </c>
      <c r="Q999" s="25" t="n">
        <v>2012.0</v>
      </c>
      <c r="R999" s="113">
        <f>HYPERLINK("https://my.pitchbook.com?c=125574-22", "View company online")</f>
      </c>
    </row>
    <row r="1000">
      <c r="A1000" s="27" t="inlineStr">
        <is>
          <t>151031-26</t>
        </is>
      </c>
      <c r="B1000" s="28" t="inlineStr">
        <is>
          <t>Trevalon</t>
        </is>
      </c>
      <c r="C1000" s="29" t="inlineStr">
        <is>
          <t>94954</t>
        </is>
      </c>
      <c r="D1000" s="30" t="inlineStr">
        <is>
          <t>Developer of a network server accelerator software. The company's products streamline CPU task, bandwidth allocation and connection management of web servers.</t>
        </is>
      </c>
      <c r="E1000" s="31" t="inlineStr">
        <is>
          <t>Electronic Components</t>
        </is>
      </c>
      <c r="F1000" s="32" t="inlineStr">
        <is>
          <t>Petaluma, CA</t>
        </is>
      </c>
      <c r="G1000" s="33" t="inlineStr">
        <is>
          <t>Privately Held (backing)</t>
        </is>
      </c>
      <c r="H1000" s="34" t="inlineStr">
        <is>
          <t>Venture Capital-Backed</t>
        </is>
      </c>
      <c r="I1000" s="35" t="inlineStr">
        <is>
          <t>eFund, Nexit Ventures, Staenberg Venture Partners, VSP Capital</t>
        </is>
      </c>
      <c r="J1000" s="36" t="inlineStr">
        <is>
          <t>www.trevalon.com</t>
        </is>
      </c>
      <c r="K1000" s="37" t="inlineStr">
        <is>
          <t>info@trevalon.com</t>
        </is>
      </c>
      <c r="L1000" s="38" t="inlineStr">
        <is>
          <t>+1 (877) 693-4892</t>
        </is>
      </c>
      <c r="M1000" s="39" t="inlineStr">
        <is>
          <t>Kevin O'Lone</t>
        </is>
      </c>
      <c r="N1000" s="40" t="inlineStr">
        <is>
          <t>Founder &amp; Chief Operating Officer &amp; Vice President of Marketing</t>
        </is>
      </c>
      <c r="O1000" s="41" t="inlineStr">
        <is>
          <t/>
        </is>
      </c>
      <c r="P1000" s="42" t="inlineStr">
        <is>
          <t>+1 (877) 693-4892</t>
        </is>
      </c>
      <c r="Q1000" s="43" t="n">
        <v>2000.0</v>
      </c>
      <c r="R1000" s="114">
        <f>HYPERLINK("https://my.pitchbook.com?c=151031-26", "View company online")</f>
      </c>
    </row>
    <row r="1001">
      <c r="A1001" s="9" t="inlineStr">
        <is>
          <t>172755-46</t>
        </is>
      </c>
      <c r="B1001" s="10" t="inlineStr">
        <is>
          <t>Trethera</t>
        </is>
      </c>
      <c r="C1001" s="11" t="inlineStr">
        <is>
          <t>90403</t>
        </is>
      </c>
      <c r="D1001" s="12" t="inlineStr">
        <is>
          <t>Developer of innovative small molecules designed to control DNA replication. The company develops an innovative small molecules that precisely control DNA replication and integrity for the treatment of malignant diseases and spans the interface between the several metabolic pathways that control the production of nucleic acids and the signal transduction pathways, enabling cells to adapt to replication stress and DNA damage repair.</t>
        </is>
      </c>
      <c r="E1001" s="13" t="inlineStr">
        <is>
          <t>Other Healthcare Technology Systems</t>
        </is>
      </c>
      <c r="F1001" s="14" t="inlineStr">
        <is>
          <t>Santa Monica, CA</t>
        </is>
      </c>
      <c r="G1001" s="15" t="inlineStr">
        <is>
          <t>Privately Held (backing)</t>
        </is>
      </c>
      <c r="H1001" s="16" t="inlineStr">
        <is>
          <t>Venture Capital-Backed</t>
        </is>
      </c>
      <c r="I1001" s="17" t="inlineStr">
        <is>
          <t/>
        </is>
      </c>
      <c r="J1001" s="18" t="inlineStr">
        <is>
          <t>trethera.com</t>
        </is>
      </c>
      <c r="K1001" s="19" t="inlineStr">
        <is>
          <t>info@trethera.com</t>
        </is>
      </c>
      <c r="L1001" s="20" t="inlineStr">
        <is>
          <t>+1 (310) 997-2788</t>
        </is>
      </c>
      <c r="M1001" s="21" t="inlineStr">
        <is>
          <t>Lynne Rollins</t>
        </is>
      </c>
      <c r="N1001" s="22" t="inlineStr">
        <is>
          <t>Chief Financial Officer</t>
        </is>
      </c>
      <c r="O1001" s="23" t="inlineStr">
        <is>
          <t/>
        </is>
      </c>
      <c r="P1001" s="24" t="inlineStr">
        <is>
          <t>+1 (310) 997-2788</t>
        </is>
      </c>
      <c r="Q1001" s="25" t="n">
        <v>2013.0</v>
      </c>
      <c r="R1001" s="113">
        <f>HYPERLINK("https://my.pitchbook.com?c=172755-46", "View company online")</f>
      </c>
    </row>
    <row r="1002">
      <c r="A1002" s="27" t="inlineStr">
        <is>
          <t>54861-40</t>
        </is>
      </c>
      <c r="B1002" s="28" t="inlineStr">
        <is>
          <t>TreSensa</t>
        </is>
      </c>
      <c r="C1002" s="29" t="inlineStr">
        <is>
          <t>10016</t>
        </is>
      </c>
      <c r="D1002" s="30" t="inlineStr">
        <is>
          <t>Developer of a cross platform gaming technology. The company develops mobile based single and multiplayer social games.</t>
        </is>
      </c>
      <c r="E1002" s="31" t="inlineStr">
        <is>
          <t>Entertainment Software</t>
        </is>
      </c>
      <c r="F1002" s="32" t="inlineStr">
        <is>
          <t>New York, NY</t>
        </is>
      </c>
      <c r="G1002" s="33" t="inlineStr">
        <is>
          <t>Privately Held (backing)</t>
        </is>
      </c>
      <c r="H1002" s="34" t="inlineStr">
        <is>
          <t>Venture Capital-Backed</t>
        </is>
      </c>
      <c r="I1002" s="35" t="inlineStr">
        <is>
          <t>Andrew Reis, Benjamin Barokas, Caribou Asset Management, David Pecker, Edward Zimmerman, Grape Arbor VC, Individual Investor, Jason Glickman, SamStella</t>
        </is>
      </c>
      <c r="J1002" s="36" t="inlineStr">
        <is>
          <t>www.tresensa.com</t>
        </is>
      </c>
      <c r="K1002" s="37" t="inlineStr">
        <is>
          <t>info@tresensa.com</t>
        </is>
      </c>
      <c r="L1002" s="38" t="inlineStr">
        <is>
          <t>+1 (646) 481-9571</t>
        </is>
      </c>
      <c r="M1002" s="39" t="inlineStr">
        <is>
          <t>Robert Grossberg</t>
        </is>
      </c>
      <c r="N1002" s="40" t="inlineStr">
        <is>
          <t>Director, Co-Founder &amp; Chief Executive Officer</t>
        </is>
      </c>
      <c r="O1002" s="41" t="inlineStr">
        <is>
          <t>robert@tresensa.com</t>
        </is>
      </c>
      <c r="P1002" s="42" t="inlineStr">
        <is>
          <t>+1 (646) 481-9571</t>
        </is>
      </c>
      <c r="Q1002" s="43" t="n">
        <v>2011.0</v>
      </c>
      <c r="R1002" s="114">
        <f>HYPERLINK("https://my.pitchbook.com?c=54861-40", "View company online")</f>
      </c>
    </row>
    <row r="1003">
      <c r="A1003" s="9" t="inlineStr">
        <is>
          <t>89231-68</t>
        </is>
      </c>
      <c r="B1003" s="10" t="inlineStr">
        <is>
          <t>TrepScore</t>
        </is>
      </c>
      <c r="C1003" s="11" t="inlineStr">
        <is>
          <t>90401</t>
        </is>
      </c>
      <c r="D1003" s="12" t="inlineStr">
        <is>
          <t>Provider of a data management software for startup founders. The company provides an online platform that integrates data from any cloud-based software, organizes critical business documents and provides actionable content about best practices.</t>
        </is>
      </c>
      <c r="E1003" s="13" t="inlineStr">
        <is>
          <t>Database Software</t>
        </is>
      </c>
      <c r="F1003" s="14" t="inlineStr">
        <is>
          <t>Santa Monica, CA</t>
        </is>
      </c>
      <c r="G1003" s="15" t="inlineStr">
        <is>
          <t>Privately Held (backing)</t>
        </is>
      </c>
      <c r="H1003" s="16" t="inlineStr">
        <is>
          <t>Venture Capital-Backed</t>
        </is>
      </c>
      <c r="I1003" s="17" t="inlineStr">
        <is>
          <t>Business Rockstars, Hannalu Ventures, Individual Investor, Techstars</t>
        </is>
      </c>
      <c r="J1003" s="18" t="inlineStr">
        <is>
          <t>www.trepscore.com</t>
        </is>
      </c>
      <c r="K1003" s="19" t="inlineStr">
        <is>
          <t>info@trepscore.com</t>
        </is>
      </c>
      <c r="L1003" s="20" t="inlineStr">
        <is>
          <t>+1 (310) 803-9688</t>
        </is>
      </c>
      <c r="M1003" s="21" t="inlineStr">
        <is>
          <t>Eric Rice</t>
        </is>
      </c>
      <c r="N1003" s="22" t="inlineStr">
        <is>
          <t>Co-Founder &amp; Chief Executive Officer</t>
        </is>
      </c>
      <c r="O1003" s="23" t="inlineStr">
        <is>
          <t>eric@trepscore.com</t>
        </is>
      </c>
      <c r="P1003" s="24" t="inlineStr">
        <is>
          <t>+1 (310) 803-9688</t>
        </is>
      </c>
      <c r="Q1003" s="25" t="n">
        <v>2014.0</v>
      </c>
      <c r="R1003" s="113">
        <f>HYPERLINK("https://my.pitchbook.com?c=89231-68", "View company online")</f>
      </c>
    </row>
    <row r="1004">
      <c r="A1004" s="27" t="inlineStr">
        <is>
          <t>170517-97</t>
        </is>
      </c>
      <c r="B1004" s="28" t="inlineStr">
        <is>
          <t>Treos Bio</t>
        </is>
      </c>
      <c r="C1004" s="29" t="inlineStr">
        <is>
          <t>W1H 5BT</t>
        </is>
      </c>
      <c r="D1004" s="30" t="inlineStr">
        <is>
          <t>Developer of immunotherapy vaccines intended for the cancer cell destruction. The company's immunotherapy vaccines predicts in silico likely responders to cancer immunotherapies and designs in silico next generation targeted immunotherapies, enabling cancer patients to treat cancer through vaccines and diagnostic tests.</t>
        </is>
      </c>
      <c r="E1004" s="31" t="inlineStr">
        <is>
          <t>Drug Discovery</t>
        </is>
      </c>
      <c r="F1004" s="32" t="inlineStr">
        <is>
          <t>London, United Kingdom</t>
        </is>
      </c>
      <c r="G1004" s="33" t="inlineStr">
        <is>
          <t>Privately Held (backing)</t>
        </is>
      </c>
      <c r="H1004" s="34" t="inlineStr">
        <is>
          <t>Venture Capital-Backed</t>
        </is>
      </c>
      <c r="I1004" s="35" t="inlineStr">
        <is>
          <t>BXR Group</t>
        </is>
      </c>
      <c r="J1004" s="36" t="inlineStr">
        <is>
          <t>www.treosbio.com</t>
        </is>
      </c>
      <c r="K1004" s="37" t="inlineStr">
        <is>
          <t>info@treosbio.com</t>
        </is>
      </c>
      <c r="L1004" s="38" t="inlineStr">
        <is>
          <t>+44 (0)20 3141 7370</t>
        </is>
      </c>
      <c r="M1004" s="39" t="inlineStr">
        <is>
          <t>Menghis Bairu</t>
        </is>
      </c>
      <c r="N1004" s="40" t="inlineStr">
        <is>
          <t>Executive Chairman</t>
        </is>
      </c>
      <c r="O1004" s="41" t="inlineStr">
        <is>
          <t>menghis@treosbio.com</t>
        </is>
      </c>
      <c r="P1004" s="42" t="inlineStr">
        <is>
          <t>+44 (0)20 3141 7370</t>
        </is>
      </c>
      <c r="Q1004" s="43" t="n">
        <v>2013.0</v>
      </c>
      <c r="R1004" s="114">
        <f>HYPERLINK("https://my.pitchbook.com?c=170517-97", "View company online")</f>
      </c>
    </row>
    <row r="1005">
      <c r="A1005" s="9" t="inlineStr">
        <is>
          <t>151433-65</t>
        </is>
      </c>
      <c r="B1005" s="10" t="inlineStr">
        <is>
          <t>Trendy Butler</t>
        </is>
      </c>
      <c r="C1005" s="11" t="inlineStr">
        <is>
          <t/>
        </is>
      </c>
      <c r="D1005" s="12" t="inlineStr">
        <is>
          <t>Provider of a subscription box service for men's clothing designed to connect clothing manufacturers and members. The company's men's clothing subscription box offers exclusive arrangements with clothing manufacturers, as well as vertical integration for many clothing lines, enabling users to access an affordable membership, quality fashion and a technological integration (IP) built to manage a wide variety of their needs.</t>
        </is>
      </c>
      <c r="E1005" s="13" t="inlineStr">
        <is>
          <t>Clothing</t>
        </is>
      </c>
      <c r="F1005" s="14" t="inlineStr">
        <is>
          <t>Los Angeles, CA</t>
        </is>
      </c>
      <c r="G1005" s="15" t="inlineStr">
        <is>
          <t>Privately Held (backing)</t>
        </is>
      </c>
      <c r="H1005" s="16" t="inlineStr">
        <is>
          <t>Venture Capital-Backed</t>
        </is>
      </c>
      <c r="I1005" s="17" t="inlineStr">
        <is>
          <t/>
        </is>
      </c>
      <c r="J1005" s="18" t="inlineStr">
        <is>
          <t>www.trendybutler.com</t>
        </is>
      </c>
      <c r="K1005" s="19" t="inlineStr">
        <is>
          <t>info@trendybutler.com</t>
        </is>
      </c>
      <c r="L1005" s="20" t="inlineStr">
        <is>
          <t/>
        </is>
      </c>
      <c r="M1005" s="21" t="inlineStr">
        <is>
          <t>Jeremy Barnett</t>
        </is>
      </c>
      <c r="N1005" s="22" t="inlineStr">
        <is>
          <t>Co-Founder &amp; Chief Executive Officer</t>
        </is>
      </c>
      <c r="O1005" s="23" t="inlineStr">
        <is>
          <t>jeremy@trendybutler.com</t>
        </is>
      </c>
      <c r="P1005" s="24" t="inlineStr">
        <is>
          <t>+1 (310) 595-0649</t>
        </is>
      </c>
      <c r="Q1005" s="25" t="n">
        <v>2014.0</v>
      </c>
      <c r="R1005" s="113">
        <f>HYPERLINK("https://my.pitchbook.com?c=151433-65", "View company online")</f>
      </c>
    </row>
    <row r="1006">
      <c r="A1006" s="27" t="inlineStr">
        <is>
          <t>59189-41</t>
        </is>
      </c>
      <c r="B1006" s="28" t="inlineStr">
        <is>
          <t>Trelys</t>
        </is>
      </c>
      <c r="C1006" s="29" t="inlineStr">
        <is>
          <t>94545</t>
        </is>
      </c>
      <c r="D1006" s="30" t="inlineStr">
        <is>
          <t>Developer of methanogen bioconversion technology designed to meet the growing demand for essential amino acids. The company's methanogen bioconversion technology is based on the bioconversion of hydrogen and carbon dioxide using methanogenic archaea such as natural gas, coal or biomass for production of ammonia, enabling companies to develop products which use methanogens.</t>
        </is>
      </c>
      <c r="E1006" s="31" t="inlineStr">
        <is>
          <t>Other Commercial Products</t>
        </is>
      </c>
      <c r="F1006" s="32" t="inlineStr">
        <is>
          <t>Hayward, CA</t>
        </is>
      </c>
      <c r="G1006" s="33" t="inlineStr">
        <is>
          <t>Privately Held (backing)</t>
        </is>
      </c>
      <c r="H1006" s="34" t="inlineStr">
        <is>
          <t>Venture Capital-Backed</t>
        </is>
      </c>
      <c r="I1006" s="35" t="inlineStr">
        <is>
          <t>ARCH Venture Partners, First Green Partners</t>
        </is>
      </c>
      <c r="J1006" s="36" t="inlineStr">
        <is>
          <t>www.trelystech.com</t>
        </is>
      </c>
      <c r="K1006" s="37" t="inlineStr">
        <is>
          <t/>
        </is>
      </c>
      <c r="L1006" s="38" t="inlineStr">
        <is>
          <t>+1 (630) 272-4765</t>
        </is>
      </c>
      <c r="M1006" s="39" t="inlineStr">
        <is>
          <t>Jay Kouba</t>
        </is>
      </c>
      <c r="N1006" s="40" t="inlineStr">
        <is>
          <t>Chief Executive Officer, President, Secretary &amp; Founder</t>
        </is>
      </c>
      <c r="O1006" s="41" t="inlineStr">
        <is>
          <t>jay.kouba@trelystech.com</t>
        </is>
      </c>
      <c r="P1006" s="42" t="inlineStr">
        <is>
          <t>+1 (630) 272-4765</t>
        </is>
      </c>
      <c r="Q1006" s="43" t="n">
        <v>2012.0</v>
      </c>
      <c r="R1006" s="114">
        <f>HYPERLINK("https://my.pitchbook.com?c=59189-41", "View company online")</f>
      </c>
    </row>
    <row r="1007">
      <c r="A1007" s="9" t="inlineStr">
        <is>
          <t>42711-22</t>
        </is>
      </c>
      <c r="B1007" s="10" t="inlineStr">
        <is>
          <t>Trellis Bioscience</t>
        </is>
      </c>
      <c r="C1007" s="11" t="inlineStr">
        <is>
          <t>94025</t>
        </is>
      </c>
      <c r="D1007" s="12" t="inlineStr">
        <is>
          <t>Provider of human antibodies for treating infectious disease. The company engages in the discovery of therapeutic monoclonal antibodies for the treatment of cancer.</t>
        </is>
      </c>
      <c r="E1007" s="13" t="inlineStr">
        <is>
          <t>Biotechnology</t>
        </is>
      </c>
      <c r="F1007" s="14" t="inlineStr">
        <is>
          <t>Menlo Park, CA</t>
        </is>
      </c>
      <c r="G1007" s="15" t="inlineStr">
        <is>
          <t>Privately Held (backing)</t>
        </is>
      </c>
      <c r="H1007" s="16" t="inlineStr">
        <is>
          <t>Venture Capital-Backed</t>
        </is>
      </c>
      <c r="I1007" s="17" t="inlineStr">
        <is>
          <t>Easton Capital Investment Group, Forward Ventures, InvestBio Ventures, Morgenthaler, National Institute Of Allergy and Infectious Diseases Extramural Activites, New Science Ventures, Novartis Venture Fund, Pac-Link Management</t>
        </is>
      </c>
      <c r="J1007" s="18" t="inlineStr">
        <is>
          <t>www.trellisbio.com</t>
        </is>
      </c>
      <c r="K1007" s="19" t="inlineStr">
        <is>
          <t/>
        </is>
      </c>
      <c r="L1007" s="20" t="inlineStr">
        <is>
          <t>+1 (650) 838-1400</t>
        </is>
      </c>
      <c r="M1007" s="21" t="inlineStr">
        <is>
          <t>Stefan Ryser</t>
        </is>
      </c>
      <c r="N1007" s="22" t="inlineStr">
        <is>
          <t>President, Board Member &amp; Chief Executive Officer</t>
        </is>
      </c>
      <c r="O1007" s="23" t="inlineStr">
        <is>
          <t>sryser@trellisbio.com</t>
        </is>
      </c>
      <c r="P1007" s="24" t="inlineStr">
        <is>
          <t>+1 (650) 838-1421</t>
        </is>
      </c>
      <c r="Q1007" s="25" t="n">
        <v>1998.0</v>
      </c>
      <c r="R1007" s="113">
        <f>HYPERLINK("https://my.pitchbook.com?c=42711-22", "View company online")</f>
      </c>
    </row>
    <row r="1008">
      <c r="A1008" s="27" t="inlineStr">
        <is>
          <t>104143-78</t>
        </is>
      </c>
      <c r="B1008" s="28" t="inlineStr">
        <is>
          <t>Trellis</t>
        </is>
      </c>
      <c r="C1008" s="29" t="inlineStr">
        <is>
          <t>94062</t>
        </is>
      </c>
      <c r="D1008" s="30" t="inlineStr">
        <is>
          <t>Operator and provider of a professional network platform. The company provides a self-generating, constantly updated professional network by analyzing emails to graph relationship strength and expertise across a network.</t>
        </is>
      </c>
      <c r="E1008" s="31" t="inlineStr">
        <is>
          <t>Social Content</t>
        </is>
      </c>
      <c r="F1008" s="32" t="inlineStr">
        <is>
          <t>Redwood City, CA</t>
        </is>
      </c>
      <c r="G1008" s="33" t="inlineStr">
        <is>
          <t>Privately Held (backing)</t>
        </is>
      </c>
      <c r="H1008" s="34" t="inlineStr">
        <is>
          <t>Venture Capital-Backed</t>
        </is>
      </c>
      <c r="I1008" s="35" t="inlineStr">
        <is>
          <t>David Bonderman, Eric Chen, Investment Group of Santa Barbara, Kevin Hartz, NFX Guild, Steve Ciesinski, Three Fish Capital</t>
        </is>
      </c>
      <c r="J1008" s="36" t="inlineStr">
        <is>
          <t>trellisnow.com</t>
        </is>
      </c>
      <c r="K1008" s="37" t="inlineStr">
        <is>
          <t/>
        </is>
      </c>
      <c r="L1008" s="38" t="inlineStr">
        <is>
          <t/>
        </is>
      </c>
      <c r="M1008" s="39" t="inlineStr">
        <is>
          <t>Andreas Zoellner</t>
        </is>
      </c>
      <c r="N1008" s="40" t="inlineStr">
        <is>
          <t>Co-Founder &amp; Chief Technology Officer</t>
        </is>
      </c>
      <c r="O1008" s="41" t="inlineStr">
        <is>
          <t>andreas@trellisnow.com</t>
        </is>
      </c>
      <c r="P1008" s="42" t="inlineStr">
        <is>
          <t/>
        </is>
      </c>
      <c r="Q1008" s="43" t="n">
        <v>2014.0</v>
      </c>
      <c r="R1008" s="114">
        <f>HYPERLINK("https://my.pitchbook.com?c=104143-78", "View company online")</f>
      </c>
    </row>
    <row r="1009">
      <c r="A1009" s="9" t="inlineStr">
        <is>
          <t>90369-73</t>
        </is>
      </c>
      <c r="B1009" s="10" t="inlineStr">
        <is>
          <t>Treeline (software)</t>
        </is>
      </c>
      <c r="C1009" s="11" t="inlineStr">
        <is>
          <t>92109</t>
        </is>
      </c>
      <c r="D1009" s="12" t="inlineStr">
        <is>
          <t>Provider of an interactive software designed to change how industries do business. The company's interactive software is a mobile applications that is made up of through data and user testing to present the brand, deliver information and provide feature-rich tools that increase the effectiveness of employees, enables businesses to reinvent themselves in terms of growth.</t>
        </is>
      </c>
      <c r="E1009" s="13" t="inlineStr">
        <is>
          <t>Business/Productivity Software</t>
        </is>
      </c>
      <c r="F1009" s="14" t="inlineStr">
        <is>
          <t>San Diego, CA</t>
        </is>
      </c>
      <c r="G1009" s="15" t="inlineStr">
        <is>
          <t>Privately Held (backing)</t>
        </is>
      </c>
      <c r="H1009" s="16" t="inlineStr">
        <is>
          <t>Venture Capital-Backed</t>
        </is>
      </c>
      <c r="I1009" s="17" t="inlineStr">
        <is>
          <t>Social Starts</t>
        </is>
      </c>
      <c r="J1009" s="18" t="inlineStr">
        <is>
          <t>www.treelineinteractive.com</t>
        </is>
      </c>
      <c r="K1009" s="19" t="inlineStr">
        <is>
          <t/>
        </is>
      </c>
      <c r="L1009" s="20" t="inlineStr">
        <is>
          <t>+1 (800) 764-4876</t>
        </is>
      </c>
      <c r="M1009" s="21" t="inlineStr">
        <is>
          <t>Jake Fields</t>
        </is>
      </c>
      <c r="N1009" s="22" t="inlineStr">
        <is>
          <t>Chief Executive Officer &amp; Founder</t>
        </is>
      </c>
      <c r="O1009" s="23" t="inlineStr">
        <is>
          <t>jake@treelineinteractive.com</t>
        </is>
      </c>
      <c r="P1009" s="24" t="inlineStr">
        <is>
          <t>+1 (800) 764-4876</t>
        </is>
      </c>
      <c r="Q1009" s="25" t="n">
        <v>2004.0</v>
      </c>
      <c r="R1009" s="113">
        <f>HYPERLINK("https://my.pitchbook.com?c=90369-73", "View company online")</f>
      </c>
    </row>
    <row r="1010">
      <c r="A1010" s="27" t="inlineStr">
        <is>
          <t>111754-81</t>
        </is>
      </c>
      <c r="B1010" s="28" t="inlineStr">
        <is>
          <t>Treasure8</t>
        </is>
      </c>
      <c r="C1010" s="29" t="inlineStr">
        <is>
          <t>94130</t>
        </is>
      </c>
      <c r="D1010" s="30" t="inlineStr">
        <is>
          <t>Operator of a food innovation and technology company. The company focuses to solve the nutritional challenges and environmental stresses of a growing global population. It develops, produces and deploys food ingredients, processes and products that are healthier for people and the planet.</t>
        </is>
      </c>
      <c r="E1010" s="31" t="inlineStr">
        <is>
          <t>Food Products</t>
        </is>
      </c>
      <c r="F1010" s="32" t="inlineStr">
        <is>
          <t>San Francisco, CA</t>
        </is>
      </c>
      <c r="G1010" s="33" t="inlineStr">
        <is>
          <t>Privately Held (backing)</t>
        </is>
      </c>
      <c r="H1010" s="34" t="inlineStr">
        <is>
          <t>Venture Capital-Backed</t>
        </is>
      </c>
      <c r="I1010" s="35" t="inlineStr">
        <is>
          <t>Eric Ferraro, Matthew London, Powerplant Ventures, Rob Trice, Steelhead Ventures</t>
        </is>
      </c>
      <c r="J1010" s="36" t="inlineStr">
        <is>
          <t>www.treasure8.com</t>
        </is>
      </c>
      <c r="K1010" s="37" t="inlineStr">
        <is>
          <t>contact@treasure8.com</t>
        </is>
      </c>
      <c r="L1010" s="38" t="inlineStr">
        <is>
          <t>+1 (415) 291-9192</t>
        </is>
      </c>
      <c r="M1010" s="39" t="inlineStr">
        <is>
          <t>Timothy Childs</t>
        </is>
      </c>
      <c r="N1010" s="40" t="inlineStr">
        <is>
          <t>Co-Founder &amp; Chief Executive Officer</t>
        </is>
      </c>
      <c r="O1010" s="41" t="inlineStr">
        <is>
          <t>timothy@treasure8.com</t>
        </is>
      </c>
      <c r="P1010" s="42" t="inlineStr">
        <is>
          <t>+1 (415) 291-9192</t>
        </is>
      </c>
      <c r="Q1010" s="43" t="n">
        <v>2010.0</v>
      </c>
      <c r="R1010" s="114">
        <f>HYPERLINK("https://my.pitchbook.com?c=111754-81", "View company online")</f>
      </c>
    </row>
    <row r="1011">
      <c r="A1011" s="9" t="inlineStr">
        <is>
          <t>58079-80</t>
        </is>
      </c>
      <c r="B1011" s="10" t="inlineStr">
        <is>
          <t>Treasure Data</t>
        </is>
      </c>
      <c r="C1011" s="11" t="inlineStr">
        <is>
          <t>94043</t>
        </is>
      </c>
      <c r="D1011" s="12" t="inlineStr">
        <is>
          <t>Provider of a cloud-based data analytics platform. The company provides a cloud-based managed platform that stores and analyzes data from a variety of sources, including multi-structured web, application, mobile and sensor data.</t>
        </is>
      </c>
      <c r="E1011" s="13" t="inlineStr">
        <is>
          <t>Database Software</t>
        </is>
      </c>
      <c r="F1011" s="14" t="inlineStr">
        <is>
          <t>Mountain View, CA</t>
        </is>
      </c>
      <c r="G1011" s="15" t="inlineStr">
        <is>
          <t>Privately Held (backing)</t>
        </is>
      </c>
      <c r="H1011" s="16" t="inlineStr">
        <is>
          <t>Venture Capital-Backed</t>
        </is>
      </c>
      <c r="I1011" s="17" t="inlineStr">
        <is>
          <t>Adam Wiggins, AME Cloud Ventures, Anand Periasamy, Daniel Scheinman, Dentsu, Dentsu Digital Holdings, Heavybit, Individual Investor, Innovation Network Corporation of Japan, IT-Farm Corporation, James Lindenbaum, Jean Sini, Jerry Yang, Kazuki Ota, Morio Kurosaki, Orion Henry, Othman Laraki, SBI Holdings, Scale Venture Partners, Sierra Ventures, Sizhao Yang, Tim Guleri, William Tai, Yukihiro Matsumoto</t>
        </is>
      </c>
      <c r="J1011" s="18" t="inlineStr">
        <is>
          <t>www.treasuredata.com</t>
        </is>
      </c>
      <c r="K1011" s="19" t="inlineStr">
        <is>
          <t>info@treasuredata.com</t>
        </is>
      </c>
      <c r="L1011" s="20" t="inlineStr">
        <is>
          <t>+1 (866) 899-5386</t>
        </is>
      </c>
      <c r="M1011" s="21" t="inlineStr">
        <is>
          <t>Hironobu Yoshikawa</t>
        </is>
      </c>
      <c r="N1011" s="22" t="inlineStr">
        <is>
          <t>Chief Executive Officer, President, Co-Founder &amp; Board Member</t>
        </is>
      </c>
      <c r="O1011" s="23" t="inlineStr">
        <is>
          <t>hiro@treasure-data.com</t>
        </is>
      </c>
      <c r="P1011" s="24" t="inlineStr">
        <is>
          <t>+1 (866) 899-5386</t>
        </is>
      </c>
      <c r="Q1011" s="25" t="n">
        <v>2011.0</v>
      </c>
      <c r="R1011" s="113">
        <f>HYPERLINK("https://my.pitchbook.com?c=58079-80", "View company online")</f>
      </c>
    </row>
    <row r="1012">
      <c r="A1012" s="27" t="inlineStr">
        <is>
          <t>58568-77</t>
        </is>
      </c>
      <c r="B1012" s="28" t="inlineStr">
        <is>
          <t>Traycer Systems</t>
        </is>
      </c>
      <c r="C1012" s="29" t="inlineStr">
        <is>
          <t>94010</t>
        </is>
      </c>
      <c r="D1012" s="30" t="inlineStr">
        <is>
          <t>Provider of components to researchers and application developers for imaging, detection and generation of terahertz light. The company supplies terahertz imaging and spectrometry components, subsystems and systems for custom terahertz research.</t>
        </is>
      </c>
      <c r="E1012" s="31" t="inlineStr">
        <is>
          <t>Electronic Components</t>
        </is>
      </c>
      <c r="F1012" s="32" t="inlineStr">
        <is>
          <t>Burlingame, CA</t>
        </is>
      </c>
      <c r="G1012" s="33" t="inlineStr">
        <is>
          <t>Privately Held (backing)</t>
        </is>
      </c>
      <c r="H1012" s="34" t="inlineStr">
        <is>
          <t>Venture Capital-Backed</t>
        </is>
      </c>
      <c r="I1012" s="35" t="inlineStr">
        <is>
          <t>Ohio Tech Angels, Phoenix Venture Partners, Rev1 Ventures, Ross Youngs</t>
        </is>
      </c>
      <c r="J1012" s="36" t="inlineStr">
        <is>
          <t>www.traycer.com</t>
        </is>
      </c>
      <c r="K1012" s="37" t="inlineStr">
        <is>
          <t>info@traycer.com</t>
        </is>
      </c>
      <c r="L1012" s="38" t="inlineStr">
        <is>
          <t>+1 (650) 799-6894</t>
        </is>
      </c>
      <c r="M1012" s="39" t="inlineStr">
        <is>
          <t>Bradley Beasecker</t>
        </is>
      </c>
      <c r="N1012" s="40" t="inlineStr">
        <is>
          <t>President &amp; Chief Financial Officer</t>
        </is>
      </c>
      <c r="O1012" s="41" t="inlineStr">
        <is>
          <t>brad.beasecker@proteosense.com</t>
        </is>
      </c>
      <c r="P1012" s="42" t="inlineStr">
        <is>
          <t>+1 (614) 404-5650</t>
        </is>
      </c>
      <c r="Q1012" s="43" t="n">
        <v>2007.0</v>
      </c>
      <c r="R1012" s="114">
        <f>HYPERLINK("https://my.pitchbook.com?c=58568-77", "View company online")</f>
      </c>
    </row>
    <row r="1013">
      <c r="A1013" s="9" t="inlineStr">
        <is>
          <t>57702-79</t>
        </is>
      </c>
      <c r="B1013" s="10" t="inlineStr">
        <is>
          <t>Tray.io</t>
        </is>
      </c>
      <c r="C1013" s="11" t="inlineStr">
        <is>
          <t>E1 6JJ</t>
        </is>
      </c>
      <c r="D1013" s="12" t="inlineStr">
        <is>
          <t>Provider of a cloud-based software integration platform. The company operates a platform that provides a set of components to discover, create and deploy integrations between different software platforms.</t>
        </is>
      </c>
      <c r="E1013" s="13" t="inlineStr">
        <is>
          <t>Social/Platform Software</t>
        </is>
      </c>
      <c r="F1013" s="14" t="inlineStr">
        <is>
          <t>London, United Kingdom</t>
        </is>
      </c>
      <c r="G1013" s="15" t="inlineStr">
        <is>
          <t>Privately Held (backing)</t>
        </is>
      </c>
      <c r="H1013" s="16" t="inlineStr">
        <is>
          <t>Venture Capital-Backed</t>
        </is>
      </c>
      <c r="I1013" s="17" t="inlineStr">
        <is>
          <t>Andy McLoughlin, AngelPad, Anil Hansjee, Ballpark Ventures, Firestartr, HardGamma Ventures, John Sinclair, Jonathan Bradford, Matt Miller, Mosaic Ventures, Passion Capital, Playfair Capital, Redpoint Ventures, Richard Fearn, Richard Muirhead, Robert Dighero, Thomas Korte, Tom Hulme, True Ventures</t>
        </is>
      </c>
      <c r="J1013" s="18" t="inlineStr">
        <is>
          <t>www.tray.io</t>
        </is>
      </c>
      <c r="K1013" s="19" t="inlineStr">
        <is>
          <t>info@tray.io</t>
        </is>
      </c>
      <c r="L1013" s="20" t="inlineStr">
        <is>
          <t>+44 (0)77 9323 4684</t>
        </is>
      </c>
      <c r="M1013" s="21" t="inlineStr">
        <is>
          <t>Dominic Lewis</t>
        </is>
      </c>
      <c r="N1013" s="22" t="inlineStr">
        <is>
          <t>Co-Founder</t>
        </is>
      </c>
      <c r="O1013" s="23" t="inlineStr">
        <is>
          <t>dominic@tray.io</t>
        </is>
      </c>
      <c r="P1013" s="24" t="inlineStr">
        <is>
          <t>+44 (0)77 9323 4684</t>
        </is>
      </c>
      <c r="Q1013" s="25" t="n">
        <v>2012.0</v>
      </c>
      <c r="R1013" s="113">
        <f>HYPERLINK("https://my.pitchbook.com?c=57702-79", "View company online")</f>
      </c>
    </row>
    <row r="1014">
      <c r="A1014" s="27" t="inlineStr">
        <is>
          <t>54700-75</t>
        </is>
      </c>
      <c r="B1014" s="28" t="inlineStr">
        <is>
          <t>Traxpay</t>
        </is>
      </c>
      <c r="C1014" s="29" t="inlineStr">
        <is>
          <t>94040</t>
        </is>
      </c>
      <c r="D1014" s="30" t="inlineStr">
        <is>
          <t>Provider of a real-time payment platform. The company provides a payment platform for firms to manage their business-to-business payment processes online.</t>
        </is>
      </c>
      <c r="E1014" s="31" t="inlineStr">
        <is>
          <t>Other Commercial Services</t>
        </is>
      </c>
      <c r="F1014" s="32" t="inlineStr">
        <is>
          <t>Mountain View, CA</t>
        </is>
      </c>
      <c r="G1014" s="33" t="inlineStr">
        <is>
          <t>Privately Held (backing)</t>
        </is>
      </c>
      <c r="H1014" s="34" t="inlineStr">
        <is>
          <t>Venture Capital-Backed</t>
        </is>
      </c>
      <c r="I1014" s="35" t="inlineStr">
        <is>
          <t>Castik Capital Partners, Earlybird Venture Capital, Franger Investment, Main Incubator, Software</t>
        </is>
      </c>
      <c r="J1014" s="36" t="inlineStr">
        <is>
          <t>www.traxpay.com</t>
        </is>
      </c>
      <c r="K1014" s="37" t="inlineStr">
        <is>
          <t/>
        </is>
      </c>
      <c r="L1014" s="38" t="inlineStr">
        <is>
          <t>+1 (650) 903-2284</t>
        </is>
      </c>
      <c r="M1014" s="39" t="inlineStr">
        <is>
          <t>John Bruggeman</t>
        </is>
      </c>
      <c r="N1014" s="40" t="inlineStr">
        <is>
          <t>Chief Executive Officer</t>
        </is>
      </c>
      <c r="O1014" s="41" t="inlineStr">
        <is>
          <t>john@traxpay.com</t>
        </is>
      </c>
      <c r="P1014" s="42" t="inlineStr">
        <is>
          <t>+1 (650) 903-2284</t>
        </is>
      </c>
      <c r="Q1014" s="43" t="n">
        <v>2009.0</v>
      </c>
      <c r="R1014" s="114">
        <f>HYPERLINK("https://my.pitchbook.com?c=54700-75", "View company online")</f>
      </c>
    </row>
    <row r="1015">
      <c r="A1015" s="9" t="inlineStr">
        <is>
          <t>112556-89</t>
        </is>
      </c>
      <c r="B1015" s="10" t="inlineStr">
        <is>
          <t>Travo</t>
        </is>
      </c>
      <c r="C1015" s="11" t="inlineStr">
        <is>
          <t>90502</t>
        </is>
      </c>
      <c r="D1015" s="12" t="inlineStr">
        <is>
          <t>Developer of a trip planning and booking platform designed to plan business trips and travels for administrative professionals. The company's trip planning and booking platform creates itineraries and streamlines the reservation process, enabling business travelers to plan for their team and manage their individual preferences all in one place and helping them to get to their events and meetings on time.</t>
        </is>
      </c>
      <c r="E1015" s="13" t="inlineStr">
        <is>
          <t>Social/Platform Software</t>
        </is>
      </c>
      <c r="F1015" s="14" t="inlineStr">
        <is>
          <t>Torrance, CA</t>
        </is>
      </c>
      <c r="G1015" s="15" t="inlineStr">
        <is>
          <t>Privately Held (backing)</t>
        </is>
      </c>
      <c r="H1015" s="16" t="inlineStr">
        <is>
          <t>Venture Capital-Backed</t>
        </is>
      </c>
      <c r="I1015" s="17" t="inlineStr">
        <is>
          <t>Baroda Ventures, Daniel Shin, Dennis Phelps, Great Oaks Venture Capital, Rob Sweeney, Seung Bak, TYLT Ventures, Valence Ventures</t>
        </is>
      </c>
      <c r="J1015" s="18" t="inlineStr">
        <is>
          <t>www.travo.com</t>
        </is>
      </c>
      <c r="K1015" s="19" t="inlineStr">
        <is>
          <t/>
        </is>
      </c>
      <c r="L1015" s="20" t="inlineStr">
        <is>
          <t>+1 (310) 800-1245</t>
        </is>
      </c>
      <c r="M1015" s="21" t="inlineStr">
        <is>
          <t>Tae Lee</t>
        </is>
      </c>
      <c r="N1015" s="22" t="inlineStr">
        <is>
          <t>Founder, Chief Executive Officer &amp; Board Member</t>
        </is>
      </c>
      <c r="O1015" s="23" t="inlineStr">
        <is>
          <t>tae@travo.com</t>
        </is>
      </c>
      <c r="P1015" s="24" t="inlineStr">
        <is>
          <t>+1 (310) 800-1245</t>
        </is>
      </c>
      <c r="Q1015" s="25" t="n">
        <v>2015.0</v>
      </c>
      <c r="R1015" s="113">
        <f>HYPERLINK("https://my.pitchbook.com?c=112556-89", "View company online")</f>
      </c>
    </row>
    <row r="1016">
      <c r="A1016" s="27" t="inlineStr">
        <is>
          <t>97088-32</t>
        </is>
      </c>
      <c r="B1016" s="28" t="inlineStr">
        <is>
          <t>Travelnuts</t>
        </is>
      </c>
      <c r="C1016" s="29" t="inlineStr">
        <is>
          <t>94107</t>
        </is>
      </c>
      <c r="D1016" s="30" t="inlineStr">
        <is>
          <t>Provider of mobile compatible e-commerce platform designed to offer better services and amenities to guests. The company's e-commerce platform allows hotel administration to get connected with their guests and provide them various facilities out of hotel like dining, shows and transportation while they are in way to hotel, enabling them to increase revenue and improve cost-effectiveness.</t>
        </is>
      </c>
      <c r="E1016" s="31" t="inlineStr">
        <is>
          <t>Business/Productivity Software</t>
        </is>
      </c>
      <c r="F1016" s="32" t="inlineStr">
        <is>
          <t>San Francisco, CA</t>
        </is>
      </c>
      <c r="G1016" s="33" t="inlineStr">
        <is>
          <t>Privately Held (backing)</t>
        </is>
      </c>
      <c r="H1016" s="34" t="inlineStr">
        <is>
          <t>Venture Capital-Backed</t>
        </is>
      </c>
      <c r="I1016" s="35" t="inlineStr">
        <is>
          <t>Andrej Henkler, Avadis Tevanian, China Growth Capital, ChinaRock Capital Management, Donald Hutchison, Elevation Capital, Kima Ventures, Marco Marinucci, Matteo Franceschetti, Michael Brehm, Mike Okyere, Mind the Bridge Foundation, Peter Livingston, Progression Labs, Shariq Minhas, Simone Brunozzi, StartX, Vogel Ventures, VTF Capital</t>
        </is>
      </c>
      <c r="J1016" s="36" t="inlineStr">
        <is>
          <t>www.travelnuts.com</t>
        </is>
      </c>
      <c r="K1016" s="37" t="inlineStr">
        <is>
          <t/>
        </is>
      </c>
      <c r="L1016" s="38" t="inlineStr">
        <is>
          <t/>
        </is>
      </c>
      <c r="M1016" s="39" t="inlineStr">
        <is>
          <t>Federico Menapace</t>
        </is>
      </c>
      <c r="N1016" s="40" t="inlineStr">
        <is>
          <t>Chief Executive Officer &amp; Co-Founder</t>
        </is>
      </c>
      <c r="O1016" s="41" t="inlineStr">
        <is>
          <t>federico@travelnuts.com</t>
        </is>
      </c>
      <c r="P1016" s="42" t="inlineStr">
        <is>
          <t/>
        </is>
      </c>
      <c r="Q1016" s="43" t="n">
        <v>2013.0</v>
      </c>
      <c r="R1016" s="114">
        <f>HYPERLINK("https://my.pitchbook.com?c=97088-32", "View company online")</f>
      </c>
    </row>
    <row r="1017">
      <c r="A1017" s="9" t="inlineStr">
        <is>
          <t>106663-87</t>
        </is>
      </c>
      <c r="B1017" s="10" t="inlineStr">
        <is>
          <t>Traveling Spoon</t>
        </is>
      </c>
      <c r="C1017" s="11" t="inlineStr">
        <is>
          <t>94110</t>
        </is>
      </c>
      <c r="D1017" s="12" t="inlineStr">
        <is>
          <t>Developer of an online platform designed to book a private meal or cooking class with the home cooks around the world. The company's online platform helps to Discover an authentic culinary experience, enabling travelers to connect with local, vetted hosts to share the joy of a homemade meal in their home and learn about their cultural and culinary traditions passed down through generations.</t>
        </is>
      </c>
      <c r="E1017" s="13" t="inlineStr">
        <is>
          <t>Other Restaurants, Hotels and Leisure</t>
        </is>
      </c>
      <c r="F1017" s="14" t="inlineStr">
        <is>
          <t>San Francisco, CA</t>
        </is>
      </c>
      <c r="G1017" s="15" t="inlineStr">
        <is>
          <t>Privately Held (backing)</t>
        </is>
      </c>
      <c r="H1017" s="16" t="inlineStr">
        <is>
          <t>Venture Capital-Backed</t>
        </is>
      </c>
      <c r="I1017" s="17" t="inlineStr">
        <is>
          <t>Anjan Mitra, Dorm Room Fund, Emily Mitra, Erik Blachford, First Round Capital, George Butterfield, Kathy Salmanowitz, Padma Chandrasekaran, Samir Sood, The Chennai Angels, Tribe Investment Group, UC Berkeley Center for Entrepreneurship and Technology</t>
        </is>
      </c>
      <c r="J1017" s="18" t="inlineStr">
        <is>
          <t>www.travelingspoon.com</t>
        </is>
      </c>
      <c r="K1017" s="19" t="inlineStr">
        <is>
          <t>hello@travelingspoon.com</t>
        </is>
      </c>
      <c r="L1017" s="20" t="inlineStr">
        <is>
          <t>+1 (415) 236-0294</t>
        </is>
      </c>
      <c r="M1017" s="21" t="inlineStr">
        <is>
          <t>Aashi Vel</t>
        </is>
      </c>
      <c r="N1017" s="22" t="inlineStr">
        <is>
          <t>Co-Founder &amp; Co-Chief Executive Officer</t>
        </is>
      </c>
      <c r="O1017" s="23" t="inlineStr">
        <is>
          <t>aashi@travelingspoon.com</t>
        </is>
      </c>
      <c r="P1017" s="24" t="inlineStr">
        <is>
          <t>+1 (415) 236-0294</t>
        </is>
      </c>
      <c r="Q1017" s="25" t="n">
        <v>2013.0</v>
      </c>
      <c r="R1017" s="113">
        <f>HYPERLINK("https://my.pitchbook.com?c=106663-87", "View company online")</f>
      </c>
    </row>
    <row r="1018">
      <c r="A1018" s="27" t="inlineStr">
        <is>
          <t>167364-55</t>
        </is>
      </c>
      <c r="B1018" s="28" t="inlineStr">
        <is>
          <t>TravelBank</t>
        </is>
      </c>
      <c r="C1018" s="29" t="inlineStr">
        <is>
          <t>94107</t>
        </is>
      </c>
      <c r="D1018" s="30" t="inlineStr">
        <is>
          <t>Developer of travel and expense software for small to medium size businesses. The company provides a travel-expense platform for employees to manage expense reporting and potentially earn rewards for saving their employer money on enterprise expenses.</t>
        </is>
      </c>
      <c r="E1018" s="31" t="inlineStr">
        <is>
          <t>Application Software</t>
        </is>
      </c>
      <c r="F1018" s="32" t="inlineStr">
        <is>
          <t>San Francisco, CA</t>
        </is>
      </c>
      <c r="G1018" s="33" t="inlineStr">
        <is>
          <t>Privately Held (backing)</t>
        </is>
      </c>
      <c r="H1018" s="34" t="inlineStr">
        <is>
          <t>Venture Capital-Backed</t>
        </is>
      </c>
      <c r="I1018" s="35" t="inlineStr">
        <is>
          <t>Accel, New Enterprise Associates</t>
        </is>
      </c>
      <c r="J1018" s="36" t="inlineStr">
        <is>
          <t>www.travelbank.com</t>
        </is>
      </c>
      <c r="K1018" s="37" t="inlineStr">
        <is>
          <t/>
        </is>
      </c>
      <c r="L1018" s="38" t="inlineStr">
        <is>
          <t/>
        </is>
      </c>
      <c r="M1018" s="39" t="inlineStr">
        <is>
          <t>Duke Chung</t>
        </is>
      </c>
      <c r="N1018" s="40" t="inlineStr">
        <is>
          <t>Co-Founder &amp; Chief Executive Officer</t>
        </is>
      </c>
      <c r="O1018" s="41" t="inlineStr">
        <is>
          <t>dchung@travelbank.com</t>
        </is>
      </c>
      <c r="P1018" s="42" t="inlineStr">
        <is>
          <t/>
        </is>
      </c>
      <c r="Q1018" s="43" t="n">
        <v>2015.0</v>
      </c>
      <c r="R1018" s="114">
        <f>HYPERLINK("https://my.pitchbook.com?c=167364-55", "View company online")</f>
      </c>
    </row>
    <row r="1019">
      <c r="A1019" s="9" t="inlineStr">
        <is>
          <t>61664-86</t>
        </is>
      </c>
      <c r="B1019" s="10" t="inlineStr">
        <is>
          <t>TrapX Security</t>
        </is>
      </c>
      <c r="C1019" s="11" t="inlineStr">
        <is>
          <t>94402</t>
        </is>
      </c>
      <c r="D1019" s="12" t="inlineStr">
        <is>
          <t>Provider of cloud-based cyber security platform designed to detect, analyze and defeat new zero-day, targeted attack, and malicious insiders. The company's cyber security platform is an automated security grid for adaptive deception and defense that intercepts real-time threats while providing the actionable intelligence to block attackers, enabling industries to avail secured connections in there surroundings.</t>
        </is>
      </c>
      <c r="E1019" s="13" t="inlineStr">
        <is>
          <t>Network Management Software</t>
        </is>
      </c>
      <c r="F1019" s="14" t="inlineStr">
        <is>
          <t>San Mateo, CA</t>
        </is>
      </c>
      <c r="G1019" s="15" t="inlineStr">
        <is>
          <t>Privately Held (backing)</t>
        </is>
      </c>
      <c r="H1019" s="16" t="inlineStr">
        <is>
          <t>Venture Capital-Backed</t>
        </is>
      </c>
      <c r="I1019" s="17" t="inlineStr">
        <is>
          <t>Avenue A Ventures, BRM Capital, Intel Capital, Liberty Ventures, Opus Capital, Strategic Cyber Ventures</t>
        </is>
      </c>
      <c r="J1019" s="18" t="inlineStr">
        <is>
          <t>www.trapx.com</t>
        </is>
      </c>
      <c r="K1019" s="19" t="inlineStr">
        <is>
          <t>info@trapx.com</t>
        </is>
      </c>
      <c r="L1019" s="20" t="inlineStr">
        <is>
          <t>+1 (855) 249-4453</t>
        </is>
      </c>
      <c r="M1019" s="21" t="inlineStr">
        <is>
          <t>Gregory Enriquez</t>
        </is>
      </c>
      <c r="N1019" s="22" t="inlineStr">
        <is>
          <t>Chief Executive Officer &amp; Chairman</t>
        </is>
      </c>
      <c r="O1019" s="23" t="inlineStr">
        <is>
          <t>greg@trapx.com</t>
        </is>
      </c>
      <c r="P1019" s="24" t="inlineStr">
        <is>
          <t>+1 (855) 249-4453</t>
        </is>
      </c>
      <c r="Q1019" s="25" t="n">
        <v>2011.0</v>
      </c>
      <c r="R1019" s="113">
        <f>HYPERLINK("https://my.pitchbook.com?c=61664-86", "View company online")</f>
      </c>
    </row>
    <row r="1020">
      <c r="A1020" s="27" t="inlineStr">
        <is>
          <t>167939-56</t>
        </is>
      </c>
      <c r="B1020" s="28" t="inlineStr">
        <is>
          <t>Traptic</t>
        </is>
      </c>
      <c r="C1020" s="29" t="inlineStr">
        <is>
          <t>94043</t>
        </is>
      </c>
      <c r="D1020" s="30" t="inlineStr">
        <is>
          <t>Manufacturer of automated strawberry harvesting machines. The company designs and manufactures automated harvesting machines with robotic arms and 3D cameras that help growers to raise and pluck strawberries quickly.</t>
        </is>
      </c>
      <c r="E1020" s="31" t="inlineStr">
        <is>
          <t>Machinery (B2B)</t>
        </is>
      </c>
      <c r="F1020" s="32" t="inlineStr">
        <is>
          <t>Mountain View, CA</t>
        </is>
      </c>
      <c r="G1020" s="33" t="inlineStr">
        <is>
          <t>Privately Held (backing)</t>
        </is>
      </c>
      <c r="H1020" s="34" t="inlineStr">
        <is>
          <t>Venture Capital-Backed</t>
        </is>
      </c>
      <c r="I1020" s="35" t="inlineStr">
        <is>
          <t/>
        </is>
      </c>
      <c r="J1020" s="36" t="inlineStr">
        <is>
          <t/>
        </is>
      </c>
      <c r="K1020" s="37" t="inlineStr">
        <is>
          <t/>
        </is>
      </c>
      <c r="L1020" s="38" t="inlineStr">
        <is>
          <t>+1 (760) 845-8171</t>
        </is>
      </c>
      <c r="M1020" s="39" t="inlineStr">
        <is>
          <t>Lewis Anderson</t>
        </is>
      </c>
      <c r="N1020" s="40" t="inlineStr">
        <is>
          <t>Founder, Chief Executive Officer &amp; Board Member</t>
        </is>
      </c>
      <c r="O1020" s="41" t="inlineStr">
        <is>
          <t/>
        </is>
      </c>
      <c r="P1020" s="42" t="inlineStr">
        <is>
          <t>+1 (760) 845-8171</t>
        </is>
      </c>
      <c r="Q1020" s="43" t="n">
        <v>2016.0</v>
      </c>
      <c r="R1020" s="114">
        <f>HYPERLINK("https://my.pitchbook.com?c=167939-56", "View company online")</f>
      </c>
    </row>
    <row r="1021">
      <c r="A1021" s="9" t="inlineStr">
        <is>
          <t>53592-49</t>
        </is>
      </c>
      <c r="B1021" s="10" t="inlineStr">
        <is>
          <t>Trapit</t>
        </is>
      </c>
      <c r="C1021" s="11" t="inlineStr">
        <is>
          <t>94107</t>
        </is>
      </c>
      <c r="D1021" s="12" t="inlineStr">
        <is>
          <t>Provider of an online platform designed to help customers connect with their buyers through employee advocacy and digital selling. The company's online platform focuses on personalized search and Web discovery, enabling businesses to increase the sales revenue and brand reach by making it easy for executives, salespeople and other employees to engage in social selling and employee advocacy.</t>
        </is>
      </c>
      <c r="E1021" s="13" t="inlineStr">
        <is>
          <t>Media and Information Services (B2B)</t>
        </is>
      </c>
      <c r="F1021" s="14" t="inlineStr">
        <is>
          <t>San Francisco, CA</t>
        </is>
      </c>
      <c r="G1021" s="15" t="inlineStr">
        <is>
          <t>Privately Held (backing)</t>
        </is>
      </c>
      <c r="H1021" s="16" t="inlineStr">
        <is>
          <t>Venture Capital-Backed</t>
        </is>
      </c>
      <c r="I1021" s="17" t="inlineStr">
        <is>
          <t>Horizons Ventures, Li Ka-Shing, Rogers Venture Partners, SRI International, Twist, Venture Choice, Vformation</t>
        </is>
      </c>
      <c r="J1021" s="18" t="inlineStr">
        <is>
          <t>www.trap.it</t>
        </is>
      </c>
      <c r="K1021" s="19" t="inlineStr">
        <is>
          <t>info@trapit.com</t>
        </is>
      </c>
      <c r="L1021" s="20" t="inlineStr">
        <is>
          <t>+1 (844) 987-2748</t>
        </is>
      </c>
      <c r="M1021" s="21" t="inlineStr">
        <is>
          <t>Henry Nothhaft</t>
        </is>
      </c>
      <c r="N1021" s="22" t="inlineStr">
        <is>
          <t>Co-Founder &amp; Chief Executive Officer</t>
        </is>
      </c>
      <c r="O1021" s="23" t="inlineStr">
        <is>
          <t>hank@trapit.com</t>
        </is>
      </c>
      <c r="P1021" s="24" t="inlineStr">
        <is>
          <t>+1 (844) 987-2748</t>
        </is>
      </c>
      <c r="Q1021" s="25" t="n">
        <v>2010.0</v>
      </c>
      <c r="R1021" s="113">
        <f>HYPERLINK("https://my.pitchbook.com?c=53592-49", "View company online")</f>
      </c>
    </row>
    <row r="1022">
      <c r="A1022" s="27" t="inlineStr">
        <is>
          <t>90367-21</t>
        </is>
      </c>
      <c r="B1022" s="28" t="inlineStr">
        <is>
          <t>Tranzlogic</t>
        </is>
      </c>
      <c r="C1022" s="29" t="inlineStr">
        <is>
          <t>93065</t>
        </is>
      </c>
      <c r="D1022" s="30" t="inlineStr">
        <is>
          <t>Developer of a transactional data technology. The company's transactional data technology aggregates information for payment service providers and merchants.</t>
        </is>
      </c>
      <c r="E1022" s="31" t="inlineStr">
        <is>
          <t>Other IT Services</t>
        </is>
      </c>
      <c r="F1022" s="32" t="inlineStr">
        <is>
          <t>Simi Valley, CA</t>
        </is>
      </c>
      <c r="G1022" s="33" t="inlineStr">
        <is>
          <t>Privately Held (backing)</t>
        </is>
      </c>
      <c r="H1022" s="34" t="inlineStr">
        <is>
          <t>Venture Capital-Backed</t>
        </is>
      </c>
      <c r="I1022" s="35" t="inlineStr">
        <is>
          <t>SJ Strategic Investments</t>
        </is>
      </c>
      <c r="J1022" s="36" t="inlineStr">
        <is>
          <t>www.tranzlogic.com</t>
        </is>
      </c>
      <c r="K1022" s="37" t="inlineStr">
        <is>
          <t>info@tranzlogic.com</t>
        </is>
      </c>
      <c r="L1022" s="38" t="inlineStr">
        <is>
          <t>+1 (888) 855-0855</t>
        </is>
      </c>
      <c r="M1022" s="39" t="inlineStr">
        <is>
          <t>Charles Hogan</t>
        </is>
      </c>
      <c r="N1022" s="40" t="inlineStr">
        <is>
          <t>Co-Founder and Chief Executive Officer</t>
        </is>
      </c>
      <c r="O1022" s="41" t="inlineStr">
        <is>
          <t>chogan@tranzlogic.com</t>
        </is>
      </c>
      <c r="P1022" s="42" t="inlineStr">
        <is>
          <t>+1 (888) 855-0855</t>
        </is>
      </c>
      <c r="Q1022" s="43" t="n">
        <v>2011.0</v>
      </c>
      <c r="R1022" s="114">
        <f>HYPERLINK("https://my.pitchbook.com?c=90367-21", "View company online")</f>
      </c>
    </row>
    <row r="1023">
      <c r="A1023" s="9" t="inlineStr">
        <is>
          <t>172917-91</t>
        </is>
      </c>
      <c r="B1023" s="10" t="inlineStr">
        <is>
          <t>Transported</t>
        </is>
      </c>
      <c r="C1023" s="11" t="inlineStr">
        <is>
          <t/>
        </is>
      </c>
      <c r="D1023" s="12" t="inlineStr">
        <is>
          <t>Provider of an all-in-one virtual reality platform intended to be used for the real estate business. The company's virtual reality platform provides an open and flexible platform that lets you build your business creating a virtual reality for real estate, enabling agents to easily create VR walkthroughs and a marketplace for buyers to view them all in one place.</t>
        </is>
      </c>
      <c r="E1023" s="13" t="inlineStr">
        <is>
          <t>Application Software</t>
        </is>
      </c>
      <c r="F1023" s="14" t="inlineStr">
        <is>
          <t>Los Angeles, CA</t>
        </is>
      </c>
      <c r="G1023" s="15" t="inlineStr">
        <is>
          <t>Privately Held (backing)</t>
        </is>
      </c>
      <c r="H1023" s="16" t="inlineStr">
        <is>
          <t>Venture Capital-Backed</t>
        </is>
      </c>
      <c r="I1023" s="17" t="inlineStr">
        <is>
          <t>Corigin Ventures</t>
        </is>
      </c>
      <c r="J1023" s="18" t="inlineStr">
        <is>
          <t>www.transported.co</t>
        </is>
      </c>
      <c r="K1023" s="19" t="inlineStr">
        <is>
          <t>hello@transported.co</t>
        </is>
      </c>
      <c r="L1023" s="20" t="inlineStr">
        <is>
          <t/>
        </is>
      </c>
      <c r="M1023" s="21" t="inlineStr">
        <is>
          <t>Tyson Woeste</t>
        </is>
      </c>
      <c r="N1023" s="22" t="inlineStr">
        <is>
          <t>Founder</t>
        </is>
      </c>
      <c r="O1023" s="23" t="inlineStr">
        <is>
          <t>tyson@transported.com</t>
        </is>
      </c>
      <c r="P1023" s="24" t="inlineStr">
        <is>
          <t/>
        </is>
      </c>
      <c r="Q1023" s="25" t="inlineStr">
        <is>
          <t/>
        </is>
      </c>
      <c r="R1023" s="113">
        <f>HYPERLINK("https://my.pitchbook.com?c=172917-91", "View company online")</f>
      </c>
    </row>
    <row r="1024">
      <c r="A1024" s="27" t="inlineStr">
        <is>
          <t>51622-39</t>
        </is>
      </c>
      <c r="B1024" s="28" t="inlineStr">
        <is>
          <t>Transphorm</t>
        </is>
      </c>
      <c r="C1024" s="29" t="inlineStr">
        <is>
          <t>93117</t>
        </is>
      </c>
      <c r="D1024" s="30" t="inlineStr">
        <is>
          <t>Developer of gallium nitride power devices designed to offer electric power conversion and energy cost saving. The company's gallium nitride power devices used for high-voltage power conversion applications to simplify the design and manufacturing of motor drives, power supplies and inverters for solar panels and electric vehicles, enabling businesses to get cost‐competitive and easy‐to‐embed power conversion devices and reduces costly energy loss by more than 40%.</t>
        </is>
      </c>
      <c r="E1024" s="31" t="inlineStr">
        <is>
          <t>Application Specific Semiconductors</t>
        </is>
      </c>
      <c r="F1024" s="32" t="inlineStr">
        <is>
          <t>Goleta, CA</t>
        </is>
      </c>
      <c r="G1024" s="33" t="inlineStr">
        <is>
          <t>Privately Held (backing)</t>
        </is>
      </c>
      <c r="H1024" s="34" t="inlineStr">
        <is>
          <t>Venture Capital-Backed</t>
        </is>
      </c>
      <c r="I1024" s="35" t="inlineStr">
        <is>
          <t>Bright Capital, Bright Capital Partners, Foundation Capital, Fujitsu (Corporate Venture), GV, Innovation Network Corporation of Japan, Kleiner Perkins Caufield &amp; Byers, Kohlberg Kravis Roberts, Leader Ventures, Lux Capital, Nihon Inter Electronics, Soros Fund Management</t>
        </is>
      </c>
      <c r="J1024" s="36" t="inlineStr">
        <is>
          <t>www.transphormusa.com</t>
        </is>
      </c>
      <c r="K1024" s="37" t="inlineStr">
        <is>
          <t/>
        </is>
      </c>
      <c r="L1024" s="38" t="inlineStr">
        <is>
          <t>+1 (805) 456-1300</t>
        </is>
      </c>
      <c r="M1024" s="39" t="inlineStr">
        <is>
          <t>Cameron McAulay</t>
        </is>
      </c>
      <c r="N1024" s="40" t="inlineStr">
        <is>
          <t>Chief Financial Officer</t>
        </is>
      </c>
      <c r="O1024" s="41" t="inlineStr">
        <is>
          <t>cmcaulay@transphormusa.com</t>
        </is>
      </c>
      <c r="P1024" s="42" t="inlineStr">
        <is>
          <t>+1 (805) 456-1300 x 140</t>
        </is>
      </c>
      <c r="Q1024" s="43" t="n">
        <v>2007.0</v>
      </c>
      <c r="R1024" s="114">
        <f>HYPERLINK("https://my.pitchbook.com?c=51622-39", "View company online")</f>
      </c>
    </row>
    <row r="1025">
      <c r="A1025" s="9" t="inlineStr">
        <is>
          <t>52893-37</t>
        </is>
      </c>
      <c r="B1025" s="10" t="inlineStr">
        <is>
          <t>Transmodus</t>
        </is>
      </c>
      <c r="C1025" s="11" t="inlineStr">
        <is>
          <t>93036</t>
        </is>
      </c>
      <c r="D1025" s="12" t="inlineStr">
        <is>
          <t>Provider of check and eCheck payment provisions utilizing Service-oriented Architecture. The company's provisions provide improved workflow for deposits, funding, posting to account systems, returns handling, electronic recovery and automated secondary collections.</t>
        </is>
      </c>
      <c r="E1025" s="13" t="inlineStr">
        <is>
          <t>Business/Productivity Software</t>
        </is>
      </c>
      <c r="F1025" s="14" t="inlineStr">
        <is>
          <t>Oxnard, CA</t>
        </is>
      </c>
      <c r="G1025" s="15" t="inlineStr">
        <is>
          <t>Privately Held (backing)</t>
        </is>
      </c>
      <c r="H1025" s="16" t="inlineStr">
        <is>
          <t>Venture Capital-Backed</t>
        </is>
      </c>
      <c r="I1025" s="17" t="inlineStr">
        <is>
          <t>Tech Coast Angels</t>
        </is>
      </c>
      <c r="J1025" s="18" t="inlineStr">
        <is>
          <t>www.transmodus.net</t>
        </is>
      </c>
      <c r="K1025" s="19" t="inlineStr">
        <is>
          <t/>
        </is>
      </c>
      <c r="L1025" s="20" t="inlineStr">
        <is>
          <t>+1 (866) 587-8249</t>
        </is>
      </c>
      <c r="M1025" s="21" t="inlineStr">
        <is>
          <t>Robert McShirley</t>
        </is>
      </c>
      <c r="N1025" s="22" t="inlineStr">
        <is>
          <t>Chief Executive Officer &amp; Chairman</t>
        </is>
      </c>
      <c r="O1025" s="23" t="inlineStr">
        <is>
          <t>jmcshirley@transmodus.net</t>
        </is>
      </c>
      <c r="P1025" s="24" t="inlineStr">
        <is>
          <t>+1 (866) 587-8249</t>
        </is>
      </c>
      <c r="Q1025" s="25" t="n">
        <v>2001.0</v>
      </c>
      <c r="R1025" s="113">
        <f>HYPERLINK("https://my.pitchbook.com?c=52893-37", "View company online")</f>
      </c>
    </row>
    <row r="1026">
      <c r="A1026" s="27" t="inlineStr">
        <is>
          <t>58446-37</t>
        </is>
      </c>
      <c r="B1026" s="28" t="inlineStr">
        <is>
          <t>Translucent Medical</t>
        </is>
      </c>
      <c r="C1026" s="29" t="inlineStr">
        <is>
          <t>95060</t>
        </is>
      </c>
      <c r="D1026" s="30" t="inlineStr">
        <is>
          <t>Provider of a navigation system for reducing X-ray radiation. The company offers 3D anatomical images for patients to reduce time and complications.</t>
        </is>
      </c>
      <c r="E1026" s="31" t="inlineStr">
        <is>
          <t>Other Healthcare Technology Systems</t>
        </is>
      </c>
      <c r="F1026" s="32" t="inlineStr">
        <is>
          <t>Santa Cruz, CA</t>
        </is>
      </c>
      <c r="G1026" s="33" t="inlineStr">
        <is>
          <t>Privately Held (backing)</t>
        </is>
      </c>
      <c r="H1026" s="34" t="inlineStr">
        <is>
          <t>Venture Capital-Backed</t>
        </is>
      </c>
      <c r="I1026" s="35" t="inlineStr">
        <is>
          <t/>
        </is>
      </c>
      <c r="J1026" s="36" t="inlineStr">
        <is>
          <t>www.translucentmedical.com</t>
        </is>
      </c>
      <c r="K1026" s="37" t="inlineStr">
        <is>
          <t/>
        </is>
      </c>
      <c r="L1026" s="38" t="inlineStr">
        <is>
          <t/>
        </is>
      </c>
      <c r="M1026" s="39" t="inlineStr">
        <is>
          <t>Dan Wallace</t>
        </is>
      </c>
      <c r="N1026" s="40" t="inlineStr">
        <is>
          <t>Founder &amp; Chief Executive Officer</t>
        </is>
      </c>
      <c r="O1026" s="41" t="inlineStr">
        <is>
          <t>dan_wallace@translucentmedical.com</t>
        </is>
      </c>
      <c r="P1026" s="42" t="inlineStr">
        <is>
          <t>+1 (425) 208-5503</t>
        </is>
      </c>
      <c r="Q1026" s="43" t="n">
        <v>2011.0</v>
      </c>
      <c r="R1026" s="114">
        <f>HYPERLINK("https://my.pitchbook.com?c=58446-37", "View company online")</f>
      </c>
    </row>
    <row r="1027">
      <c r="A1027" s="9" t="inlineStr">
        <is>
          <t>90366-58</t>
        </is>
      </c>
      <c r="B1027" s="10" t="inlineStr">
        <is>
          <t>Translation Exchange</t>
        </is>
      </c>
      <c r="C1027" s="11" t="inlineStr">
        <is>
          <t>94105</t>
        </is>
      </c>
      <c r="D1027" s="12" t="inlineStr">
        <is>
          <t>Provider of a cloud-based platform for continuous localization of web and mobile applications. The company specializes in developing tools for the translation of web, desktop and mobile applications. It also allows application developers to manage the internationalization and localization process which includes source coding, translation of workflows and global analysis.</t>
        </is>
      </c>
      <c r="E1027" s="13" t="inlineStr">
        <is>
          <t>Social/Platform Software</t>
        </is>
      </c>
      <c r="F1027" s="14" t="inlineStr">
        <is>
          <t>San Francisco, CA</t>
        </is>
      </c>
      <c r="G1027" s="15" t="inlineStr">
        <is>
          <t>Privately Held (backing)</t>
        </is>
      </c>
      <c r="H1027" s="16" t="inlineStr">
        <is>
          <t>Venture Capital-Backed</t>
        </is>
      </c>
      <c r="I1027" s="17" t="inlineStr">
        <is>
          <t>Amplify.LA, Canyon Creek Capital, HillsVen Capital, Kris Bjornerud</t>
        </is>
      </c>
      <c r="J1027" s="18" t="inlineStr">
        <is>
          <t>www.translationexchange.com</t>
        </is>
      </c>
      <c r="K1027" s="19" t="inlineStr">
        <is>
          <t>info@translationexchange.com</t>
        </is>
      </c>
      <c r="L1027" s="20" t="inlineStr">
        <is>
          <t>+1 (415) 323-6535</t>
        </is>
      </c>
      <c r="M1027" s="21" t="inlineStr">
        <is>
          <t>Michael Berkovich</t>
        </is>
      </c>
      <c r="N1027" s="22" t="inlineStr">
        <is>
          <t>Co-Founder</t>
        </is>
      </c>
      <c r="O1027" s="23" t="inlineStr">
        <is>
          <t>michael@translationexchange.com</t>
        </is>
      </c>
      <c r="P1027" s="24" t="inlineStr">
        <is>
          <t>+1 (415) 323-6535</t>
        </is>
      </c>
      <c r="Q1027" s="25" t="n">
        <v>2014.0</v>
      </c>
      <c r="R1027" s="113">
        <f>HYPERLINK("https://my.pitchbook.com?c=90366-58", "View company online")</f>
      </c>
    </row>
    <row r="1028">
      <c r="A1028" s="27" t="inlineStr">
        <is>
          <t>44158-96</t>
        </is>
      </c>
      <c r="B1028" s="28" t="inlineStr">
        <is>
          <t>Translarity</t>
        </is>
      </c>
      <c r="C1028" s="29" t="inlineStr">
        <is>
          <t>94538</t>
        </is>
      </c>
      <c r="D1028" s="30" t="inlineStr">
        <is>
          <t>Manufacturer of semiconductor testing equipment designed to offer low cost, high performance full water semiconductor test. The company's semiconductor testing equipment uses lasers to create signal pathways and offers wafer contact tools for test and burn-in, enabling manufacturers to get wafer translation technology at a low cost.</t>
        </is>
      </c>
      <c r="E1028" s="31" t="inlineStr">
        <is>
          <t>Other Semiconductors</t>
        </is>
      </c>
      <c r="F1028" s="32" t="inlineStr">
        <is>
          <t>Fremont, CA</t>
        </is>
      </c>
      <c r="G1028" s="33" t="inlineStr">
        <is>
          <t>Privately Held (backing)</t>
        </is>
      </c>
      <c r="H1028" s="34" t="inlineStr">
        <is>
          <t>Venture Capital-Backed</t>
        </is>
      </c>
      <c r="I1028" s="35" t="inlineStr">
        <is>
          <t>Applied Ventures, Intel Capital, KT Venture Group, Northwest Technology Ventures, OVP Venture Partners, TL Ventures</t>
        </is>
      </c>
      <c r="J1028" s="36" t="inlineStr">
        <is>
          <t>www.translarity.com</t>
        </is>
      </c>
      <c r="K1028" s="37" t="inlineStr">
        <is>
          <t/>
        </is>
      </c>
      <c r="L1028" s="38" t="inlineStr">
        <is>
          <t>+1 (510) 371-7900</t>
        </is>
      </c>
      <c r="M1028" s="39" t="inlineStr">
        <is>
          <t>Mark Gardiner</t>
        </is>
      </c>
      <c r="N1028" s="40" t="inlineStr">
        <is>
          <t>Chief Operating Officer and Board Member</t>
        </is>
      </c>
      <c r="O1028" s="41" t="inlineStr">
        <is>
          <t>mark.gardiner@advancedinquiry.com</t>
        </is>
      </c>
      <c r="P1028" s="42" t="inlineStr">
        <is>
          <t>+1 (510) 371-7900</t>
        </is>
      </c>
      <c r="Q1028" s="43" t="n">
        <v>2005.0</v>
      </c>
      <c r="R1028" s="114">
        <f>HYPERLINK("https://my.pitchbook.com?c=44158-96", "View company online")</f>
      </c>
    </row>
    <row r="1029">
      <c r="A1029" s="9" t="inlineStr">
        <is>
          <t>95609-35</t>
        </is>
      </c>
      <c r="B1029" s="10" t="inlineStr">
        <is>
          <t>TransitScreen</t>
        </is>
      </c>
      <c r="C1029" s="11" t="inlineStr">
        <is>
          <t>20005</t>
        </is>
      </c>
      <c r="D1029" s="12" t="inlineStr">
        <is>
          <t>Provider of a real-time transportation display designed to offer live transit information at a glance. The company's real-time transportation display provides location customized information of all transit types, enabling users to make transit decisions by following marks to the nearest bikeshare rack or metro stop.</t>
        </is>
      </c>
      <c r="E1029" s="13" t="inlineStr">
        <is>
          <t>Application Software</t>
        </is>
      </c>
      <c r="F1029" s="14" t="inlineStr">
        <is>
          <t>Washington, DC</t>
        </is>
      </c>
      <c r="G1029" s="15" t="inlineStr">
        <is>
          <t>Privately Held (backing)</t>
        </is>
      </c>
      <c r="H1029" s="16" t="inlineStr">
        <is>
          <t>Venture Capital-Backed</t>
        </is>
      </c>
      <c r="I1029" s="17" t="inlineStr">
        <is>
          <t>1776, Alex Bresler, BallstonBID LaunchPad, Bruce Haldors, Energy Excelerator, McCune Capital, Middle Bridge Partners</t>
        </is>
      </c>
      <c r="J1029" s="18" t="inlineStr">
        <is>
          <t>www.transitscreen.com</t>
        </is>
      </c>
      <c r="K1029" s="19" t="inlineStr">
        <is>
          <t>info@transitscreen.com</t>
        </is>
      </c>
      <c r="L1029" s="20" t="inlineStr">
        <is>
          <t/>
        </is>
      </c>
      <c r="M1029" s="21" t="inlineStr">
        <is>
          <t>Matt Caywood</t>
        </is>
      </c>
      <c r="N1029" s="22" t="inlineStr">
        <is>
          <t>Chief Executive Officer &amp; Co-Founder</t>
        </is>
      </c>
      <c r="O1029" s="23" t="inlineStr">
        <is>
          <t>matt@transitscreen.com</t>
        </is>
      </c>
      <c r="P1029" s="24" t="inlineStr">
        <is>
          <t/>
        </is>
      </c>
      <c r="Q1029" s="25" t="n">
        <v>2013.0</v>
      </c>
      <c r="R1029" s="113">
        <f>HYPERLINK("https://my.pitchbook.com?c=95609-35", "View company online")</f>
      </c>
    </row>
    <row r="1030">
      <c r="A1030" s="27" t="inlineStr">
        <is>
          <t>61382-89</t>
        </is>
      </c>
      <c r="B1030" s="28" t="inlineStr">
        <is>
          <t>Transifex</t>
        </is>
      </c>
      <c r="C1030" s="29" t="inlineStr">
        <is>
          <t>94025</t>
        </is>
      </c>
      <c r="D1030" s="30" t="inlineStr">
        <is>
          <t>Provider of a cloud-based, open-source translation software. The company offers a platform to create, publish and manage translations of frequently updated web applications, mobile applications, and website content in multiple languages.</t>
        </is>
      </c>
      <c r="E1030" s="31" t="inlineStr">
        <is>
          <t>Application Software</t>
        </is>
      </c>
      <c r="F1030" s="32" t="inlineStr">
        <is>
          <t>Menlo Park, CA</t>
        </is>
      </c>
      <c r="G1030" s="33" t="inlineStr">
        <is>
          <t>Privately Held (backing)</t>
        </is>
      </c>
      <c r="H1030" s="34" t="inlineStr">
        <is>
          <t>Venture Capital-Backed</t>
        </is>
      </c>
      <c r="I1030" s="35" t="inlineStr">
        <is>
          <t>Arafura Ventures, Georgios Papadopoulos, Ilya Sukhar, Individual Investor, Jonathan Siegel, Paul Kenny, Right Ventures, Thanos Triant, The Woodside Financial Group, Toba Capital</t>
        </is>
      </c>
      <c r="J1030" s="36" t="inlineStr">
        <is>
          <t>www.transifex.com</t>
        </is>
      </c>
      <c r="K1030" s="37" t="inlineStr">
        <is>
          <t>info@transifex.com</t>
        </is>
      </c>
      <c r="L1030" s="38" t="inlineStr">
        <is>
          <t/>
        </is>
      </c>
      <c r="M1030" s="39" t="inlineStr">
        <is>
          <t>Dimitris Glezos</t>
        </is>
      </c>
      <c r="N1030" s="40" t="inlineStr">
        <is>
          <t>Chief Executive Officer &amp; Founder</t>
        </is>
      </c>
      <c r="O1030" s="41" t="inlineStr">
        <is>
          <t>dimitris@transifex.com</t>
        </is>
      </c>
      <c r="P1030" s="42" t="inlineStr">
        <is>
          <t/>
        </is>
      </c>
      <c r="Q1030" s="43" t="n">
        <v>2009.0</v>
      </c>
      <c r="R1030" s="114">
        <f>HYPERLINK("https://my.pitchbook.com?c=61382-89", "View company online")</f>
      </c>
    </row>
    <row r="1033">
      <c r="A1033" s="115"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16">
        <v>26</v>
      </c>
    </row>
    <row r="3">
      <c r="A3" t="s" s="117">
        <v>27</v>
      </c>
    </row>
    <row r="4">
      <c r="A4" t="s" s="125">
        <f>HYPERLINK("mailto:clientservices@pitchbook.com ", "clientservices@pitchbook.com ")</f>
      </c>
    </row>
    <row r="6">
      <c r="A6" t="s" s="119">
        <v>29</v>
      </c>
      <c r="B6" t="s" s="124">
        <f>HYPERLINK("http://www.pitchbook.com/agreement", "PitchBook User Agreement")</f>
      </c>
      <c r="C6" t="s" s="121">
        <v>31</v>
      </c>
    </row>
    <row r="8">
      <c r="A8" t="s" s="122">
        <v>32</v>
      </c>
      <c r="I8" t="s" s="126">
        <f>HYPERLINK("mailto:clientservices@pitchbook.com", "clientservices@pitchbook.com.")</f>
      </c>
    </row>
    <row r="10">
      <c r="A10" t="s" s="127">
        <v>34</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