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F688" authorId="0">
      <text>
        <t>Expected</t>
      </text>
    </comment>
  </commentList>
</comments>
</file>

<file path=xl/sharedStrings.xml><?xml version="1.0" encoding="utf-8"?>
<sst xmlns="http://schemas.openxmlformats.org/spreadsheetml/2006/main" count="40" uniqueCount="39">
  <si>
    <t>Search Criteria:</t>
  </si>
  <si>
    <t>Downloaded on:</t>
  </si>
  <si>
    <t xml:space="preserve"> </t>
  </si>
  <si>
    <t>Created for:</t>
  </si>
  <si>
    <t>My Layout: Last Financing Details</t>
  </si>
  <si>
    <t xml:space="preserve">Location: United States &gt; West Coast &gt; California; Backing Status: VC-backed; Ownership Status: Privately held (backing); </t>
  </si>
  <si>
    <t>6/12/2017</t>
  </si>
  <si>
    <t>Dave Kochbeck, Silicon Valley Bank (Parent)</t>
  </si>
  <si>
    <t>Company ID</t>
  </si>
  <si>
    <t>Company Name</t>
  </si>
  <si>
    <t>Revenue</t>
  </si>
  <si>
    <t>Growth Rate</t>
  </si>
  <si>
    <t>Size Multiple</t>
  </si>
  <si>
    <t>Last Financing Date</t>
  </si>
  <si>
    <t>Last Financing Deal Type</t>
  </si>
  <si>
    <t xml:space="preserve">Last Financing Deal Type 2 </t>
  </si>
  <si>
    <t>Last Financing Size</t>
  </si>
  <si>
    <t>Last Financing Valuation</t>
  </si>
  <si>
    <t>Last Financing Status</t>
  </si>
  <si>
    <t>Ownership Status</t>
  </si>
  <si>
    <t>Company Financing Status</t>
  </si>
  <si>
    <t>Financing Status Note</t>
  </si>
  <si>
    <t>Active Investors</t>
  </si>
  <si>
    <t>Acquirers</t>
  </si>
  <si>
    <t>Primary Industry Code</t>
  </si>
  <si>
    <t>Description</t>
  </si>
  <si>
    <t>HQ Location</t>
  </si>
  <si>
    <t>Website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</si>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</sst>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4">
    <numFmt numFmtId="165" formatCode="#,##0.00;[red](#,##0.00)"/>
    <numFmt numFmtId="166" formatCode="#,##0.00&quot;%&quot;;[red]-#,##0.00&quot;%&quot;"/>
    <numFmt numFmtId="167" formatCode="#,##0.00x;[red]-#,##0.00x"/>
    <numFmt numFmtId="168" formatCode="dd-MMM-yyyy"/>
  </numFmts>
  <fonts count="146">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46">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165" fontId="11" fillId="6" borderId="6" xfId="0" applyFill="true" applyFont="true" applyBorder="true" applyNumberFormat="true">
      <alignment horizontal="right" vertical="top" indent="1" wrapText="false"/>
    </xf>
    <xf numFmtId="166" fontId="12" fillId="6" borderId="6" xfId="0" applyFill="true" applyFont="true" applyBorder="true" applyNumberFormat="true">
      <alignment horizontal="right" vertical="top" indent="1" wrapText="false"/>
    </xf>
    <xf numFmtId="167" fontId="13" fillId="6" borderId="6" xfId="0" applyFill="true" applyFont="true" applyBorder="true" applyNumberFormat="true">
      <alignment horizontal="right" vertical="top" indent="1" wrapText="false"/>
    </xf>
    <xf numFmtId="168" fontId="14" fillId="6" borderId="6" xfId="0" applyFill="true" applyFont="true" applyBorder="true" applyNumberFormat="true">
      <alignment horizontal="righ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165" fontId="17" fillId="6" borderId="6" xfId="0" applyFill="true" applyFont="true" applyBorder="true" applyNumberFormat="true">
      <alignment horizontal="right" vertical="top" indent="1" wrapText="false"/>
    </xf>
    <xf numFmtId="165"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0" fontId="26" fillId="6" borderId="6" xfId="0" applyFill="true" applyFont="true" applyBorder="true">
      <alignment horizontal="lef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0" fontId="29" fillId="6" borderId="6" xfId="0" applyFill="true" applyFont="true" applyBorder="true">
      <alignment horizontal="general" vertical="top" indent="1" wrapText="false"/>
    </xf>
    <xf numFmtId="0" fontId="30" fillId="8" borderId="6" xfId="0" applyFill="true" applyFont="true" applyBorder="true">
      <alignment horizontal="general" vertical="top" indent="1" wrapText="false"/>
    </xf>
    <xf numFmtId="0" fontId="31" fillId="8" borderId="6" xfId="0" applyFill="true" applyFont="true" applyBorder="true">
      <alignment horizontal="left" vertical="top" indent="1" wrapText="false"/>
    </xf>
    <xf numFmtId="165" fontId="32" fillId="8" borderId="6" xfId="0" applyFill="true" applyFont="true" applyBorder="true" applyNumberFormat="true">
      <alignment horizontal="right" vertical="top" indent="1" wrapText="false"/>
    </xf>
    <xf numFmtId="166" fontId="33" fillId="8" borderId="6" xfId="0" applyFill="true" applyFont="true" applyBorder="true" applyNumberFormat="true">
      <alignment horizontal="right" vertical="top" indent="1" wrapText="false"/>
    </xf>
    <xf numFmtId="167" fontId="34" fillId="8" borderId="6" xfId="0" applyFill="true" applyFont="true" applyBorder="true" applyNumberFormat="true">
      <alignment horizontal="right" vertical="top" indent="1" wrapText="false"/>
    </xf>
    <xf numFmtId="168" fontId="35" fillId="8" borderId="6" xfId="0" applyFill="true" applyFont="true" applyBorder="true" applyNumberFormat="true">
      <alignment horizontal="right" vertical="top" indent="1" wrapText="false"/>
    </xf>
    <xf numFmtId="0" fontId="36" fillId="8" borderId="6" xfId="0" applyFill="true" applyFont="true" applyBorder="true">
      <alignment horizontal="left" vertical="top" indent="1" wrapText="false"/>
    </xf>
    <xf numFmtId="0" fontId="37" fillId="8" borderId="6" xfId="0" applyFill="true" applyFont="true" applyBorder="true">
      <alignment horizontal="left" vertical="top" indent="1" wrapText="false"/>
    </xf>
    <xf numFmtId="165" fontId="38" fillId="8" borderId="6" xfId="0" applyFill="true" applyFont="true" applyBorder="true" applyNumberFormat="true">
      <alignment horizontal="right" vertical="top" indent="1" wrapText="false"/>
    </xf>
    <xf numFmtId="165" fontId="39" fillId="8" borderId="6" xfId="0" applyFill="true" applyFont="true" applyBorder="true" applyNumberFormat="true">
      <alignment horizontal="righ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0" fontId="43" fillId="8" borderId="6" xfId="0" applyFill="true" applyFont="true" applyBorder="true">
      <alignment horizontal="left" vertical="top" indent="1" wrapText="false"/>
    </xf>
    <xf numFmtId="0" fontId="44" fillId="8" borderId="6" xfId="0" applyFill="true" applyFont="true" applyBorder="true">
      <alignment horizontal="left" vertical="top" indent="1" wrapText="false"/>
    </xf>
    <xf numFmtId="0" fontId="45" fillId="8" borderId="6" xfId="0" applyFill="true" applyFont="true" applyBorder="true">
      <alignment horizontal="left" vertical="top" indent="1" wrapText="false"/>
    </xf>
    <xf numFmtId="0" fontId="46" fillId="8" borderId="6" xfId="0" applyFill="true" applyFont="true" applyBorder="true">
      <alignment horizontal="left" vertical="top" indent="1" wrapText="false"/>
    </xf>
    <xf numFmtId="0" fontId="47" fillId="8" borderId="6" xfId="0" applyFill="true" applyFont="true" applyBorder="true">
      <alignment horizontal="left" vertical="top" indent="1" wrapText="false"/>
    </xf>
    <xf numFmtId="0" fontId="48" fillId="8" borderId="6" xfId="0" applyFill="true" applyFont="true" applyBorder="true">
      <alignment horizontal="left" vertical="top" indent="1" wrapText="false"/>
    </xf>
    <xf numFmtId="0" fontId="49" fillId="8" borderId="6" xfId="0" applyFill="true" applyFont="true" applyBorder="true">
      <alignment horizontal="left" vertical="top" indent="1" wrapText="false"/>
    </xf>
    <xf numFmtId="0" fontId="50" fillId="8" borderId="6" xfId="0" applyFill="true" applyFont="true" applyBorder="true">
      <alignment horizontal="general" vertical="top" indent="1" wrapText="false"/>
    </xf>
    <xf numFmtId="0" fontId="51" fillId="6" borderId="6" xfId="0" applyFill="true" applyFont="true" applyBorder="true">
      <alignment horizontal="general" vertical="top" indent="1" wrapText="false"/>
    </xf>
    <xf numFmtId="0" fontId="52" fillId="6" borderId="6" xfId="0" applyFill="true" applyFont="true" applyBorder="true">
      <alignment horizontal="left" vertical="top" indent="1" wrapText="false"/>
    </xf>
    <xf numFmtId="165" fontId="53" fillId="6" borderId="6" xfId="0" applyFill="true" applyFont="true" applyBorder="true" applyNumberFormat="true">
      <alignment horizontal="right" vertical="top" indent="1" wrapText="false"/>
    </xf>
    <xf numFmtId="166" fontId="54" fillId="6" borderId="6" xfId="0" applyFill="true" applyFont="true" applyBorder="true" applyNumberFormat="true">
      <alignment horizontal="right" vertical="top" indent="1" wrapText="false"/>
    </xf>
    <xf numFmtId="167" fontId="55" fillId="6" borderId="6" xfId="0" applyFill="true" applyFont="true" applyBorder="true" applyNumberFormat="true">
      <alignment horizontal="right" vertical="top" indent="1" wrapText="false"/>
    </xf>
    <xf numFmtId="168" fontId="56" fillId="6" borderId="6" xfId="0" applyFill="true" applyFont="true" applyBorder="true" applyNumberFormat="true">
      <alignment horizontal="righ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165" fontId="59" fillId="6" borderId="6" xfId="0" applyFill="true" applyFont="true" applyBorder="true" applyNumberFormat="true">
      <alignment horizontal="right" vertical="top" indent="1" wrapText="false"/>
    </xf>
    <xf numFmtId="165" fontId="60" fillId="6" borderId="6" xfId="0" applyFill="true" applyFont="true" applyBorder="true" applyNumberFormat="true">
      <alignment horizontal="righ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0" fontId="67" fillId="6" borderId="6" xfId="0" applyFill="true" applyFont="true" applyBorder="true">
      <alignment horizontal="left" vertical="top" indent="1" wrapText="false"/>
    </xf>
    <xf numFmtId="0" fontId="68" fillId="6" borderId="6" xfId="0" applyFill="true" applyFont="true" applyBorder="true">
      <alignment horizontal="left" vertical="top" indent="1" wrapText="false"/>
    </xf>
    <xf numFmtId="0" fontId="69" fillId="6" borderId="6" xfId="0" applyFill="true" applyFont="true" applyBorder="true">
      <alignment horizontal="left" vertical="top" indent="1" wrapText="false"/>
    </xf>
    <xf numFmtId="0" fontId="70" fillId="6" borderId="6" xfId="0" applyFill="true" applyFont="true" applyBorder="true">
      <alignment horizontal="left" vertical="top" indent="1" wrapText="false"/>
    </xf>
    <xf numFmtId="0" fontId="71" fillId="6" borderId="6" xfId="0" applyFill="true" applyFont="true" applyBorder="true">
      <alignment horizontal="general" vertical="top" indent="1" wrapText="false"/>
    </xf>
    <xf numFmtId="0" fontId="72" fillId="8" borderId="6" xfId="0" applyFill="true" applyFont="true" applyBorder="true">
      <alignment horizontal="general" vertical="top" indent="1" wrapText="false"/>
    </xf>
    <xf numFmtId="0" fontId="73" fillId="8" borderId="6" xfId="0" applyFill="true" applyFont="true" applyBorder="true">
      <alignment horizontal="left" vertical="top" indent="1" wrapText="false"/>
    </xf>
    <xf numFmtId="165" fontId="74" fillId="8" borderId="6" xfId="0" applyFill="true" applyFont="true" applyBorder="true" applyNumberFormat="true">
      <alignment horizontal="right" vertical="top" indent="1" wrapText="false"/>
    </xf>
    <xf numFmtId="166" fontId="75" fillId="8" borderId="6" xfId="0" applyFill="true" applyFont="true" applyBorder="true" applyNumberFormat="true">
      <alignment horizontal="right" vertical="top" indent="1" wrapText="false"/>
    </xf>
    <xf numFmtId="167" fontId="76" fillId="8" borderId="6" xfId="0" applyFill="true" applyFont="true" applyBorder="true" applyNumberFormat="true">
      <alignment horizontal="right" vertical="top" indent="1" wrapText="false"/>
    </xf>
    <xf numFmtId="168" fontId="77" fillId="8" borderId="6" xfId="0" applyFill="true" applyFont="true" applyBorder="true" applyNumberFormat="true">
      <alignment horizontal="right" vertical="top" indent="1" wrapText="false"/>
    </xf>
    <xf numFmtId="0" fontId="78" fillId="8" borderId="6" xfId="0" applyFill="true" applyFont="true" applyBorder="true">
      <alignment horizontal="left" vertical="top" indent="1" wrapText="false"/>
    </xf>
    <xf numFmtId="0" fontId="79" fillId="8" borderId="6" xfId="0" applyFill="true" applyFont="true" applyBorder="true">
      <alignment horizontal="left" vertical="top" indent="1" wrapText="false"/>
    </xf>
    <xf numFmtId="165" fontId="80" fillId="8" borderId="6" xfId="0" applyFill="true" applyFont="true" applyBorder="true" applyNumberFormat="true">
      <alignment horizontal="right" vertical="top" indent="1" wrapText="false"/>
    </xf>
    <xf numFmtId="165" fontId="81" fillId="8" borderId="6" xfId="0" applyFill="true" applyFont="true" applyBorder="true" applyNumberFormat="true">
      <alignment horizontal="right" vertical="top" indent="1" wrapText="false"/>
    </xf>
    <xf numFmtId="0" fontId="82" fillId="8" borderId="6" xfId="0" applyFill="true" applyFont="true" applyBorder="true">
      <alignment horizontal="left" vertical="top" indent="1" wrapText="false"/>
    </xf>
    <xf numFmtId="0" fontId="83" fillId="8"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0" fontId="85" fillId="8" borderId="6" xfId="0" applyFill="true" applyFont="true" applyBorder="true">
      <alignment horizontal="left" vertical="top" indent="1" wrapText="false"/>
    </xf>
    <xf numFmtId="0" fontId="86" fillId="8" borderId="6" xfId="0" applyFill="true" applyFont="true" applyBorder="true">
      <alignment horizontal="left" vertical="top" indent="1" wrapText="false"/>
    </xf>
    <xf numFmtId="0" fontId="87" fillId="8" borderId="6" xfId="0" applyFill="true" applyFont="true" applyBorder="true">
      <alignment horizontal="left" vertical="top" indent="1" wrapText="false"/>
    </xf>
    <xf numFmtId="0" fontId="88" fillId="8" borderId="6" xfId="0" applyFill="true" applyFont="true" applyBorder="true">
      <alignment horizontal="left" vertical="top" indent="1" wrapText="false"/>
    </xf>
    <xf numFmtId="0" fontId="89" fillId="8" borderId="6" xfId="0" applyFill="true" applyFont="true" applyBorder="true">
      <alignment horizontal="left" vertical="top" indent="1" wrapText="false"/>
    </xf>
    <xf numFmtId="0" fontId="90" fillId="8" borderId="6" xfId="0" applyFill="true" applyFont="true" applyBorder="true">
      <alignment horizontal="left" vertical="top" indent="1" wrapText="false"/>
    </xf>
    <xf numFmtId="0" fontId="91" fillId="8" borderId="6" xfId="0" applyFill="true" applyFont="true" applyBorder="true">
      <alignment horizontal="left" vertical="top" indent="1" wrapText="false"/>
    </xf>
    <xf numFmtId="0" fontId="92" fillId="8" borderId="6" xfId="0" applyFill="true" applyFont="true" applyBorder="true">
      <alignment horizontal="general"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165" fontId="97" fillId="6" borderId="6" xfId="0" applyFill="true" applyFont="true" applyBorder="true" applyNumberFormat="true">
      <alignment horizontal="left" vertical="top" indent="1" wrapText="false"/>
    </xf>
    <xf numFmtId="165" fontId="98" fillId="8" borderId="6" xfId="0" applyFill="true" applyFont="true" applyBorder="true" applyNumberFormat="true">
      <alignment horizontal="left" vertical="top" indent="1" wrapText="false"/>
    </xf>
    <xf numFmtId="166" fontId="99" fillId="6" borderId="6" xfId="0" applyFill="true" applyFont="true" applyBorder="true" applyNumberFormat="true">
      <alignment horizontal="left" vertical="top" indent="1" wrapText="false"/>
    </xf>
    <xf numFmtId="166" fontId="100" fillId="8" borderId="6" xfId="0" applyFill="true" applyFont="true" applyBorder="true" applyNumberFormat="true">
      <alignment horizontal="left" vertical="top" indent="1" wrapText="false"/>
    </xf>
    <xf numFmtId="167" fontId="101" fillId="6" borderId="6" xfId="0" applyFill="true" applyFont="true" applyBorder="true" applyNumberFormat="true">
      <alignment horizontal="left" vertical="top" indent="1" wrapText="false"/>
    </xf>
    <xf numFmtId="167" fontId="102" fillId="8" borderId="6" xfId="0" applyFill="true" applyFont="true" applyBorder="true" applyNumberFormat="true">
      <alignment horizontal="left" vertical="top" indent="1" wrapText="false"/>
    </xf>
    <xf numFmtId="168" fontId="103" fillId="6" borderId="6" xfId="0" applyFill="true" applyFont="true" applyBorder="true" applyNumberFormat="true">
      <alignment horizontal="left" vertical="top" indent="1" wrapText="false"/>
    </xf>
    <xf numFmtId="168" fontId="104" fillId="8" borderId="6" xfId="0" applyFill="true" applyFont="true" applyBorder="true" applyNumberFormat="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165" fontId="109" fillId="6" borderId="6" xfId="0" applyFill="true" applyFont="true" applyBorder="true" applyNumberFormat="true">
      <alignment horizontal="left" vertical="top" indent="1" wrapText="false"/>
    </xf>
    <xf numFmtId="165" fontId="110" fillId="8" borderId="6" xfId="0" applyFill="true" applyFont="true" applyBorder="true" applyNumberFormat="true">
      <alignment horizontal="left" vertical="top" indent="1" wrapText="false"/>
    </xf>
    <xf numFmtId="165" fontId="111" fillId="6" borderId="6" xfId="0" applyFill="true" applyFont="true" applyBorder="true" applyNumberFormat="true">
      <alignment horizontal="left" vertical="top" indent="1" wrapText="false"/>
    </xf>
    <xf numFmtId="165" fontId="112" fillId="8" borderId="6" xfId="0" applyFill="true" applyFont="true" applyBorder="true" applyNumberFormat="true">
      <alignment horizontal="left" vertical="top" indent="1" wrapText="false"/>
    </xf>
    <xf numFmtId="0" fontId="113" fillId="6" borderId="6" xfId="0" applyFill="true" applyFont="true" applyBorder="true">
      <alignment horizontal="left" vertical="top" indent="1" wrapText="false"/>
    </xf>
    <xf numFmtId="0" fontId="114" fillId="8" borderId="6" xfId="0" applyFill="true" applyFont="true" applyBorder="true">
      <alignment horizontal="left" vertical="top" indent="1" wrapText="false"/>
    </xf>
    <xf numFmtId="0" fontId="115" fillId="6" borderId="6" xfId="0" applyFill="true" applyFont="true" applyBorder="true">
      <alignment horizontal="left" vertical="top" indent="1" wrapText="false"/>
    </xf>
    <xf numFmtId="0" fontId="116" fillId="8" borderId="6" xfId="0" applyFill="true" applyFont="true" applyBorder="true">
      <alignment horizontal="left" vertical="top" indent="1" wrapText="false"/>
    </xf>
    <xf numFmtId="0" fontId="117" fillId="6" borderId="6" xfId="0" applyFill="true" applyFont="true" applyBorder="true">
      <alignment horizontal="left" vertical="top" indent="1" wrapText="false"/>
    </xf>
    <xf numFmtId="0" fontId="118" fillId="8" borderId="6" xfId="0" applyFill="true" applyFont="true" applyBorder="true">
      <alignment horizontal="left" vertical="top" indent="1" wrapText="false"/>
    </xf>
    <xf numFmtId="0" fontId="119" fillId="6" borderId="6" xfId="0" applyFill="true" applyFont="true" applyBorder="true">
      <alignment horizontal="left" vertical="top" indent="1" wrapText="false"/>
    </xf>
    <xf numFmtId="0" fontId="120" fillId="8" borderId="6" xfId="0" applyFill="true" applyFont="true" applyBorder="true">
      <alignment horizontal="left" vertical="top" indent="1" wrapText="false"/>
    </xf>
    <xf numFmtId="0" fontId="121" fillId="6" borderId="6" xfId="0" applyFill="true" applyFont="true" applyBorder="true">
      <alignment horizontal="left" vertical="top" indent="1" wrapText="false"/>
    </xf>
    <xf numFmtId="0" fontId="122" fillId="8" borderId="6" xfId="0" applyFill="true" applyFont="true" applyBorder="true">
      <alignment horizontal="left" vertical="top" indent="1" wrapText="false"/>
    </xf>
    <xf numFmtId="0" fontId="123" fillId="6" borderId="6" xfId="0" applyFill="true" applyFont="true" applyBorder="true">
      <alignment horizontal="left" vertical="top" indent="1" wrapText="false"/>
    </xf>
    <xf numFmtId="0" fontId="124" fillId="8" borderId="6" xfId="0" applyFill="true" applyFont="true" applyBorder="true">
      <alignment horizontal="left" vertical="top" indent="1" wrapText="false"/>
    </xf>
    <xf numFmtId="0" fontId="125" fillId="6" borderId="6" xfId="0" applyFill="true" applyFont="true" applyBorder="true">
      <alignment horizontal="left" vertical="top" indent="1" wrapText="false"/>
    </xf>
    <xf numFmtId="0" fontId="126" fillId="8" borderId="6" xfId="0" applyFill="true" applyFont="true" applyBorder="true">
      <alignment horizontal="left" vertical="top" indent="1" wrapText="false"/>
    </xf>
    <xf numFmtId="0" fontId="127" fillId="6" borderId="6" xfId="0" applyFill="true" applyFont="true" applyBorder="true">
      <alignment horizontal="left" vertical="top" indent="1" wrapText="false"/>
    </xf>
    <xf numFmtId="0" fontId="128" fillId="8" borderId="6" xfId="0" applyFill="true" applyFont="true" applyBorder="true">
      <alignment horizontal="left" vertical="top" indent="1" wrapText="false"/>
    </xf>
    <xf numFmtId="0" fontId="129" fillId="6" borderId="6" xfId="0" applyFill="true" applyFont="true" applyBorder="true">
      <alignment horizontal="left" vertical="top" indent="1" wrapText="false"/>
    </xf>
    <xf numFmtId="0" fontId="130" fillId="8" borderId="6" xfId="0" applyFill="true" applyFont="true" applyBorder="true">
      <alignment horizontal="left" vertical="top" indent="1" wrapText="false"/>
    </xf>
    <xf numFmtId="0" fontId="131" fillId="6" borderId="6" xfId="0" applyFill="true" applyFont="true" applyBorder="true">
      <alignment horizontal="left" vertical="top" indent="1" wrapText="false"/>
    </xf>
    <xf numFmtId="0" fontId="132" fillId="8" borderId="6" xfId="0" applyFill="true" applyFont="true" applyBorder="true">
      <alignment horizontal="left" vertical="top" indent="1" wrapText="false"/>
    </xf>
    <xf numFmtId="0" fontId="133" fillId="0" borderId="0" xfId="0" applyFont="true">
      <alignment horizontal="general" vertical="bottom"/>
    </xf>
    <xf numFmtId="0" fontId="134" fillId="9" borderId="0" xfId="0" applyFont="true" applyFill="true" applyNumberFormat="true"/>
    <xf numFmtId="0" fontId="135" fillId="9" borderId="0" xfId="0" applyFont="true" applyFill="true" applyNumberFormat="true"/>
    <xf numFmtId="0" fontId="136" fillId="9" borderId="0" xfId="1" applyFont="true" applyFill="true" applyAlignment="1" applyProtection="1" applyNumberFormat="true"/>
    <xf numFmtId="0" fontId="137" fillId="9" borderId="0" xfId="0" applyFont="true" applyFill="true" applyNumberFormat="true"/>
    <xf numFmtId="0" fontId="138" fillId="9" borderId="0" xfId="2" applyFont="true" applyFill="true" applyAlignment="1" applyProtection="1" applyNumberFormat="true"/>
    <xf numFmtId="0" fontId="139" fillId="9" borderId="0" xfId="0" applyFont="true" applyFill="true" applyNumberFormat="true"/>
    <xf numFmtId="0" fontId="140" fillId="9" borderId="0" xfId="0" applyFont="true" applyFill="true" applyNumberFormat="true"/>
    <xf numFmtId="0" fontId="141" fillId="9" borderId="0" xfId="2" applyFont="true" applyFill="true" applyAlignment="1" applyProtection="1" applyNumberFormat="true"/>
    <xf numFmtId="0" fontId="142" fillId="9" borderId="0" xfId="2" applyFont="true" applyFill="true" applyAlignment="1" applyProtection="1" applyNumberFormat="true"/>
    <xf numFmtId="0" fontId="143" fillId="9" borderId="0" xfId="1" applyFont="true" applyFill="true" applyAlignment="1" applyProtection="1" applyNumberFormat="true"/>
    <xf numFmtId="0" fontId="144" fillId="9" borderId="0" xfId="2" applyFont="true" applyFill="true" applyAlignment="1" applyProtection="1" applyNumberFormat="true"/>
    <xf numFmtId="0" fontId="145"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10.83984375" collapsed="true"/>
    <col min="3" max="3" customWidth="true" width="8.52734375" collapsed="true"/>
    <col min="1" max="1" customWidth="true" width="10.83984375" collapsed="true"/>
    <col min="2" max="2" customWidth="true" width="33.2421875" collapsed="true"/>
    <col min="7" max="7" customWidth="true" width="17.77734375" collapsed="true"/>
    <col min="5" max="5" width="10.83984375" customWidth="true"/>
    <col min="6" max="6" width="13.0078125" customWidth="true"/>
    <col min="8" max="8" width="17.34375" customWidth="true"/>
    <col min="9" max="9" width="12.140625" customWidth="true"/>
    <col min="10" max="10" width="12.140625" customWidth="true"/>
    <col min="11" max="11" width="14.453125" customWidth="true"/>
    <col min="12" max="12" width="11.5625" customWidth="true"/>
    <col min="13" max="13" width="18.7890625" customWidth="true"/>
    <col min="14" max="14" width="28.90625" customWidth="true"/>
    <col min="15" max="15" width="28.90625" customWidth="true"/>
    <col min="16" max="16" width="28.90625" customWidth="true"/>
    <col min="17" max="17" width="28.18359375" customWidth="true"/>
    <col min="18" max="18" width="33.2421875" customWidth="true"/>
    <col min="19" max="19" width="20.234375" customWidth="true"/>
    <col min="20" max="20" width="18.7890625" customWidth="true"/>
    <col min="21" max="21"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8">
        <v>28</v>
      </c>
    </row>
    <row r="9">
      <c r="A9" s="9" t="inlineStr">
        <is>
          <t>61743-97</t>
        </is>
      </c>
      <c r="B9" s="10" t="inlineStr">
        <is>
          <t>ZypMedia</t>
        </is>
      </c>
      <c r="C9" s="11" t="inlineStr">
        <is>
          <t/>
        </is>
      </c>
      <c r="D9" s="12" t="n">
        <v>0.0</v>
      </c>
      <c r="E9" s="13" t="n">
        <v>0.1440677966101695</v>
      </c>
      <c r="F9" s="14" t="n">
        <v>42118.0</v>
      </c>
      <c r="G9" s="15" t="inlineStr">
        <is>
          <t>Early Stage VC</t>
        </is>
      </c>
      <c r="H9" s="16" t="inlineStr">
        <is>
          <t>Series B</t>
        </is>
      </c>
      <c r="I9" s="17" t="n">
        <v>4.42</v>
      </c>
      <c r="J9" s="18" t="n">
        <v>9.47</v>
      </c>
      <c r="K9" s="19" t="inlineStr">
        <is>
          <t>Completed</t>
        </is>
      </c>
      <c r="L9" s="20" t="inlineStr">
        <is>
          <t>Privately Held (backing)</t>
        </is>
      </c>
      <c r="M9" s="21" t="inlineStr">
        <is>
          <t>Venture Capital-Backed</t>
        </is>
      </c>
      <c r="N9" s="22" t="inlineStr">
        <is>
          <t>The company raised $4.42 million of Series B venture funding led by Sinclair Digital Ventures on April 24, 2015, putting the company's pre-money valuation at $5.04 million. U.S. Venture Partners also participated.</t>
        </is>
      </c>
      <c r="O9" s="23" t="inlineStr">
        <is>
          <t>Sinclair Broadcast Group, Sinclair Digital Ventures, US Venture Partners</t>
        </is>
      </c>
      <c r="P9" s="24" t="inlineStr">
        <is>
          <t/>
        </is>
      </c>
      <c r="Q9" s="25" t="inlineStr">
        <is>
          <t>Social/Platform Software</t>
        </is>
      </c>
      <c r="R9" s="26" t="inlineStr">
        <is>
          <t>Developer of an online advertisement platform for local online video advertising. The company provides an online platform through which large and local advertisement sales force can connect to online sources of geo-targeted video inventory and provides tools that enable them to execute advertisement campaigns on behalf of their clients.</t>
        </is>
      </c>
      <c r="S9" s="27" t="inlineStr">
        <is>
          <t>San Francisco, CA</t>
        </is>
      </c>
      <c r="T9" s="28" t="inlineStr">
        <is>
          <t>www.zypmedia.com</t>
        </is>
      </c>
      <c r="U9" s="131">
        <f>HYPERLINK("https://my.pitchbook.com?c=61743-97", "View company online")</f>
      </c>
    </row>
    <row r="10">
      <c r="A10" s="30" t="inlineStr">
        <is>
          <t>103815-64</t>
        </is>
      </c>
      <c r="B10" s="31" t="inlineStr">
        <is>
          <t>Zype</t>
        </is>
      </c>
      <c r="C10" s="32" t="inlineStr">
        <is>
          <t/>
        </is>
      </c>
      <c r="D10" s="33" t="n">
        <v>0.9199516183946573</v>
      </c>
      <c r="E10" s="34" t="n">
        <v>9.045216281656959</v>
      </c>
      <c r="F10" s="35" t="n">
        <v>42583.0</v>
      </c>
      <c r="G10" s="36" t="inlineStr">
        <is>
          <t>Seed Round</t>
        </is>
      </c>
      <c r="H10" s="37" t="inlineStr">
        <is>
          <t>Seed</t>
        </is>
      </c>
      <c r="I10" s="38" t="n">
        <v>3.6</v>
      </c>
      <c r="J10" s="39" t="n">
        <v>10.05</v>
      </c>
      <c r="K10" s="40" t="inlineStr">
        <is>
          <t>Completed</t>
        </is>
      </c>
      <c r="L10" s="41" t="inlineStr">
        <is>
          <t>Privately Held (backing)</t>
        </is>
      </c>
      <c r="M10" s="42" t="inlineStr">
        <is>
          <t>Venture Capital-Backed</t>
        </is>
      </c>
      <c r="N10" s="43" t="inlineStr">
        <is>
          <t>The company raised $3.6 million of seed venture funding in a deal led by Revel Partners on August 1, 2016, putting the company's pre-money valuation at $6.45 million. Point Nine Capital, Alpine Meridian Ventures, Berlin Ventures, Entrepreneurs Investment Fund, Terrapin Bale Ventures, Walker Jacobs, Chip Russo, Michael Kassan, Evan Greenberg, Gordon Paddison, Todd Barrish, Michael Barrett, Geoff Judge, Brian Fitzgerald and John Maloney also participated in the round. The funds will be used for research and development, as well as sales and marketing initiatives to capitalize on the company's recent growth.</t>
        </is>
      </c>
      <c r="O10" s="44" t="inlineStr">
        <is>
          <t>Alpine Meridian, Berlin Ventures, Bill Dolan, Brian Fitzgerald, Chip Russo, Entrepreneurs Investment Fund, Evan Greenberg, Geoff Judge, Gordon Paddison, John Maloney, Michael Barrett, Michael Kassan, Point Nine Capital, Revel Partners, SXSW Accelerator, Terrapin Bale, Todd Barrish, Walker Jacobs</t>
        </is>
      </c>
      <c r="P10" s="45" t="inlineStr">
        <is>
          <t/>
        </is>
      </c>
      <c r="Q10" s="46" t="inlineStr">
        <is>
          <t>Social/Platform Software</t>
        </is>
      </c>
      <c r="R10" s="47" t="inlineStr">
        <is>
          <t>Developer of a cloud platform for video publishing and distribution. The company's platform allows content owners to deliver their video content through mobile and desktop.</t>
        </is>
      </c>
      <c r="S10" s="48" t="inlineStr">
        <is>
          <t>New York, NY</t>
        </is>
      </c>
      <c r="T10" s="49" t="inlineStr">
        <is>
          <t>www.zype.com</t>
        </is>
      </c>
      <c r="U10" s="132">
        <f>HYPERLINK("https://my.pitchbook.com?c=103815-64", "View company online")</f>
      </c>
    </row>
    <row r="11">
      <c r="A11" s="9" t="inlineStr">
        <is>
          <t>60184-09</t>
        </is>
      </c>
      <c r="B11" s="10" t="inlineStr">
        <is>
          <t>Zyomed</t>
        </is>
      </c>
      <c r="C11" s="11" t="inlineStr">
        <is>
          <t/>
        </is>
      </c>
      <c r="D11" s="12" t="n">
        <v>0.0</v>
      </c>
      <c r="E11" s="13" t="n">
        <v>0.05405405405405406</v>
      </c>
      <c r="F11" s="14" t="n">
        <v>42507.0</v>
      </c>
      <c r="G11" s="15" t="inlineStr">
        <is>
          <t>Early Stage VC</t>
        </is>
      </c>
      <c r="H11" s="16" t="inlineStr">
        <is>
          <t>Series B2</t>
        </is>
      </c>
      <c r="I11" s="17" t="n">
        <v>10.61</v>
      </c>
      <c r="J11" s="18" t="n">
        <v>132.61</v>
      </c>
      <c r="K11" s="19" t="inlineStr">
        <is>
          <t>Completed</t>
        </is>
      </c>
      <c r="L11" s="20" t="inlineStr">
        <is>
          <t>Privately Held (backing)</t>
        </is>
      </c>
      <c r="M11" s="21" t="inlineStr">
        <is>
          <t>Venture Capital-Backed</t>
        </is>
      </c>
      <c r="N11" s="22" t="inlineStr">
        <is>
          <t>The company raised $10.6 million of Series B2 funding from Zyomed and other undisclosed investors on May 17, 2016, putting the pre-money valuation at $122 million. Previously, the company raised $8 million of Series B venture funding from undisclosed investors on May 23, 2014, putting the pre-money valuation at $37 million.</t>
        </is>
      </c>
      <c r="O11" s="23" t="inlineStr">
        <is>
          <t>Khosla Ventures, Samsung Electronics</t>
        </is>
      </c>
      <c r="P11" s="24" t="inlineStr">
        <is>
          <t/>
        </is>
      </c>
      <c r="Q11" s="25" t="inlineStr">
        <is>
          <t>Diagnostic Equipment</t>
        </is>
      </c>
      <c r="R11" s="26" t="inlineStr">
        <is>
          <t>Developer of non-invasive sensors for laboratory-scale medical diagnostics. The company offers photonic sensors for amplifying and tracking indirect spectral bio-markers associated with changes in blood or tissue chemistry.</t>
        </is>
      </c>
      <c r="S11" s="27" t="inlineStr">
        <is>
          <t>La Cañada Flintridge, CA</t>
        </is>
      </c>
      <c r="T11" s="28" t="inlineStr">
        <is>
          <t>www.zyomed.com</t>
        </is>
      </c>
      <c r="U11" s="131">
        <f>HYPERLINK("https://my.pitchbook.com?c=60184-09", "View company online")</f>
      </c>
    </row>
    <row r="12">
      <c r="A12" s="30" t="inlineStr">
        <is>
          <t>97130-35</t>
        </is>
      </c>
      <c r="B12" s="31" t="inlineStr">
        <is>
          <t>Zymergen</t>
        </is>
      </c>
      <c r="C12" s="32" t="n">
        <v>10.0</v>
      </c>
      <c r="D12" s="33" t="n">
        <v>0.6323762971753304</v>
      </c>
      <c r="E12" s="34" t="n">
        <v>5.185677202626355</v>
      </c>
      <c r="F12" s="35" t="n">
        <v>42650.0</v>
      </c>
      <c r="G12" s="36" t="inlineStr">
        <is>
          <t>Early Stage VC</t>
        </is>
      </c>
      <c r="H12" s="37" t="inlineStr">
        <is>
          <t>Series B</t>
        </is>
      </c>
      <c r="I12" s="38" t="n">
        <v>130.0</v>
      </c>
      <c r="J12" s="39" t="n">
        <v>471.76</v>
      </c>
      <c r="K12" s="40" t="inlineStr">
        <is>
          <t>Completed</t>
        </is>
      </c>
      <c r="L12" s="41" t="inlineStr">
        <is>
          <t>Privately Held (backing)</t>
        </is>
      </c>
      <c r="M12" s="42" t="inlineStr">
        <is>
          <t>Venture Capital-Backed</t>
        </is>
      </c>
      <c r="N12" s="43" t="inlineStr">
        <is>
          <t>The company raised $129.99 million of Series B venture funding in a deal led by Softbank on October 7, 2016, putting the pre-money valuation at $341.76 million. Data Collective, True Ventures, AME Cloud Ventures, Draper Fisher Jurvetson, Innovation Endeavors, Obvious Ventures, Two Sigma Ventures, ICONIQ Capital, Prelude Ventures and Tao Capital Partners also participated in the round. The company plans to use the funds to accelerate growth to further support customers and to recruit talent across software engineering, automation and biology.</t>
        </is>
      </c>
      <c r="O12" s="44" t="inlineStr">
        <is>
          <t>5 Prime Ventures, AME Cloud Ventures, Andy Warner, Bioeconomy Capital, Cok Mudde, Data Collective, David Beyer, Draper Fisher Jurvetson, Dror Berman, Euan Guttridge, GranBio Investimentos, Hard Valuable Fun, ICONIQ Capital, Innovation Endeavors, Jeffrey Huber, Jenny Rooke, Jeremy LaTrasse, Jesse Robbins, John Levisay, Karl Handelsman, Kevin Moore, Levisay Investment, Mark Collier, Mission Bay Capital, Nan Li, Nick Adams, Obvious Ventures, Prelude Ventures, SoftBank Group, Tao Capital Partners, True Ventures, Two Sigma Investments, Yushan Ventures</t>
        </is>
      </c>
      <c r="P12" s="45" t="inlineStr">
        <is>
          <t/>
        </is>
      </c>
      <c r="Q12" s="46" t="inlineStr">
        <is>
          <t>Other Business Products and Services</t>
        </is>
      </c>
      <c r="R12" s="47" t="inlineStr">
        <is>
          <t>Developer of procedures to optimize microbes for industrial fermentation. The company develops new approaches to create microbial strains efficiently on an industrial scale by applying advanced biology, automation, machine learning and data architecture.</t>
        </is>
      </c>
      <c r="S12" s="48" t="inlineStr">
        <is>
          <t>Emeryville, CA</t>
        </is>
      </c>
      <c r="T12" s="49" t="inlineStr">
        <is>
          <t>www.zymergen.com</t>
        </is>
      </c>
      <c r="U12" s="132">
        <f>HYPERLINK("https://my.pitchbook.com?c=97130-35", "View company online")</f>
      </c>
    </row>
    <row r="13">
      <c r="A13" s="9" t="inlineStr">
        <is>
          <t>52852-15</t>
        </is>
      </c>
      <c r="B13" s="10" t="inlineStr">
        <is>
          <t>Zyme</t>
        </is>
      </c>
      <c r="C13" s="11" t="inlineStr">
        <is>
          <t/>
        </is>
      </c>
      <c r="D13" s="12" t="n">
        <v>4.139861077912893</v>
      </c>
      <c r="E13" s="13" t="n">
        <v>5.683374352350034</v>
      </c>
      <c r="F13" s="14" t="n">
        <v>42837.0</v>
      </c>
      <c r="G13" s="15" t="inlineStr">
        <is>
          <t>Buyout/LBO</t>
        </is>
      </c>
      <c r="H13" s="16" t="inlineStr">
        <is>
          <t/>
        </is>
      </c>
      <c r="I13" s="17" t="n">
        <v>100.0</v>
      </c>
      <c r="J13" s="18" t="n">
        <v>100.0</v>
      </c>
      <c r="K13" s="19" t="inlineStr">
        <is>
          <t>Announced/In Progress</t>
        </is>
      </c>
      <c r="L13" s="20" t="inlineStr">
        <is>
          <t>Privately Held (backing)</t>
        </is>
      </c>
      <c r="M13" s="21" t="inlineStr">
        <is>
          <t>Venture Capital-Backed</t>
        </is>
      </c>
      <c r="N13" s="22" t="inlineStr">
        <is>
          <t>The company has entered into a definitive agreement to be acquired by Insight Venture Partners through a $100 million LBO on April 12, 2017. The deal is expected to be completed within the second quarter of 2017. The transaction will buy out a majority of existing investors and shareholders of the company, including early investor Susquehanna Growth Equity. The company which has raised more than $12 million in total funding to date, intends to use the funds to provide their customers with new ways to drive revenue through their indirect channels. Previously, the company raised $3 million of Series B1 venture funding from undisclosed investors on May 1, 2014. The company is being actively tracked by PitchBook.</t>
        </is>
      </c>
      <c r="O13" s="23" t="inlineStr">
        <is>
          <t>Artiman Ventures, Asiabio Zyme Solutions, Susquehanna Growth Equity</t>
        </is>
      </c>
      <c r="P13" s="24" t="inlineStr">
        <is>
          <t/>
        </is>
      </c>
      <c r="Q13" s="25" t="inlineStr">
        <is>
          <t>Media and Information Services (B2B)</t>
        </is>
      </c>
      <c r="R13" s="26" t="inlineStr">
        <is>
          <t>Provider of a channel data management cloud platform designed to acquire and use data originating from the channel. The company's New Smart Channel offers data management services, such as data consolidation, partner identification, sales-in sales-out reconciliation, project and business analytics, as well as provides payment validation and channel bench-marking services enabling companies to to optimize business processes like sales execution, inventory management, partner rebates and incentives, marketing and financial compliance.</t>
        </is>
      </c>
      <c r="S13" s="27" t="inlineStr">
        <is>
          <t>Redwood City, CA</t>
        </is>
      </c>
      <c r="T13" s="28" t="inlineStr">
        <is>
          <t>www.zyme.com</t>
        </is>
      </c>
      <c r="U13" s="131">
        <f>HYPERLINK("https://my.pitchbook.com?c=52852-15", "View company online")</f>
      </c>
    </row>
    <row r="14">
      <c r="A14" s="30" t="inlineStr">
        <is>
          <t>108882-55</t>
        </is>
      </c>
      <c r="B14" s="31" t="inlineStr">
        <is>
          <t>Zycada Networks</t>
        </is>
      </c>
      <c r="C14" s="32" t="inlineStr">
        <is>
          <t/>
        </is>
      </c>
      <c r="D14" s="33" t="n">
        <v>0.0</v>
      </c>
      <c r="E14" s="34" t="n">
        <v>0.2989387692777523</v>
      </c>
      <c r="F14" s="35" t="n">
        <v>42353.0</v>
      </c>
      <c r="G14" s="36" t="inlineStr">
        <is>
          <t>Early Stage VC</t>
        </is>
      </c>
      <c r="H14" s="37" t="inlineStr">
        <is>
          <t>Series A</t>
        </is>
      </c>
      <c r="I14" s="38" t="n">
        <v>2.5</v>
      </c>
      <c r="J14" s="39" t="n">
        <v>8.0</v>
      </c>
      <c r="K14" s="40" t="inlineStr">
        <is>
          <t>Completed</t>
        </is>
      </c>
      <c r="L14" s="41" t="inlineStr">
        <is>
          <t>Privately Held (backing)</t>
        </is>
      </c>
      <c r="M14" s="42" t="inlineStr">
        <is>
          <t>Venture Capital-Backed</t>
        </is>
      </c>
      <c r="N14" s="43" t="inlineStr">
        <is>
          <t>The company raised $2.5 million of Series A venture funding from Sierra Ventures, MicroVentures, Cervin Ventures and Jocelyn Goldfein on December 15, 2015, putting the company's pre-money valuation at $5.5 million. Alchemist Accelerator and Chris Sang also participated in the round. Previously, the company joined Alchemist Accelerator as a part of Class X in September 2015.</t>
        </is>
      </c>
      <c r="O14" s="44" t="inlineStr">
        <is>
          <t>Alchemist Accelerator, Cervin Ventures, Chris Sang, Jocelyn Goldfein, MicroVentures, Sierra Ventures</t>
        </is>
      </c>
      <c r="P14" s="45" t="inlineStr">
        <is>
          <t/>
        </is>
      </c>
      <c r="Q14" s="46" t="inlineStr">
        <is>
          <t>Application Software</t>
        </is>
      </c>
      <c r="R14" s="47" t="inlineStr">
        <is>
          <t>Provider of a B2B networking and routing platform. The company offers an application that solves mobile network issues caused by factors such as network congestion and data packet loss.</t>
        </is>
      </c>
      <c r="S14" s="48" t="inlineStr">
        <is>
          <t>Milpitas, CA</t>
        </is>
      </c>
      <c r="T14" s="49" t="inlineStr">
        <is>
          <t>www.zycada.com</t>
        </is>
      </c>
      <c r="U14" s="132">
        <f>HYPERLINK("https://my.pitchbook.com?c=108882-55", "View company online")</f>
      </c>
    </row>
    <row r="15">
      <c r="A15" s="9" t="inlineStr">
        <is>
          <t>62229-34</t>
        </is>
      </c>
      <c r="B15" s="10" t="inlineStr">
        <is>
          <t>Zyante</t>
        </is>
      </c>
      <c r="C15" s="11" t="inlineStr">
        <is>
          <t/>
        </is>
      </c>
      <c r="D15" s="12" t="n">
        <v>0.0789525067407773</v>
      </c>
      <c r="E15" s="13" t="n">
        <v>0.7600677264273432</v>
      </c>
      <c r="F15" s="14" t="n">
        <v>42410.0</v>
      </c>
      <c r="G15" s="15" t="inlineStr">
        <is>
          <t>Early Stage VC</t>
        </is>
      </c>
      <c r="H15" s="16" t="inlineStr">
        <is>
          <t>Series A</t>
        </is>
      </c>
      <c r="I15" s="17" t="n">
        <v>4.0</v>
      </c>
      <c r="J15" s="18" t="n">
        <v>10.0</v>
      </c>
      <c r="K15" s="19" t="inlineStr">
        <is>
          <t>Completed</t>
        </is>
      </c>
      <c r="L15" s="20" t="inlineStr">
        <is>
          <t>Privately Held (backing)</t>
        </is>
      </c>
      <c r="M15" s="21" t="inlineStr">
        <is>
          <t>Venture Capital-Backed</t>
        </is>
      </c>
      <c r="N15" s="22" t="inlineStr">
        <is>
          <t>The company raised $4 million of Series A and A1 venture funding in a deal led by Bialla Venture Partners on February 10, 2016, putting the pre-money valuation at $7.05 million. TA Venture, TEC Ventures, and other undisclosed investors also participated in the round. Of the total amount, $1.05 million was raised via convertible debt. It intends to use the funds for content expansion and addition of product features for both instructors and students, and new sales and marketing initiatives.</t>
        </is>
      </c>
      <c r="O15" s="23" t="inlineStr">
        <is>
          <t>Bialla Venture Partners, National Science Foundation, TA Ventures, TEC Ventures</t>
        </is>
      </c>
      <c r="P15" s="24" t="inlineStr">
        <is>
          <t/>
        </is>
      </c>
      <c r="Q15" s="25" t="inlineStr">
        <is>
          <t>Publishing</t>
        </is>
      </c>
      <c r="R15" s="26" t="inlineStr">
        <is>
          <t>Developer of animated, interactive learning material for college education. The company provides interactive online textbooks, as an alternative to conventional paper books. The books are designed for use by students of college STEM (science, technology, engineering and math) programs.</t>
        </is>
      </c>
      <c r="S15" s="27" t="inlineStr">
        <is>
          <t>Los Gatos, CA</t>
        </is>
      </c>
      <c r="T15" s="28" t="inlineStr">
        <is>
          <t>www.zybooks.com</t>
        </is>
      </c>
      <c r="U15" s="131">
        <f>HYPERLINK("https://my.pitchbook.com?c=62229-34", "View company online")</f>
      </c>
    </row>
    <row r="16">
      <c r="A16" s="30" t="inlineStr">
        <is>
          <t>52214-95</t>
        </is>
      </c>
      <c r="B16" s="31" t="inlineStr">
        <is>
          <t>Zya</t>
        </is>
      </c>
      <c r="C16" s="32" t="inlineStr">
        <is>
          <t/>
        </is>
      </c>
      <c r="D16" s="33" t="n">
        <v>0.19203179487932517</v>
      </c>
      <c r="E16" s="34" t="n">
        <v>3.0862346818868556</v>
      </c>
      <c r="F16" s="35" t="n">
        <v>42381.0</v>
      </c>
      <c r="G16" s="36" t="inlineStr">
        <is>
          <t>Convertible Debt</t>
        </is>
      </c>
      <c r="H16" s="37" t="inlineStr">
        <is>
          <t/>
        </is>
      </c>
      <c r="I16" s="38" t="n">
        <v>4.26</v>
      </c>
      <c r="J16" s="39" t="n">
        <v>12.56</v>
      </c>
      <c r="K16" s="40" t="inlineStr">
        <is>
          <t>Completed</t>
        </is>
      </c>
      <c r="L16" s="41" t="inlineStr">
        <is>
          <t>Privately Held (backing)</t>
        </is>
      </c>
      <c r="M16" s="42" t="inlineStr">
        <is>
          <t>Venture Capital-Backed</t>
        </is>
      </c>
      <c r="N16" s="43" t="inlineStr">
        <is>
          <t>The company raised $4.26 million of convertible debt financing from undisclosed investors on January 12, 2016, putting the company's pre-money valuation at $10.3 million. Prior to that the company raised $837,378 of Series 3 venture funding from Shea Ventures and other undisclosed investors on June 29, 2015.</t>
        </is>
      </c>
      <c r="O16" s="44" t="inlineStr">
        <is>
          <t>Individual Investor, Intel Capital, Liberty Global Ventures, Shea Ventures</t>
        </is>
      </c>
      <c r="P16" s="45" t="inlineStr">
        <is>
          <t/>
        </is>
      </c>
      <c r="Q16" s="46" t="inlineStr">
        <is>
          <t>Multimedia and Design Software</t>
        </is>
      </c>
      <c r="R16" s="47" t="inlineStr">
        <is>
          <t>Developer of music creation software designed to break down the walls of music creation and expression. The company's app Ditty offers a technology platform that powers ultra-fast musical communication across a range of products and integrations with leading global companies enabling users to create music and collaborate with artists on a variety of platforms including web portals, mobile devices and gaming consoles.</t>
        </is>
      </c>
      <c r="S16" s="48" t="inlineStr">
        <is>
          <t>Calabasas, CA</t>
        </is>
      </c>
      <c r="T16" s="49" t="inlineStr">
        <is>
          <t>www.zyamusic.com</t>
        </is>
      </c>
      <c r="U16" s="132">
        <f>HYPERLINK("https://my.pitchbook.com?c=52214-95", "View company online")</f>
      </c>
    </row>
    <row r="17">
      <c r="A17" s="9" t="inlineStr">
        <is>
          <t>117491-32</t>
        </is>
      </c>
      <c r="B17" s="10" t="inlineStr">
        <is>
          <t>Zwift</t>
        </is>
      </c>
      <c r="C17" s="11" t="inlineStr">
        <is>
          <t/>
        </is>
      </c>
      <c r="D17" s="12" t="n">
        <v>0.1439398282711237</v>
      </c>
      <c r="E17" s="13" t="n">
        <v>73.10715596900194</v>
      </c>
      <c r="F17" s="14" t="n">
        <v>42690.0</v>
      </c>
      <c r="G17" s="15" t="inlineStr">
        <is>
          <t>Early Stage VC</t>
        </is>
      </c>
      <c r="H17" s="16" t="inlineStr">
        <is>
          <t>Series A</t>
        </is>
      </c>
      <c r="I17" s="17" t="n">
        <v>27.0</v>
      </c>
      <c r="J17" s="18" t="n">
        <v>180.0</v>
      </c>
      <c r="K17" s="19" t="inlineStr">
        <is>
          <t>Completed</t>
        </is>
      </c>
      <c r="L17" s="20" t="inlineStr">
        <is>
          <t>Privately Held (backing)</t>
        </is>
      </c>
      <c r="M17" s="21" t="inlineStr">
        <is>
          <t>Venture Capital-Backed</t>
        </is>
      </c>
      <c r="N17" s="22" t="inlineStr">
        <is>
          <t>The company raised $27 million of Series A venture funding in a deal led by Novator Partners on November 16, 2016, putting the pre-money valuation at $153 million. Shasta Ventures, Waypoint, Samchuly Bicycle and Max Levchin also participated in the round.</t>
        </is>
      </c>
      <c r="O17" s="23" t="inlineStr">
        <is>
          <t>COLOPL, Max Levchin, Novator Partners, Samchuly Bicycle Company, Shasta Ventures, Waypoint</t>
        </is>
      </c>
      <c r="P17" s="24" t="inlineStr">
        <is>
          <t/>
        </is>
      </c>
      <c r="Q17" s="25" t="inlineStr">
        <is>
          <t>Entertainment Software</t>
        </is>
      </c>
      <c r="R17" s="26" t="inlineStr">
        <is>
          <t>Provider of interactive fitness entertainment platform. The company is a cycling community built on gaming software that connects to indoor training. It has built software that from the comfort of user's own home or local gym allows to feel like they are riding alongside road.</t>
        </is>
      </c>
      <c r="S17" s="27" t="inlineStr">
        <is>
          <t>Long Beach, CA</t>
        </is>
      </c>
      <c r="T17" s="28" t="inlineStr">
        <is>
          <t>www.zwift.com</t>
        </is>
      </c>
      <c r="U17" s="131">
        <f>HYPERLINK("https://my.pitchbook.com?c=117491-32", "View company online")</f>
      </c>
    </row>
    <row r="18">
      <c r="A18" s="30" t="inlineStr">
        <is>
          <t>104312-26</t>
        </is>
      </c>
      <c r="B18" s="31" t="inlineStr">
        <is>
          <t>Z-Wave Alliance</t>
        </is>
      </c>
      <c r="C18" s="98">
        <f>HYPERLINK("https://my.pitchbook.com?rrp=104312-26&amp;type=c", "This Company's information is not available to download. Need this Company? Request availability")</f>
      </c>
      <c r="D18" s="33" t="inlineStr">
        <is>
          <t/>
        </is>
      </c>
      <c r="E18" s="34" t="inlineStr">
        <is>
          <t/>
        </is>
      </c>
      <c r="F18" s="35" t="inlineStr">
        <is>
          <t/>
        </is>
      </c>
      <c r="G18" s="36" t="inlineStr">
        <is>
          <t/>
        </is>
      </c>
      <c r="H18" s="37" t="inlineStr">
        <is>
          <t/>
        </is>
      </c>
      <c r="I18" s="38" t="inlineStr">
        <is>
          <t/>
        </is>
      </c>
      <c r="J18" s="39" t="inlineStr">
        <is>
          <t/>
        </is>
      </c>
      <c r="K18" s="40" t="inlineStr">
        <is>
          <t/>
        </is>
      </c>
      <c r="L18" s="41" t="inlineStr">
        <is>
          <t/>
        </is>
      </c>
      <c r="M18" s="42" t="inlineStr">
        <is>
          <t/>
        </is>
      </c>
      <c r="N18" s="43" t="inlineStr">
        <is>
          <t/>
        </is>
      </c>
      <c r="O18" s="44" t="inlineStr">
        <is>
          <t/>
        </is>
      </c>
      <c r="P18" s="45" t="inlineStr">
        <is>
          <t/>
        </is>
      </c>
      <c r="Q18" s="46" t="inlineStr">
        <is>
          <t/>
        </is>
      </c>
      <c r="R18" s="47" t="inlineStr">
        <is>
          <t/>
        </is>
      </c>
      <c r="S18" s="48" t="inlineStr">
        <is>
          <t/>
        </is>
      </c>
      <c r="T18" s="49" t="inlineStr">
        <is>
          <t/>
        </is>
      </c>
      <c r="U18" s="50" t="inlineStr">
        <is>
          <t/>
        </is>
      </c>
    </row>
    <row r="19">
      <c r="A19" s="9" t="inlineStr">
        <is>
          <t>103593-34</t>
        </is>
      </c>
      <c r="B19" s="10" t="inlineStr">
        <is>
          <t>Zurf</t>
        </is>
      </c>
      <c r="C19" s="11" t="inlineStr">
        <is>
          <t/>
        </is>
      </c>
      <c r="D19" s="12" t="n">
        <v>-0.08894167604666348</v>
      </c>
      <c r="E19" s="13" t="n">
        <v>0.4797861130948824</v>
      </c>
      <c r="F19" s="14" t="inlineStr">
        <is>
          <t/>
        </is>
      </c>
      <c r="G19" s="15" t="inlineStr">
        <is>
          <t>Early Stage VC</t>
        </is>
      </c>
      <c r="H19" s="16" t="inlineStr">
        <is>
          <t/>
        </is>
      </c>
      <c r="I19" s="17" t="inlineStr">
        <is>
          <t/>
        </is>
      </c>
      <c r="J19" s="18" t="inlineStr">
        <is>
          <t/>
        </is>
      </c>
      <c r="K19" s="19" t="inlineStr">
        <is>
          <t>Completed</t>
        </is>
      </c>
      <c r="L19" s="20" t="inlineStr">
        <is>
          <t>Privately Held (backing)</t>
        </is>
      </c>
      <c r="M19" s="21" t="inlineStr">
        <is>
          <t>Venture Capital-Backed</t>
        </is>
      </c>
      <c r="N19" s="22" t="inlineStr">
        <is>
          <t>The company raised venture funding from Signatures Capital on an undisclosed date.</t>
        </is>
      </c>
      <c r="O19" s="23" t="inlineStr">
        <is>
          <t>Bobby Yazdani, Geekdom SF, Signatures Capital</t>
        </is>
      </c>
      <c r="P19" s="24" t="inlineStr">
        <is>
          <t/>
        </is>
      </c>
      <c r="Q19" s="25" t="inlineStr">
        <is>
          <t>Social/Platform Software</t>
        </is>
      </c>
      <c r="R19" s="26" t="inlineStr">
        <is>
          <t>Developer of a mobile-based browsing application. The company's browsing application offers a social tool, enabling users to browse web with real-time voice and chat with their friends and also allows them to leave a sticky note on any item on any website that they can then comment on.</t>
        </is>
      </c>
      <c r="S19" s="27" t="inlineStr">
        <is>
          <t>San Francisco, CA</t>
        </is>
      </c>
      <c r="T19" s="28" t="inlineStr">
        <is>
          <t>www.zurfapp.com</t>
        </is>
      </c>
      <c r="U19" s="131">
        <f>HYPERLINK("https://my.pitchbook.com?c=103593-34", "View company online")</f>
      </c>
    </row>
    <row r="20">
      <c r="A20" s="30" t="inlineStr">
        <is>
          <t>51251-95</t>
        </is>
      </c>
      <c r="B20" s="31" t="inlineStr">
        <is>
          <t>Zuora</t>
        </is>
      </c>
      <c r="C20" s="32" t="n">
        <v>400.0</v>
      </c>
      <c r="D20" s="33" t="n">
        <v>0.17902676082408858</v>
      </c>
      <c r="E20" s="34" t="n">
        <v>41.12334112457546</v>
      </c>
      <c r="F20" s="35" t="n">
        <v>42522.0</v>
      </c>
      <c r="G20" s="36" t="inlineStr">
        <is>
          <t>Secondary Transaction - Private</t>
        </is>
      </c>
      <c r="H20" s="37" t="inlineStr">
        <is>
          <t/>
        </is>
      </c>
      <c r="I20" s="38" t="inlineStr">
        <is>
          <t/>
        </is>
      </c>
      <c r="J20" s="39" t="inlineStr">
        <is>
          <t/>
        </is>
      </c>
      <c r="K20" s="40" t="inlineStr">
        <is>
          <t>Completed</t>
        </is>
      </c>
      <c r="L20" s="41" t="inlineStr">
        <is>
          <t>Privately Held (backing)</t>
        </is>
      </c>
      <c r="M20" s="42" t="inlineStr">
        <is>
          <t>Venture Capital-Backed</t>
        </is>
      </c>
      <c r="N20" s="43" t="inlineStr">
        <is>
          <t>Undisclsoed investors sold their stake in the company to SharesPost in June, 2016.</t>
        </is>
      </c>
      <c r="O20" s="44" t="inlineStr">
        <is>
          <t>Benchmark Capital, BlackRock Private Equity Partners, DAG Ventures, David Duffield, Greylock Partners, Index Ventures (UK), Individual Investor, Lehman Brothers, Marc Benioff, Next World Capital, Northgate Capital, Passport Capital, Premji Invest, Redpoint eventures, Redpoint Ventures, SharesPost, Shasta Ventures, Team Builder Ventures, Tenaya Capital, The Hartford Financial Services Group, VSL Partners, Vulcan Capital, Webb Investment Network, Wellington Management</t>
        </is>
      </c>
      <c r="P20" s="45" t="inlineStr">
        <is>
          <t/>
        </is>
      </c>
      <c r="Q20" s="46" t="inlineStr">
        <is>
          <t>Other Software</t>
        </is>
      </c>
      <c r="R20" s="47" t="inlineStr">
        <is>
          <t>Provider of an on-demand subscription billing and Relationship Business Management (RBM) platform. The company offers an end-to-end subscription management platform helping the businesses in automating recurring billing and collections, configuring, pricing as well as quoting for recurring revenue businesses.</t>
        </is>
      </c>
      <c r="S20" s="48" t="inlineStr">
        <is>
          <t>Foster City, CA</t>
        </is>
      </c>
      <c r="T20" s="49" t="inlineStr">
        <is>
          <t>www.zuora.com</t>
        </is>
      </c>
      <c r="U20" s="132">
        <f>HYPERLINK("https://my.pitchbook.com?c=51251-95", "View company online")</f>
      </c>
    </row>
    <row r="21">
      <c r="A21" s="9" t="inlineStr">
        <is>
          <t>55336-69</t>
        </is>
      </c>
      <c r="B21" s="10" t="inlineStr">
        <is>
          <t>Zumper</t>
        </is>
      </c>
      <c r="C21" s="11" t="n">
        <v>5.0</v>
      </c>
      <c r="D21" s="12" t="n">
        <v>0.3143708440891896</v>
      </c>
      <c r="E21" s="13" t="n">
        <v>66.86497141946663</v>
      </c>
      <c r="F21" s="14" t="n">
        <v>42661.0</v>
      </c>
      <c r="G21" s="15" t="inlineStr">
        <is>
          <t>Early Stage VC</t>
        </is>
      </c>
      <c r="H21" s="16" t="inlineStr">
        <is>
          <t>Series B</t>
        </is>
      </c>
      <c r="I21" s="17" t="n">
        <v>17.65</v>
      </c>
      <c r="J21" s="18" t="n">
        <v>108.01</v>
      </c>
      <c r="K21" s="19" t="inlineStr">
        <is>
          <t>Completed</t>
        </is>
      </c>
      <c r="L21" s="20" t="inlineStr">
        <is>
          <t>Privately Held (backing)</t>
        </is>
      </c>
      <c r="M21" s="21" t="inlineStr">
        <is>
          <t>Venture Capital-Backed</t>
        </is>
      </c>
      <c r="N21" s="22" t="inlineStr">
        <is>
          <t>The company raised $17.65 million of Series B venture funding in a deal led by Breyer Capital and Foxhaven Asset Management on October 8, 2016, putting the company's pre-money valuation at $90.36 million. Kleiner Perkins Caufield &amp; Byers, Goodwater Capital, Scott Cook, Xfund and Marcus &amp; Millichap also participated in this round. The company intends to use the funds to scale its platform and introduce new product offerings in early 2017. Earlier in February, the company raised $5.56 million of Series A2 venture funding from undisclosed investors, putting the company's pre-money valuation at $81.58 million.</t>
        </is>
      </c>
      <c r="O21" s="23" t="inlineStr">
        <is>
          <t>Andreessen Horowitz, Breyer Capital, CrunchFund, Dawn Capital, DeWilde family trust, Foxhaven Asset Management, Goodwater Capital, Greylock Partners, Inman Incubator, Kleiner Perkins Caufield &amp; Byers, Marcus &amp; Millichap, New Enterprise Associates, Scott Cook, Xfund</t>
        </is>
      </c>
      <c r="P21" s="24" t="inlineStr">
        <is>
          <t/>
        </is>
      </c>
      <c r="Q21" s="25" t="inlineStr">
        <is>
          <t>Social/Platform Software</t>
        </is>
      </c>
      <c r="R21" s="26" t="inlineStr">
        <is>
          <t>Provider of a mobile and Web-based listing service for homes and apartments. The company builds relationships with landlords and brokers to market their accommodations directly through its online tenant community.</t>
        </is>
      </c>
      <c r="S21" s="27" t="inlineStr">
        <is>
          <t>San Francisco, CA</t>
        </is>
      </c>
      <c r="T21" s="28" t="inlineStr">
        <is>
          <t>www.zumper.com</t>
        </is>
      </c>
      <c r="U21" s="131">
        <f>HYPERLINK("https://my.pitchbook.com?c=55336-69", "View company online")</f>
      </c>
    </row>
    <row r="22">
      <c r="A22" s="30" t="inlineStr">
        <is>
          <t>59948-02</t>
        </is>
      </c>
      <c r="B22" s="31" t="inlineStr">
        <is>
          <t>Zumigo</t>
        </is>
      </c>
      <c r="C22" s="32" t="inlineStr">
        <is>
          <t/>
        </is>
      </c>
      <c r="D22" s="33" t="n">
        <v>-0.009310458318193061</v>
      </c>
      <c r="E22" s="34" t="n">
        <v>0.7748129485417621</v>
      </c>
      <c r="F22" s="35" t="n">
        <v>42438.0</v>
      </c>
      <c r="G22" s="36" t="inlineStr">
        <is>
          <t>Later Stage VC</t>
        </is>
      </c>
      <c r="H22" s="37" t="inlineStr">
        <is>
          <t>Series B1</t>
        </is>
      </c>
      <c r="I22" s="38" t="n">
        <v>0.15</v>
      </c>
      <c r="J22" s="39" t="n">
        <v>27.15</v>
      </c>
      <c r="K22" s="40" t="inlineStr">
        <is>
          <t>Completed</t>
        </is>
      </c>
      <c r="L22" s="41" t="inlineStr">
        <is>
          <t>Privately Held (backing)</t>
        </is>
      </c>
      <c r="M22" s="42" t="inlineStr">
        <is>
          <t>Venture Capital-Backed</t>
        </is>
      </c>
      <c r="N22" s="43" t="inlineStr">
        <is>
          <t>The company raised $150,000 of Series B1 venture funding from Capital One Growth Ventures and Wild Basin Investments on March 9, 2016, putting the pre-money valuation at $27 million. Previously, the company raised $6 million of Series B venture funding in a deal led by Intel Capital on August 20, 2014, putting the pre-money valuation at $21 million.</t>
        </is>
      </c>
      <c r="O22" s="44" t="inlineStr">
        <is>
          <t>Aligned Partners, Capital One Growth Ventures, Individual Investor, Intel Capital, Wells Fargo Startup Accelerator, Wild Basin Investments</t>
        </is>
      </c>
      <c r="P22" s="45" t="inlineStr">
        <is>
          <t/>
        </is>
      </c>
      <c r="Q22" s="46" t="inlineStr">
        <is>
          <t>Application Software</t>
        </is>
      </c>
      <c r="R22" s="47" t="inlineStr">
        <is>
          <t>Provider of a mobile device location and identity verification software. The company provides location-based software products through context aware applications to secure financial transactions. It offers a cross-carrier platform which allows institutions to access and deliver financial data from their subscribers' mobile devices.</t>
        </is>
      </c>
      <c r="S22" s="48" t="inlineStr">
        <is>
          <t>San Jose, CA</t>
        </is>
      </c>
      <c r="T22" s="49" t="inlineStr">
        <is>
          <t>www.zumigo.com</t>
        </is>
      </c>
      <c r="U22" s="132">
        <f>HYPERLINK("https://my.pitchbook.com?c=59948-02", "View company online")</f>
      </c>
    </row>
    <row r="23">
      <c r="A23" s="9" t="inlineStr">
        <is>
          <t>148845-52</t>
        </is>
      </c>
      <c r="B23" s="10" t="inlineStr">
        <is>
          <t>Zume Pizza</t>
        </is>
      </c>
      <c r="C23" s="11" t="inlineStr">
        <is>
          <t/>
        </is>
      </c>
      <c r="D23" s="12" t="n">
        <v>1.1711141846496187</v>
      </c>
      <c r="E23" s="13" t="n">
        <v>3.1109121017006056</v>
      </c>
      <c r="F23" s="14" t="n">
        <v>42711.0</v>
      </c>
      <c r="G23" s="15" t="inlineStr">
        <is>
          <t>Early Stage VC</t>
        </is>
      </c>
      <c r="H23" s="16" t="inlineStr">
        <is>
          <t/>
        </is>
      </c>
      <c r="I23" s="17" t="n">
        <v>22.69</v>
      </c>
      <c r="J23" s="18" t="n">
        <v>50.0</v>
      </c>
      <c r="K23" s="19" t="inlineStr">
        <is>
          <t>Completed</t>
        </is>
      </c>
      <c r="L23" s="20" t="inlineStr">
        <is>
          <t>Privately Held (backing)</t>
        </is>
      </c>
      <c r="M23" s="21" t="inlineStr">
        <is>
          <t>Venture Capital-Backed</t>
        </is>
      </c>
      <c r="N23" s="22" t="inlineStr">
        <is>
          <t>The company raised $22.69 million through a combination of Series A, A1, and A2 venture funding from Kortschak Investments, SignalFire and other undisclosed investors on December 7, 2016, putting the pre-money valuation at $27.31 million.</t>
        </is>
      </c>
      <c r="O23" s="23" t="inlineStr">
        <is>
          <t>AME Cloud Ventures, Kortschak Investments, Maveron, SignalFire</t>
        </is>
      </c>
      <c r="P23" s="24" t="inlineStr">
        <is>
          <t/>
        </is>
      </c>
      <c r="Q23" s="25" t="inlineStr">
        <is>
          <t>Food Products</t>
        </is>
      </c>
      <c r="R23" s="26" t="inlineStr">
        <is>
          <t>Provider of pizza services with help of robots. The company is engaged in production and door to door delivery of artisan pizzas for which it uses robots and machine intelligence.</t>
        </is>
      </c>
      <c r="S23" s="27" t="inlineStr">
        <is>
          <t>Mountain View, CA</t>
        </is>
      </c>
      <c r="T23" s="28" t="inlineStr">
        <is>
          <t>www.zumepizza.com</t>
        </is>
      </c>
      <c r="U23" s="131">
        <f>HYPERLINK("https://my.pitchbook.com?c=148845-52", "View company online")</f>
      </c>
    </row>
    <row r="24">
      <c r="A24" s="30" t="inlineStr">
        <is>
          <t>103746-25</t>
        </is>
      </c>
      <c r="B24" s="31" t="inlineStr">
        <is>
          <t>Zuman</t>
        </is>
      </c>
      <c r="C24" s="32" t="inlineStr">
        <is>
          <t/>
        </is>
      </c>
      <c r="D24" s="33" t="n">
        <v>-0.3780100188868328</v>
      </c>
      <c r="E24" s="34" t="n">
        <v>2.1122377035420516</v>
      </c>
      <c r="F24" s="35" t="n">
        <v>42578.0</v>
      </c>
      <c r="G24" s="36" t="inlineStr">
        <is>
          <t>Angel (individual)</t>
        </is>
      </c>
      <c r="H24" s="37" t="inlineStr">
        <is>
          <t>Series B</t>
        </is>
      </c>
      <c r="I24" s="38" t="n">
        <v>3.8</v>
      </c>
      <c r="J24" s="39" t="inlineStr">
        <is>
          <t/>
        </is>
      </c>
      <c r="K24" s="40" t="inlineStr">
        <is>
          <t>Completed</t>
        </is>
      </c>
      <c r="L24" s="41" t="inlineStr">
        <is>
          <t>Privately Held (backing)</t>
        </is>
      </c>
      <c r="M24" s="42" t="inlineStr">
        <is>
          <t>Venture Capital-Backed</t>
        </is>
      </c>
      <c r="N24" s="43" t="inlineStr">
        <is>
          <t>The company raised an estimated $3.8 million Series A1 funding on March 23, 2016, putting the company's pre-money valuation at $22.5 million.</t>
        </is>
      </c>
      <c r="O24" s="44" t="inlineStr">
        <is>
          <t/>
        </is>
      </c>
      <c r="P24" s="45" t="inlineStr">
        <is>
          <t/>
        </is>
      </c>
      <c r="Q24" s="46" t="inlineStr">
        <is>
          <t>Human Capital Services</t>
        </is>
      </c>
      <c r="R24" s="47" t="inlineStr">
        <is>
          <t>Provider of a cloud-based Human Resource software created to help in recruiting and staffing. The company's cloud based HR software helps recruiters manage HR outsourcing, payroll outsourcing and benefits administration - people operations enabling firms to automate human resources operations and save effort and time.</t>
        </is>
      </c>
      <c r="S24" s="48" t="inlineStr">
        <is>
          <t>Pleasanton, CA</t>
        </is>
      </c>
      <c r="T24" s="49" t="inlineStr">
        <is>
          <t>www.zuman.com</t>
        </is>
      </c>
      <c r="U24" s="132">
        <f>HYPERLINK("https://my.pitchbook.com?c=103746-25", "View company online")</f>
      </c>
    </row>
    <row r="25">
      <c r="A25" s="9" t="inlineStr">
        <is>
          <t>104840-56</t>
        </is>
      </c>
      <c r="B25" s="10" t="inlineStr">
        <is>
          <t>Zuma Ventures</t>
        </is>
      </c>
      <c r="C25" s="11" t="inlineStr">
        <is>
          <t/>
        </is>
      </c>
      <c r="D25" s="12" t="n">
        <v>0.1312634040167244</v>
      </c>
      <c r="E25" s="13" t="n">
        <v>0.5963347967401025</v>
      </c>
      <c r="F25" s="14" t="n">
        <v>41879.0</v>
      </c>
      <c r="G25" s="15" t="inlineStr">
        <is>
          <t>Early Stage VC</t>
        </is>
      </c>
      <c r="H25" s="16" t="inlineStr">
        <is>
          <t/>
        </is>
      </c>
      <c r="I25" s="17" t="n">
        <v>0.1</v>
      </c>
      <c r="J25" s="18" t="inlineStr">
        <is>
          <t/>
        </is>
      </c>
      <c r="K25" s="19" t="inlineStr">
        <is>
          <t>Completed</t>
        </is>
      </c>
      <c r="L25" s="20" t="inlineStr">
        <is>
          <t>Privately Held (backing)</t>
        </is>
      </c>
      <c r="M25" s="21" t="inlineStr">
        <is>
          <t>Venture Capital-Backed</t>
        </is>
      </c>
      <c r="N25" s="22" t="inlineStr">
        <is>
          <t>The company raised $100,000 of venture funding from EPIC Ventures and 13 individual investors on August 28, 2014.</t>
        </is>
      </c>
      <c r="O25" s="23" t="inlineStr">
        <is>
          <t>Aaron Hirschhorn, Burns Israelsen, Derek Smith, EPIC Ventures, Ildar Fazulyanov, Jeff Danley, Jonathan Hung, Karl Israelsen, Kelly Perdew, Michael Liou, Rani Aliahmad, Richard Wolpert, Rick Barry, Vince Thompson</t>
        </is>
      </c>
      <c r="P25" s="24" t="inlineStr">
        <is>
          <t/>
        </is>
      </c>
      <c r="Q25" s="25" t="inlineStr">
        <is>
          <t>Other Commercial Services</t>
        </is>
      </c>
      <c r="R25" s="26" t="inlineStr">
        <is>
          <t>Provider of services in order to help startup companies to launch. The company provides services and technological support to help entities to build from ideation to launch independently.</t>
        </is>
      </c>
      <c r="S25" s="27" t="inlineStr">
        <is>
          <t>Santa Monica, CA</t>
        </is>
      </c>
      <c r="T25" s="28" t="inlineStr">
        <is>
          <t>www.zumavc.com</t>
        </is>
      </c>
      <c r="U25" s="131">
        <f>HYPERLINK("https://my.pitchbook.com?c=104840-56", "View company online")</f>
      </c>
    </row>
    <row r="26">
      <c r="A26" s="30" t="inlineStr">
        <is>
          <t>155065-42</t>
        </is>
      </c>
      <c r="B26" s="31" t="inlineStr">
        <is>
          <t>Zum</t>
        </is>
      </c>
      <c r="C26" s="32" t="inlineStr">
        <is>
          <t/>
        </is>
      </c>
      <c r="D26" s="33" t="n">
        <v>0.12385089631177018</v>
      </c>
      <c r="E26" s="34" t="n">
        <v>0.8885575437528275</v>
      </c>
      <c r="F26" s="35" t="n">
        <v>42472.0</v>
      </c>
      <c r="G26" s="36" t="inlineStr">
        <is>
          <t>Seed Round</t>
        </is>
      </c>
      <c r="H26" s="37" t="inlineStr">
        <is>
          <t>Seed</t>
        </is>
      </c>
      <c r="I26" s="38" t="n">
        <v>2.25</v>
      </c>
      <c r="J26" s="39" t="inlineStr">
        <is>
          <t/>
        </is>
      </c>
      <c r="K26" s="40" t="inlineStr">
        <is>
          <t>Completed</t>
        </is>
      </c>
      <c r="L26" s="41" t="inlineStr">
        <is>
          <t>Privately Held (backing)</t>
        </is>
      </c>
      <c r="M26" s="42" t="inlineStr">
        <is>
          <t>Venture Capital-Backed</t>
        </is>
      </c>
      <c r="N26" s="43" t="inlineStr">
        <is>
          <t>The company raised $2.25 million of seed funding in the form of SAFE notes from Ulu Ventures, Graphene Ventures and AngelPad on April 12, 2016. Stanford Angels and Entrepreneurs also participated.</t>
        </is>
      </c>
      <c r="O26" s="44" t="inlineStr">
        <is>
          <t>AngelPad, FundersClub, Graphene Ventures, Richmond View Ventures, Sand Hill Angels, Stanford Angels and Entrepreneurs, Tsingyuan Ventures, Ulu Ventures</t>
        </is>
      </c>
      <c r="P26" s="45" t="inlineStr">
        <is>
          <t/>
        </is>
      </c>
      <c r="Q26" s="46" t="inlineStr">
        <is>
          <t>Automotive</t>
        </is>
      </c>
      <c r="R26" s="47" t="inlineStr">
        <is>
          <t>Provider of on demand ride and care services designed for children and youth. The company's ride sharing service provides children and parents with a professionally-trained childcare and scheduled on demand driving service through its mobile application providing them with trust, safety and peace of mind that every parent and child deserves.</t>
        </is>
      </c>
      <c r="S26" s="48" t="inlineStr">
        <is>
          <t>San Mateo, CA</t>
        </is>
      </c>
      <c r="T26" s="49" t="inlineStr">
        <is>
          <t>www.ridezum.com</t>
        </is>
      </c>
      <c r="U26" s="132">
        <f>HYPERLINK("https://my.pitchbook.com?c=155065-42", "View company online")</f>
      </c>
    </row>
    <row r="27">
      <c r="A27" s="9" t="inlineStr">
        <is>
          <t>59892-13</t>
        </is>
      </c>
      <c r="B27" s="10" t="inlineStr">
        <is>
          <t>Zuli</t>
        </is>
      </c>
      <c r="C27" s="11" t="inlineStr">
        <is>
          <t/>
        </is>
      </c>
      <c r="D27" s="12" t="n">
        <v>-0.3848913049145218</v>
      </c>
      <c r="E27" s="13" t="n">
        <v>4.8962087521778015</v>
      </c>
      <c r="F27" s="14" t="n">
        <v>41878.0</v>
      </c>
      <c r="G27" s="15" t="inlineStr">
        <is>
          <t>Seed Round</t>
        </is>
      </c>
      <c r="H27" s="16" t="inlineStr">
        <is>
          <t>Seed</t>
        </is>
      </c>
      <c r="I27" s="17" t="n">
        <v>1.65</v>
      </c>
      <c r="J27" s="18" t="inlineStr">
        <is>
          <t/>
        </is>
      </c>
      <c r="K27" s="19" t="inlineStr">
        <is>
          <t>Completed</t>
        </is>
      </c>
      <c r="L27" s="20" t="inlineStr">
        <is>
          <t>Privately Held (backing)</t>
        </is>
      </c>
      <c r="M27" s="21" t="inlineStr">
        <is>
          <t>Venture Capital-Backed</t>
        </is>
      </c>
      <c r="N27" s="22" t="inlineStr">
        <is>
          <t>The company raised $1.65 million of seed funding from XG Ventures, Menlo Ventures and Winklevoss Capital Management on August 27, 2014. DeNA, Logitech International, Marc Bell Capital Partners and 7 individual investors also participated in this round. Previously, the company raised an undisclosed amount of seed funding from XG Ventures, Menlo Ventures and Plug and Play on September 20, 2013.</t>
        </is>
      </c>
      <c r="O27" s="23" t="inlineStr">
        <is>
          <t>Alireza Masrour, Bobby Ghoshal, DeNA, Hossein Eslambolchi, Individual Investor, J.D. Fagan, Kenneth Ballenegger, Logitech, Marc Bell Capital Partners, Menlo Ventures, Paul Grossinger, Plug and Play Tech Center, Stephen Stokols, Winklevoss Capital Management, XG Ventures</t>
        </is>
      </c>
      <c r="P27" s="24" t="inlineStr">
        <is>
          <t/>
        </is>
      </c>
      <c r="Q27" s="25" t="inlineStr">
        <is>
          <t>Electronics (B2C)</t>
        </is>
      </c>
      <c r="R27" s="26" t="inlineStr">
        <is>
          <t>Developer of sensor based smart-plugs. The company offers bluetooth enabled smart-plugs that help users control home appliances and monitor power consumption.</t>
        </is>
      </c>
      <c r="S27" s="27" t="inlineStr">
        <is>
          <t>San Francisco, CA</t>
        </is>
      </c>
      <c r="T27" s="28" t="inlineStr">
        <is>
          <t>www.zuli.io</t>
        </is>
      </c>
      <c r="U27" s="131">
        <f>HYPERLINK("https://my.pitchbook.com?c=59892-13", "View company online")</f>
      </c>
    </row>
    <row r="28">
      <c r="A28" s="30" t="inlineStr">
        <is>
          <t>58415-68</t>
        </is>
      </c>
      <c r="B28" s="31" t="inlineStr">
        <is>
          <t>Zukeeni</t>
        </is>
      </c>
      <c r="C28" s="32" t="inlineStr">
        <is>
          <t/>
        </is>
      </c>
      <c r="D28" s="33" t="n">
        <v>2.2184034774677674E-4</v>
      </c>
      <c r="E28" s="34" t="n">
        <v>3.238546850355988</v>
      </c>
      <c r="F28" s="35" t="n">
        <v>41661.0</v>
      </c>
      <c r="G28" s="36" t="inlineStr">
        <is>
          <t>Seed Round</t>
        </is>
      </c>
      <c r="H28" s="37" t="inlineStr">
        <is>
          <t>Seed</t>
        </is>
      </c>
      <c r="I28" s="38" t="inlineStr">
        <is>
          <t/>
        </is>
      </c>
      <c r="J28" s="39" t="inlineStr">
        <is>
          <t/>
        </is>
      </c>
      <c r="K28" s="40" t="inlineStr">
        <is>
          <t>Completed</t>
        </is>
      </c>
      <c r="L28" s="41" t="inlineStr">
        <is>
          <t>Privately Held (backing)</t>
        </is>
      </c>
      <c r="M28" s="42" t="inlineStr">
        <is>
          <t>Venture Capital-Backed</t>
        </is>
      </c>
      <c r="N28" s="43" t="inlineStr">
        <is>
          <t>The company received an undisclosed amount of seed funding from Impact Engine on January 22, 2014.</t>
        </is>
      </c>
      <c r="O28" s="44" t="inlineStr">
        <is>
          <t>Carolyn McCarthy, Impact Engine, Peggy McCarthy</t>
        </is>
      </c>
      <c r="P28" s="45" t="inlineStr">
        <is>
          <t/>
        </is>
      </c>
      <c r="Q28" s="46" t="inlineStr">
        <is>
          <t>Environmental Services (B2B)</t>
        </is>
      </c>
      <c r="R28" s="47" t="inlineStr">
        <is>
          <t>Provider of custom technology services to landscaping industry that enables to expand and accelerate small-scale local food production. The company provides an online personalized vegetable garden planner to plan, grow, and harvest food that schedules various garden activities.</t>
        </is>
      </c>
      <c r="S28" s="48" t="inlineStr">
        <is>
          <t>Healdsburg, CA</t>
        </is>
      </c>
      <c r="T28" s="49" t="inlineStr">
        <is>
          <t>www.zukeeni.com</t>
        </is>
      </c>
      <c r="U28" s="132">
        <f>HYPERLINK("https://my.pitchbook.com?c=58415-68", "View company online")</f>
      </c>
    </row>
    <row r="29">
      <c r="A29" s="9" t="inlineStr">
        <is>
          <t>125763-49</t>
        </is>
      </c>
      <c r="B29" s="10" t="inlineStr">
        <is>
          <t>Zugata</t>
        </is>
      </c>
      <c r="C29" s="11" t="inlineStr">
        <is>
          <t/>
        </is>
      </c>
      <c r="D29" s="12" t="n">
        <v>0.4081533826140361</v>
      </c>
      <c r="E29" s="13" t="n">
        <v>2.2690105359596884</v>
      </c>
      <c r="F29" s="14" t="n">
        <v>42688.0</v>
      </c>
      <c r="G29" s="15" t="inlineStr">
        <is>
          <t>Early Stage VC</t>
        </is>
      </c>
      <c r="H29" s="16" t="inlineStr">
        <is>
          <t>Series A</t>
        </is>
      </c>
      <c r="I29" s="17" t="n">
        <v>7.0</v>
      </c>
      <c r="J29" s="18" t="n">
        <v>26.25</v>
      </c>
      <c r="K29" s="19" t="inlineStr">
        <is>
          <t>Completed</t>
        </is>
      </c>
      <c r="L29" s="20" t="inlineStr">
        <is>
          <t>Privately Held (backing)</t>
        </is>
      </c>
      <c r="M29" s="21" t="inlineStr">
        <is>
          <t>Venture Capital-Backed</t>
        </is>
      </c>
      <c r="N29" s="22" t="inlineStr">
        <is>
          <t>The company raised $7 million of Series A venture funding in a deal led by Canaan Partners on November 14, 2016, putting the pre-money valuation at $19.25. General Catalyst Partners and Redpoint Ventures also participated in the round. The company will use the funds for hiring, product development, international expansion and to help its clients deliver corporate learning to their employees that is perfectly tailored to their needs.</t>
        </is>
      </c>
      <c r="O29" s="23" t="inlineStr">
        <is>
          <t>Canaan Partners, Formation 8, General Catalyst Partners, Redpoint Ventures</t>
        </is>
      </c>
      <c r="P29" s="24" t="inlineStr">
        <is>
          <t/>
        </is>
      </c>
      <c r="Q29" s="25" t="inlineStr">
        <is>
          <t>Social/Platform Software</t>
        </is>
      </c>
      <c r="R29" s="26" t="inlineStr">
        <is>
          <t>Provider of an employee feedback platform. The company offers a mobile based software-as-a-service platform that enables employees to receive continuous feedback from the people they work with, along with personalized development resources. It also enables companies to better understand their team and their organization skills to drive effective learning and development programs.</t>
        </is>
      </c>
      <c r="S29" s="27" t="inlineStr">
        <is>
          <t>Palo Alto, CA</t>
        </is>
      </c>
      <c r="T29" s="28" t="inlineStr">
        <is>
          <t>www.zugata.com</t>
        </is>
      </c>
      <c r="U29" s="131">
        <f>HYPERLINK("https://my.pitchbook.com?c=125763-49", "View company online")</f>
      </c>
    </row>
    <row r="30">
      <c r="A30" s="30" t="inlineStr">
        <is>
          <t>99142-57</t>
        </is>
      </c>
      <c r="B30" s="31" t="inlineStr">
        <is>
          <t>Zuckerberg Media</t>
        </is>
      </c>
      <c r="C30" s="32" t="inlineStr">
        <is>
          <t/>
        </is>
      </c>
      <c r="D30" s="33" t="inlineStr">
        <is>
          <t/>
        </is>
      </c>
      <c r="E30" s="34" t="inlineStr">
        <is>
          <t/>
        </is>
      </c>
      <c r="F30" s="35" t="n">
        <v>41473.0</v>
      </c>
      <c r="G30" s="36" t="inlineStr">
        <is>
          <t>Early Stage VC</t>
        </is>
      </c>
      <c r="H30" s="37" t="inlineStr">
        <is>
          <t>Series A</t>
        </is>
      </c>
      <c r="I30" s="38" t="n">
        <v>0.1</v>
      </c>
      <c r="J30" s="39" t="inlineStr">
        <is>
          <t/>
        </is>
      </c>
      <c r="K30" s="40" t="inlineStr">
        <is>
          <t>Completed</t>
        </is>
      </c>
      <c r="L30" s="41" t="inlineStr">
        <is>
          <t>Privately Held (backing)</t>
        </is>
      </c>
      <c r="M30" s="42" t="inlineStr">
        <is>
          <t>Venture Capital-Backed</t>
        </is>
      </c>
      <c r="N30" s="43" t="inlineStr">
        <is>
          <t>The company raised $100,000 of Series A venture funding from Lerer Hippeau Ventures on July 18, 2013. Kevin Colleran and Katherine Barr also participated in this round.</t>
        </is>
      </c>
      <c r="O30" s="44" t="inlineStr">
        <is>
          <t>Katherine Barr, Kevin Colleran, Lerer Hippeau Ventures</t>
        </is>
      </c>
      <c r="P30" s="45" t="inlineStr">
        <is>
          <t/>
        </is>
      </c>
      <c r="Q30" s="46" t="inlineStr">
        <is>
          <t>Information Services (B2C)</t>
        </is>
      </c>
      <c r="R30" s="47" t="inlineStr">
        <is>
          <t>Operator of a media and production agency. The company provides a media production house with live streaming capability, creative development, production, post production services and the ability to create and distribute live content for digital, social and traditional media channels.</t>
        </is>
      </c>
      <c r="S30" s="48" t="inlineStr">
        <is>
          <t>Menlo Park, CA</t>
        </is>
      </c>
      <c r="T30" s="49" t="inlineStr">
        <is>
          <t>www.zuckerbergmedia.com</t>
        </is>
      </c>
      <c r="U30" s="132">
        <f>HYPERLINK("https://my.pitchbook.com?c=99142-57", "View company online")</f>
      </c>
    </row>
    <row r="31">
      <c r="A31" s="9" t="inlineStr">
        <is>
          <t>51197-68</t>
        </is>
      </c>
      <c r="B31" s="10" t="inlineStr">
        <is>
          <t>Zuberance</t>
        </is>
      </c>
      <c r="C31" s="11" t="inlineStr">
        <is>
          <t/>
        </is>
      </c>
      <c r="D31" s="12" t="n">
        <v>-0.140435916299268</v>
      </c>
      <c r="E31" s="13" t="n">
        <v>13.231252957874178</v>
      </c>
      <c r="F31" s="14" t="n">
        <v>41668.0</v>
      </c>
      <c r="G31" s="15" t="inlineStr">
        <is>
          <t>Secondary Transaction - Private</t>
        </is>
      </c>
      <c r="H31" s="16" t="inlineStr">
        <is>
          <t/>
        </is>
      </c>
      <c r="I31" s="17" t="inlineStr">
        <is>
          <t/>
        </is>
      </c>
      <c r="J31" s="18" t="inlineStr">
        <is>
          <t/>
        </is>
      </c>
      <c r="K31" s="19" t="inlineStr">
        <is>
          <t>Completed</t>
        </is>
      </c>
      <c r="L31" s="20" t="inlineStr">
        <is>
          <t>Privately Held (backing)</t>
        </is>
      </c>
      <c r="M31" s="21" t="inlineStr">
        <is>
          <t>Venture Capital-Backed</t>
        </is>
      </c>
      <c r="N31" s="22" t="inlineStr">
        <is>
          <t>Undisclosed Investors purchased a minority stake in the company through a secondary transaction from Canaan Partners on January 29, 2014.</t>
        </is>
      </c>
      <c r="O31" s="23" t="inlineStr">
        <is>
          <t>Correlation Ventures, Emergence Capital Partners</t>
        </is>
      </c>
      <c r="P31" s="24" t="inlineStr">
        <is>
          <t/>
        </is>
      </c>
      <c r="Q31" s="25" t="inlineStr">
        <is>
          <t>Vertical Market Software</t>
        </is>
      </c>
      <c r="R31" s="26" t="inlineStr">
        <is>
          <t>Developer of an online marketing software. The company offers an on-demand word of mouth marketing services that enables companies to identify and mobilize their customers to increase sales.</t>
        </is>
      </c>
      <c r="S31" s="27" t="inlineStr">
        <is>
          <t/>
        </is>
      </c>
      <c r="T31" s="28" t="inlineStr">
        <is>
          <t>www.zuberance.com</t>
        </is>
      </c>
      <c r="U31" s="131">
        <f>HYPERLINK("https://my.pitchbook.com?c=51197-68", "View company online")</f>
      </c>
    </row>
    <row r="32">
      <c r="A32" s="30" t="inlineStr">
        <is>
          <t>12758-05</t>
        </is>
      </c>
      <c r="B32" s="31" t="inlineStr">
        <is>
          <t>zSpace</t>
        </is>
      </c>
      <c r="C32" s="32" t="n">
        <v>8.7</v>
      </c>
      <c r="D32" s="33" t="n">
        <v>0.11159933336590468</v>
      </c>
      <c r="E32" s="34" t="n">
        <v>10.623952545028448</v>
      </c>
      <c r="F32" s="35" t="n">
        <v>42278.0</v>
      </c>
      <c r="G32" s="36" t="inlineStr">
        <is>
          <t>Later Stage VC</t>
        </is>
      </c>
      <c r="H32" s="37" t="inlineStr">
        <is>
          <t>Series D</t>
        </is>
      </c>
      <c r="I32" s="38" t="n">
        <v>30.0</v>
      </c>
      <c r="J32" s="39" t="n">
        <v>160.0</v>
      </c>
      <c r="K32" s="40" t="inlineStr">
        <is>
          <t>Completed</t>
        </is>
      </c>
      <c r="L32" s="41" t="inlineStr">
        <is>
          <t>Privately Held (backing)</t>
        </is>
      </c>
      <c r="M32" s="42" t="inlineStr">
        <is>
          <t>Venture Capital-Backed</t>
        </is>
      </c>
      <c r="N32" s="43" t="inlineStr">
        <is>
          <t>The company raised $30 million of Series D venture funding from undisclosed investors on October 1, 2015, putting the company's pre-money valuation at $130 million. Prior to that, the company raised $26.6 million of Series C venture funding from undisclosed investors on March 19, 2015, putting the pre-money valuation at $30 million.</t>
        </is>
      </c>
      <c r="O32" s="44" t="inlineStr">
        <is>
          <t>Artiman Ventures, Columbia Capital, In-Q-Tel</t>
        </is>
      </c>
      <c r="P32" s="45" t="inlineStr">
        <is>
          <t/>
        </is>
      </c>
      <c r="Q32" s="46" t="inlineStr">
        <is>
          <t>Other Information Technology</t>
        </is>
      </c>
      <c r="R32" s="47" t="inlineStr">
        <is>
          <t>Developer of advanced display technology intended to create mixed reality systems for personal computers. The company's advanced display technology combines elements of virtual and augmented reality in a computer, enabling users to interact with simulated objects in virtual environments as if they are real.</t>
        </is>
      </c>
      <c r="S32" s="48" t="inlineStr">
        <is>
          <t>Sunnyvale, CA</t>
        </is>
      </c>
      <c r="T32" s="49" t="inlineStr">
        <is>
          <t>www.zspace.com</t>
        </is>
      </c>
      <c r="U32" s="132">
        <f>HYPERLINK("https://my.pitchbook.com?c=12758-05", "View company online")</f>
      </c>
    </row>
    <row r="33">
      <c r="A33" s="9" t="inlineStr">
        <is>
          <t>55108-72</t>
        </is>
      </c>
      <c r="B33" s="10" t="inlineStr">
        <is>
          <t>Zscaler</t>
        </is>
      </c>
      <c r="C33" s="11" t="inlineStr">
        <is>
          <t/>
        </is>
      </c>
      <c r="D33" s="12" t="n">
        <v>0.5266552556189756</v>
      </c>
      <c r="E33" s="13" t="n">
        <v>40.13464029878916</v>
      </c>
      <c r="F33" s="14" t="n">
        <v>42219.0</v>
      </c>
      <c r="G33" s="15" t="inlineStr">
        <is>
          <t>Later Stage VC</t>
        </is>
      </c>
      <c r="H33" s="16" t="inlineStr">
        <is>
          <t>Series D</t>
        </is>
      </c>
      <c r="I33" s="17" t="n">
        <v>110.0</v>
      </c>
      <c r="J33" s="18" t="n">
        <v>1050.0</v>
      </c>
      <c r="K33" s="19" t="inlineStr">
        <is>
          <t>Completed</t>
        </is>
      </c>
      <c r="L33" s="20" t="inlineStr">
        <is>
          <t>Privately Held (backing)</t>
        </is>
      </c>
      <c r="M33" s="21" t="inlineStr">
        <is>
          <t>Venture Capital-Backed</t>
        </is>
      </c>
      <c r="N33" s="22" t="inlineStr">
        <is>
          <t>The company raised $110 million of Series D venture funding in a deal led by TPG Growth on August 3, 2015, putting the company's pre-money valuation at an estimated $940 million. Sand Hill East, CapitalG, EMC Ventures, Dell Technologies Capital and Lightspeed Venture Partners also participated in the round. The funds will be used to accelerate the company's investment in their technology, grow their customer base and to scale their business to meet growing demands.</t>
        </is>
      </c>
      <c r="O33" s="23" t="inlineStr">
        <is>
          <t>CapitalG, Dell Technologies Capital, EMC Ventures, Lightspeed Venture Partners, Sand Hill East, TPG Growth</t>
        </is>
      </c>
      <c r="P33" s="24" t="inlineStr">
        <is>
          <t/>
        </is>
      </c>
      <c r="Q33" s="25" t="inlineStr">
        <is>
          <t>Network Management Software</t>
        </is>
      </c>
      <c r="R33" s="26" t="inlineStr">
        <is>
          <t>Provider of a cloud-based Security-as-a-Service platform designed to revolutionizing internet security. The company's Security-as-a-Service platform is a carrier-grade internet security and compliance platform that acts as a series of checkposts in between the organization and the public internet, scanning all incoming and outgoing traffic between any device, anywhere in the world, and the internet to identify and block potential threats and to protect intellectual property, enabling organizations to increase Web security, email security, securing corporate data on mobile devices and data loss prevention.</t>
        </is>
      </c>
      <c r="S33" s="27" t="inlineStr">
        <is>
          <t>San Jose, CA</t>
        </is>
      </c>
      <c r="T33" s="28" t="inlineStr">
        <is>
          <t>www.zscaler.com</t>
        </is>
      </c>
      <c r="U33" s="131">
        <f>HYPERLINK("https://my.pitchbook.com?c=55108-72", "View company online")</f>
      </c>
    </row>
    <row r="34">
      <c r="A34" s="30" t="inlineStr">
        <is>
          <t>61833-43</t>
        </is>
      </c>
      <c r="B34" s="31" t="inlineStr">
        <is>
          <t>ZPower</t>
        </is>
      </c>
      <c r="C34" s="32" t="inlineStr">
        <is>
          <t/>
        </is>
      </c>
      <c r="D34" s="33" t="n">
        <v>-0.620072648877262</v>
      </c>
      <c r="E34" s="34" t="n">
        <v>2.7527276697689373</v>
      </c>
      <c r="F34" s="35" t="n">
        <v>42300.0</v>
      </c>
      <c r="G34" s="36" t="inlineStr">
        <is>
          <t>Later Stage VC</t>
        </is>
      </c>
      <c r="H34" s="37" t="inlineStr">
        <is>
          <t/>
        </is>
      </c>
      <c r="I34" s="38" t="n">
        <v>7.48</v>
      </c>
      <c r="J34" s="39" t="inlineStr">
        <is>
          <t/>
        </is>
      </c>
      <c r="K34" s="40" t="inlineStr">
        <is>
          <t>Completed</t>
        </is>
      </c>
      <c r="L34" s="41" t="inlineStr">
        <is>
          <t>Privately Held (backing)</t>
        </is>
      </c>
      <c r="M34" s="42" t="inlineStr">
        <is>
          <t>Venture Capital-Backed</t>
        </is>
      </c>
      <c r="N34" s="43" t="inlineStr">
        <is>
          <t>The company raised $7.48 million of convertible debt financing out of a planned $25 million from Intel Capital and other undisclosed investors on October 23, 2015.</t>
        </is>
      </c>
      <c r="O34" s="44" t="inlineStr">
        <is>
          <t>Arsenal Venture Partners, Individual Investor, Intel Capital, Spangler Venture</t>
        </is>
      </c>
      <c r="P34" s="45" t="inlineStr">
        <is>
          <t/>
        </is>
      </c>
      <c r="Q34" s="46" t="inlineStr">
        <is>
          <t>Alternative Energy Equipment</t>
        </is>
      </c>
      <c r="R34" s="47" t="inlineStr">
        <is>
          <t>Developer of rechargeable and alkaline batteries for micro battery applications. The company offers micro battery, hearing instruments, body worn medical devices and wearable computing devices.</t>
        </is>
      </c>
      <c r="S34" s="48" t="inlineStr">
        <is>
          <t>Camarillo, CA</t>
        </is>
      </c>
      <c r="T34" s="49" t="inlineStr">
        <is>
          <t>www.zpowerbattery.com</t>
        </is>
      </c>
      <c r="U34" s="132">
        <f>HYPERLINK("https://my.pitchbook.com?c=61833-43", "View company online")</f>
      </c>
    </row>
    <row r="35">
      <c r="A35" s="9" t="inlineStr">
        <is>
          <t>114243-76</t>
        </is>
      </c>
      <c r="B35" s="10" t="inlineStr">
        <is>
          <t>Zowdow</t>
        </is>
      </c>
      <c r="C35" s="11" t="inlineStr">
        <is>
          <t/>
        </is>
      </c>
      <c r="D35" s="12" t="n">
        <v>-0.08592468752858518</v>
      </c>
      <c r="E35" s="13" t="n">
        <v>0.27263137703447216</v>
      </c>
      <c r="F35" s="14" t="n">
        <v>42145.0</v>
      </c>
      <c r="G35" s="15" t="inlineStr">
        <is>
          <t>Early Stage VC</t>
        </is>
      </c>
      <c r="H35" s="16" t="inlineStr">
        <is>
          <t>Series A</t>
        </is>
      </c>
      <c r="I35" s="17" t="n">
        <v>5.75</v>
      </c>
      <c r="J35" s="18" t="n">
        <v>21.0</v>
      </c>
      <c r="K35" s="19" t="inlineStr">
        <is>
          <t>Completed</t>
        </is>
      </c>
      <c r="L35" s="20" t="inlineStr">
        <is>
          <t>Privately Held (backing)</t>
        </is>
      </c>
      <c r="M35" s="21" t="inlineStr">
        <is>
          <t>Venture Capital-Backed</t>
        </is>
      </c>
      <c r="N35" s="22" t="inlineStr">
        <is>
          <t>The company raised $5.75 million of Series A venture funding from Altpoint Ventures, 500 Startups and Xurpas on May 21, 2015, putting the company's pre-money valuation at $15.25 million. Clearstone Venture Partners, Wavemaker Partners, Pritzker Group Venture Capital, March Capital Partners and other undisclosed investors also participated in the transaction. Previously, the company joined Idealab and received $150,000 in funding on February 11, 2015, putting the company's pre-money valuation at $94,207.</t>
        </is>
      </c>
      <c r="O35" s="23" t="inlineStr">
        <is>
          <t>500 Startups, Altpoint Ventures, Clearstone Venture Partners, Idealab, March Capital Partners, Pritzker Group Venture Capital, Wavemaker Partners, Xurpas</t>
        </is>
      </c>
      <c r="P35" s="24" t="inlineStr">
        <is>
          <t/>
        </is>
      </c>
      <c r="Q35" s="25" t="inlineStr">
        <is>
          <t>Information Services (B2C)</t>
        </is>
      </c>
      <c r="R35" s="26" t="inlineStr">
        <is>
          <t>Provider of a mobile browser and search engine. The company offers a mobile browsing platform to help people search for information faster and more efficiently.</t>
        </is>
      </c>
      <c r="S35" s="27" t="inlineStr">
        <is>
          <t>Los Angeles, CA</t>
        </is>
      </c>
      <c r="T35" s="28" t="inlineStr">
        <is>
          <t>www.quickly.co</t>
        </is>
      </c>
      <c r="U35" s="131">
        <f>HYPERLINK("https://my.pitchbook.com?c=114243-76", "View company online")</f>
      </c>
    </row>
    <row r="36">
      <c r="A36" s="30" t="inlineStr">
        <is>
          <t>54701-11</t>
        </is>
      </c>
      <c r="B36" s="31" t="inlineStr">
        <is>
          <t>ZooZ</t>
        </is>
      </c>
      <c r="C36" s="32" t="inlineStr">
        <is>
          <t/>
        </is>
      </c>
      <c r="D36" s="33" t="n">
        <v>0.3572386336550163</v>
      </c>
      <c r="E36" s="34" t="n">
        <v>8.303441424369943</v>
      </c>
      <c r="F36" s="35" t="n">
        <v>42493.0</v>
      </c>
      <c r="G36" s="36" t="inlineStr">
        <is>
          <t>Later Stage VC</t>
        </is>
      </c>
      <c r="H36" s="37" t="inlineStr">
        <is>
          <t>Series C</t>
        </is>
      </c>
      <c r="I36" s="38" t="n">
        <v>24.0</v>
      </c>
      <c r="J36" s="39" t="inlineStr">
        <is>
          <t/>
        </is>
      </c>
      <c r="K36" s="40" t="inlineStr">
        <is>
          <t>Completed</t>
        </is>
      </c>
      <c r="L36" s="41" t="inlineStr">
        <is>
          <t>Privately Held (backing)</t>
        </is>
      </c>
      <c r="M36" s="42" t="inlineStr">
        <is>
          <t>Venture Capital-Backed</t>
        </is>
      </c>
      <c r="N36" s="43" t="inlineStr">
        <is>
          <t>The company raised $24 million of Series C venture funding led by Target Global Ventures on May 3, 2016. Fang Fund, iAngels, Kreos Capital, Blumberg Capital, Lool ventures, Rhodium, Claltech (Access Industries' Israeli tech vehicle), XSeed Capital, CampOne Ventures and Eilon Tirosh also participated. The company will use the funding to accelerate growth, develop new products, open new markets and increase its presence in existing markets. With the round, the company has now raised a total of $40 million in funding to date.</t>
        </is>
      </c>
      <c r="O36" s="44" t="inlineStr">
        <is>
          <t>2B Angels, Access Industries, Aixam-Mega, Blumberg Capital, Camp One Ventures, ClalTech, Eilon Tirosh, Fang Fund Partners, Georgia Tech VentureLab, iAngels, Jaina Capital, Jérémie Berrebi, Kima Ventures, Kreos Capital, Lool Ventures, Orefa Investment, Rhodium, Target Global, XSeed Capital, Yuval Tal</t>
        </is>
      </c>
      <c r="P36" s="45" t="inlineStr">
        <is>
          <t/>
        </is>
      </c>
      <c r="Q36" s="46" t="inlineStr">
        <is>
          <t>Financial Software</t>
        </is>
      </c>
      <c r="R36" s="47" t="inlineStr">
        <is>
          <t>Provider of a mobile payment platform. The company provides a payments platform for merchants to connect with multiple financial institutions, integrate acquirers, e-wallets, alternative payment methods, fraud management and other third-party services and route transactions through the entire payment process.</t>
        </is>
      </c>
      <c r="S36" s="48" t="inlineStr">
        <is>
          <t>San Francisco, CA</t>
        </is>
      </c>
      <c r="T36" s="49" t="inlineStr">
        <is>
          <t>www.zooz.com</t>
        </is>
      </c>
      <c r="U36" s="132">
        <f>HYPERLINK("https://my.pitchbook.com?c=54701-11", "View company online")</f>
      </c>
    </row>
    <row r="37">
      <c r="A37" s="9" t="inlineStr">
        <is>
          <t>160140-70</t>
        </is>
      </c>
      <c r="B37" s="10" t="inlineStr">
        <is>
          <t>Zoox</t>
        </is>
      </c>
      <c r="C37" s="11" t="inlineStr">
        <is>
          <t/>
        </is>
      </c>
      <c r="D37" s="12" t="n">
        <v>0.41673809648446003</v>
      </c>
      <c r="E37" s="13" t="n">
        <v>1.5332391081469932</v>
      </c>
      <c r="F37" s="14" t="n">
        <v>42681.0</v>
      </c>
      <c r="G37" s="15" t="inlineStr">
        <is>
          <t>Early Stage VC</t>
        </is>
      </c>
      <c r="H37" s="16" t="inlineStr">
        <is>
          <t>Series A1</t>
        </is>
      </c>
      <c r="I37" s="17" t="n">
        <v>50.0</v>
      </c>
      <c r="J37" s="18" t="n">
        <v>1550.0</v>
      </c>
      <c r="K37" s="19" t="inlineStr">
        <is>
          <t>Completed</t>
        </is>
      </c>
      <c r="L37" s="20" t="inlineStr">
        <is>
          <t>Privately Held (backing)</t>
        </is>
      </c>
      <c r="M37" s="21" t="inlineStr">
        <is>
          <t>Venture Capital-Backed</t>
        </is>
      </c>
      <c r="N37" s="22" t="inlineStr">
        <is>
          <t>The company raised $49.9 million of Series A1 venture funding from Composite Capital Partners, Breyer Capital and other undisclosed investors on November 7, 2016, putting the company's pre-money valuation at $1.5 billion. Previously, the company raised $240 million of Series A venture funding from Aid Partners Capital Holdings, Blackbird Ventures and Draper Fisher Jurvetson on July 1, 2016, putting the company's pre-money valuation at $1 billion. Lux Capital, Thomas Tull, Mistletoe Technologies and other undisclosed investors also participated. The company has raised a total of $290 million.</t>
        </is>
      </c>
      <c r="O37" s="23" t="inlineStr">
        <is>
          <t>Aid Partners Capital Holdings, Blackbird Ventures, Breyer Capital, Composite Capital Partners, Draper Fisher Jurvetson, Lux Capital, Mistletoe Technologies, Raptor Group, Thomas Tull</t>
        </is>
      </c>
      <c r="P37" s="24" t="inlineStr">
        <is>
          <t/>
        </is>
      </c>
      <c r="Q37" s="25" t="inlineStr">
        <is>
          <t>Automotive</t>
        </is>
      </c>
      <c r="R37" s="26" t="inlineStr">
        <is>
          <t>Designer and manufacturer of self-driving vehicles and control systems. The company's self-driving vehicles and control systems are fully automated, electric vehicle fleets and provides mobility-as-a-service in urban environments.</t>
        </is>
      </c>
      <c r="S37" s="27" t="inlineStr">
        <is>
          <t>Menlo Park, CA</t>
        </is>
      </c>
      <c r="T37" s="28" t="inlineStr">
        <is>
          <t>www.zoox.com</t>
        </is>
      </c>
      <c r="U37" s="131">
        <f>HYPERLINK("https://my.pitchbook.com?c=160140-70", "View company online")</f>
      </c>
    </row>
    <row r="38">
      <c r="A38" s="30" t="inlineStr">
        <is>
          <t>98506-36</t>
        </is>
      </c>
      <c r="B38" s="31" t="inlineStr">
        <is>
          <t>Zootrock</t>
        </is>
      </c>
      <c r="C38" s="32" t="inlineStr">
        <is>
          <t/>
        </is>
      </c>
      <c r="D38" s="33" t="n">
        <v>-0.0551009756284804</v>
      </c>
      <c r="E38" s="34" t="n">
        <v>2.050198598429991</v>
      </c>
      <c r="F38" s="35" t="inlineStr">
        <is>
          <t/>
        </is>
      </c>
      <c r="G38" s="36" t="inlineStr">
        <is>
          <t>Early Stage VC</t>
        </is>
      </c>
      <c r="H38" s="37" t="inlineStr">
        <is>
          <t/>
        </is>
      </c>
      <c r="I38" s="38" t="inlineStr">
        <is>
          <t/>
        </is>
      </c>
      <c r="J38" s="39" t="inlineStr">
        <is>
          <t/>
        </is>
      </c>
      <c r="K38" s="40" t="inlineStr">
        <is>
          <t>Completed</t>
        </is>
      </c>
      <c r="L38" s="41" t="inlineStr">
        <is>
          <t>Privately Held (backing)</t>
        </is>
      </c>
      <c r="M38" s="42" t="inlineStr">
        <is>
          <t>Venture Capital-Backed</t>
        </is>
      </c>
      <c r="N38" s="43" t="inlineStr">
        <is>
          <t>The company raised an undisclosed amount of venture funding from Structure Capital and Brian Schultz.</t>
        </is>
      </c>
      <c r="O38" s="44" t="inlineStr">
        <is>
          <t>500 Startups, Brian Schultz, Structure Capital</t>
        </is>
      </c>
      <c r="P38" s="45" t="inlineStr">
        <is>
          <t/>
        </is>
      </c>
      <c r="Q38" s="46" t="inlineStr">
        <is>
          <t>Information Services (B2C)</t>
        </is>
      </c>
      <c r="R38" s="47" t="inlineStr">
        <is>
          <t>Provider of contents for social media accounts. The company generates automated curated content to populate tweets and posts so that the users don't have to spend the time sourcing relevant content to post.</t>
        </is>
      </c>
      <c r="S38" s="48" t="inlineStr">
        <is>
          <t>San Francisco, CA</t>
        </is>
      </c>
      <c r="T38" s="49" t="inlineStr">
        <is>
          <t>www.zootrock.com</t>
        </is>
      </c>
      <c r="U38" s="132">
        <f>HYPERLINK("https://my.pitchbook.com?c=98506-36", "View company online")</f>
      </c>
    </row>
    <row r="39">
      <c r="A39" s="9" t="inlineStr">
        <is>
          <t>51667-66</t>
        </is>
      </c>
      <c r="B39" s="10" t="inlineStr">
        <is>
          <t>Zoosk</t>
        </is>
      </c>
      <c r="C39" s="11" t="n">
        <v>211.66</v>
      </c>
      <c r="D39" s="12" t="n">
        <v>0.39517093809580295</v>
      </c>
      <c r="E39" s="13" t="n">
        <v>4439.119137244414</v>
      </c>
      <c r="F39" s="14" t="n">
        <v>42128.0</v>
      </c>
      <c r="G39" s="15" t="inlineStr">
        <is>
          <t>IPO</t>
        </is>
      </c>
      <c r="H39" s="16" t="inlineStr">
        <is>
          <t/>
        </is>
      </c>
      <c r="I39" s="17" t="n">
        <v>100.0</v>
      </c>
      <c r="J39" s="18" t="inlineStr">
        <is>
          <t/>
        </is>
      </c>
      <c r="K39" s="19" t="inlineStr">
        <is>
          <t>Failed/Cancelled</t>
        </is>
      </c>
      <c r="L39" s="20" t="inlineStr">
        <is>
          <t>Privately Held (backing)</t>
        </is>
      </c>
      <c r="M39" s="21" t="inlineStr">
        <is>
          <t>Venture Capital-Backed</t>
        </is>
      </c>
      <c r="N39" s="22" t="inlineStr">
        <is>
          <t>The company filed to go public on the NYSE under the ticker symbol of ZSK on April 16, 2014. The expected offering amount was $100 million. Subsequently, the offering was withdrawn. Previously, the company raised $21 million in Series E venture funding from Keating Investments, Crosslink Capital and Canaan Partners on January 27, 2012, putting the pre-money valuation at $203.45 million. Bessemer Venture Partners and ATA Ventures also participated in this round.</t>
        </is>
      </c>
      <c r="O39" s="23" t="inlineStr">
        <is>
          <t>Amidzad Partners, ATA Ventures, Bessemer Venture Partners, Canaan Partners, Crosslink Capital, Crossroads Capital, Fábrica De Startups, Jeffery Epstein, Plug and Play Tech Center, Saeed Amidi</t>
        </is>
      </c>
      <c r="P39" s="24" t="inlineStr">
        <is>
          <t/>
        </is>
      </c>
      <c r="Q39" s="25" t="inlineStr">
        <is>
          <t>Social/Platform Software</t>
        </is>
      </c>
      <c r="R39" s="26" t="inlineStr">
        <is>
          <t>Operator of an online social dating application designed to empower everyone to lead a more fulfilling love life. The company's social dating application offers mobile services and a downloadable desktop application through its website that provides online dating experience by utilizing its behavioral matchmaking algorithm and user's clicking activity, enabling individuals to find the person and relationship that is right for them.</t>
        </is>
      </c>
      <c r="S39" s="27" t="inlineStr">
        <is>
          <t>San Francisco, CA</t>
        </is>
      </c>
      <c r="T39" s="28" t="inlineStr">
        <is>
          <t>www.zoosk.com</t>
        </is>
      </c>
      <c r="U39" s="131">
        <f>HYPERLINK("https://my.pitchbook.com?c=51667-66", "View company online")</f>
      </c>
    </row>
    <row r="40">
      <c r="A40" s="30" t="inlineStr">
        <is>
          <t>98515-45</t>
        </is>
      </c>
      <c r="B40" s="31" t="inlineStr">
        <is>
          <t>Zoomforth</t>
        </is>
      </c>
      <c r="C40" s="32" t="inlineStr">
        <is>
          <t/>
        </is>
      </c>
      <c r="D40" s="33" t="n">
        <v>-0.030915719084500845</v>
      </c>
      <c r="E40" s="34" t="n">
        <v>0.7011339268524235</v>
      </c>
      <c r="F40" s="35" t="n">
        <v>41857.0</v>
      </c>
      <c r="G40" s="36" t="inlineStr">
        <is>
          <t>Accelerator/Incubator</t>
        </is>
      </c>
      <c r="H40" s="37" t="inlineStr">
        <is>
          <t/>
        </is>
      </c>
      <c r="I40" s="38" t="inlineStr">
        <is>
          <t/>
        </is>
      </c>
      <c r="J40" s="39" t="inlineStr">
        <is>
          <t/>
        </is>
      </c>
      <c r="K40" s="40" t="inlineStr">
        <is>
          <t>Completed</t>
        </is>
      </c>
      <c r="L40" s="41" t="inlineStr">
        <is>
          <t>Privately Held (backing)</t>
        </is>
      </c>
      <c r="M40" s="42" t="inlineStr">
        <is>
          <t>Venture Capital-Backed</t>
        </is>
      </c>
      <c r="N40" s="43" t="inlineStr">
        <is>
          <t>The company joined 500 Startups as a part of Batch 10 and received an undisclosed amount in funding on August 6, 2014.</t>
        </is>
      </c>
      <c r="O40" s="44" t="inlineStr">
        <is>
          <t>500 Startups, 555 Capital, Bodley Group, Crosslink Capital, Indicator Fund, Robert Chang</t>
        </is>
      </c>
      <c r="P40" s="45" t="inlineStr">
        <is>
          <t/>
        </is>
      </c>
      <c r="Q40" s="46" t="inlineStr">
        <is>
          <t>Communication Software</t>
        </is>
      </c>
      <c r="R40" s="47" t="inlineStr">
        <is>
          <t>Provider of a communication platform. The company's platform helps organizations to gather rich media content and organize into trackable, online presentations and pages for sales, recruiting and learning and development purposes.</t>
        </is>
      </c>
      <c r="S40" s="48" t="inlineStr">
        <is>
          <t>San Francisco, CA</t>
        </is>
      </c>
      <c r="T40" s="49" t="inlineStr">
        <is>
          <t>www.zoomforth.com</t>
        </is>
      </c>
      <c r="U40" s="132">
        <f>HYPERLINK("https://my.pitchbook.com?c=98515-45", "View company online")</f>
      </c>
    </row>
    <row r="41">
      <c r="A41" s="9" t="inlineStr">
        <is>
          <t>55601-29</t>
        </is>
      </c>
      <c r="B41" s="10" t="inlineStr">
        <is>
          <t>Zoomdata</t>
        </is>
      </c>
      <c r="C41" s="11" t="inlineStr">
        <is>
          <t/>
        </is>
      </c>
      <c r="D41" s="12" t="n">
        <v>-0.2909771500361377</v>
      </c>
      <c r="E41" s="13" t="n">
        <v>11.109958777073736</v>
      </c>
      <c r="F41" s="14" t="n">
        <v>42621.0</v>
      </c>
      <c r="G41" s="15" t="inlineStr">
        <is>
          <t>Later Stage VC</t>
        </is>
      </c>
      <c r="H41" s="16" t="inlineStr">
        <is>
          <t/>
        </is>
      </c>
      <c r="I41" s="17" t="inlineStr">
        <is>
          <t/>
        </is>
      </c>
      <c r="J41" s="18" t="inlineStr">
        <is>
          <t/>
        </is>
      </c>
      <c r="K41" s="19" t="inlineStr">
        <is>
          <t>Completed</t>
        </is>
      </c>
      <c r="L41" s="20" t="inlineStr">
        <is>
          <t>Privately Held (backing)</t>
        </is>
      </c>
      <c r="M41" s="21" t="inlineStr">
        <is>
          <t>Venture Capital-Backed</t>
        </is>
      </c>
      <c r="N41" s="22" t="inlineStr">
        <is>
          <t>The company raised an undisclosed amount of venture funding from In-Q-Tel on September 8, 2016. Previously, the company raised $25 million of Series C venture funding in a deal led by The Goldman Sachs Group on February 16, 2016, putting the pre-money valuation at $90 million. Follow on investors Columbus Nova Technology Partners, Razor's Edge Ventures, Accel Partners, New Enterprise Associates, New MainStream Capital and Comcast Ventures also participated.</t>
        </is>
      </c>
      <c r="O41" s="23" t="inlineStr">
        <is>
          <t>Accel, B7, B7 Ventures, B7inc Peter Thorp, Blue Tiger Ventures, Bobby Yazdani, Center for Innovative Technology Gap Funds, Chris McGill, Cisco Entrepreneurs in Residence, Columbus Nova Technology Partners, Comcast Ventures, Cota Capital, Hemang Gadhia, Individual Investor, In-Q-Tel, Jay Virdy, Jennifer O'Daniel, Magid Abraham, Neil Kataria, New Enterprise Associates, New MainStream Capital, Peter Thorp, Razor's Edge Ventures, Russ Cosentino, Sean Glass, Signatures Capital, Stonehaven Capital, Terry Hsiao, The Goldman Sachs Group, Tony Ayaz</t>
        </is>
      </c>
      <c r="P41" s="24" t="inlineStr">
        <is>
          <t/>
        </is>
      </c>
      <c r="Q41" s="25" t="inlineStr">
        <is>
          <t>Database Software</t>
        </is>
      </c>
      <c r="R41" s="26" t="inlineStr">
        <is>
          <t>Provider of an analysis and visualization software for real-time and historical big data. The company offers a platform enabling users to explore and analyze large quantities of data within their own data stores.</t>
        </is>
      </c>
      <c r="S41" s="27" t="inlineStr">
        <is>
          <t>Reston, VA</t>
        </is>
      </c>
      <c r="T41" s="28" t="inlineStr">
        <is>
          <t>www.zoomdata.com</t>
        </is>
      </c>
      <c r="U41" s="131">
        <f>HYPERLINK("https://my.pitchbook.com?c=55601-29", "View company online")</f>
      </c>
    </row>
    <row r="42">
      <c r="A42" s="30" t="inlineStr">
        <is>
          <t>56017-63</t>
        </is>
      </c>
      <c r="B42" s="31" t="inlineStr">
        <is>
          <t>Zoom Video Communications</t>
        </is>
      </c>
      <c r="C42" s="32" t="inlineStr">
        <is>
          <t/>
        </is>
      </c>
      <c r="D42" s="33" t="n">
        <v>1.2133113006189697</v>
      </c>
      <c r="E42" s="34" t="n">
        <v>202.5790267396568</v>
      </c>
      <c r="F42" s="35" t="n">
        <v>42761.0</v>
      </c>
      <c r="G42" s="36" t="inlineStr">
        <is>
          <t>Later Stage VC</t>
        </is>
      </c>
      <c r="H42" s="37" t="inlineStr">
        <is>
          <t>Series D</t>
        </is>
      </c>
      <c r="I42" s="38" t="n">
        <v>114.97</v>
      </c>
      <c r="J42" s="39" t="n">
        <v>1000.0</v>
      </c>
      <c r="K42" s="40" t="inlineStr">
        <is>
          <t>Completed</t>
        </is>
      </c>
      <c r="L42" s="41" t="inlineStr">
        <is>
          <t>Privately Held (backing)</t>
        </is>
      </c>
      <c r="M42" s="42" t="inlineStr">
        <is>
          <t>Venture Capital-Backed</t>
        </is>
      </c>
      <c r="N42" s="43" t="inlineStr">
        <is>
          <t>The company raised $114.96 million of Series D venture funding in a deal led by Sequoia Capital on January 26, 2017, putting the pre-money valuation at $885 million. AME Cloud Ventures, Emergence Capital Partners, Qualcomm Ventures and other undisclosed investors also participated in the round. The funding will be used to develop products and features such as virtual reality, augmented reality and the Zoom Developer Platform; expand internationally; and grow sales and marketing teams.</t>
        </is>
      </c>
      <c r="O42" s="44" t="inlineStr">
        <is>
          <t>AME Cloud Ventures, Bart Swanson, Bask Iyer, Charles Giancarlo, Daniel Scheinman, Emergence Capital Partners, Facebook, Farzad Nazem, Harbor Pacific Capital, Hillhouse Capital Management, Horizons Ventures, HP Jin, Individual Investor, IT-Farm Corporation, Jerry Yang, Matthew Ocko, Maven Ventures, Michael Everett, Nick Adams, Patrick Soon-Shiong, Qualcomm Ventures, Ronald Pion, Sequoia Capital, Subrah Iyar, Tsingyuan Ventures, William Tai</t>
        </is>
      </c>
      <c r="P42" s="45" t="inlineStr">
        <is>
          <t/>
        </is>
      </c>
      <c r="Q42" s="46" t="inlineStr">
        <is>
          <t>Communication Software</t>
        </is>
      </c>
      <c r="R42" s="47" t="inlineStr">
        <is>
          <t>Developer of enterprise video and web communications technology designed to unify online meetings, group messaging and a software-defined video conference room platform. The company's video conferencing services enable video, audio and screen-sharing experience across multiple web and mobile systems.</t>
        </is>
      </c>
      <c r="S42" s="48" t="inlineStr">
        <is>
          <t>San Jose, CA</t>
        </is>
      </c>
      <c r="T42" s="49" t="inlineStr">
        <is>
          <t>www.zoom.us</t>
        </is>
      </c>
      <c r="U42" s="132">
        <f>HYPERLINK("https://my.pitchbook.com?c=56017-63", "View company online")</f>
      </c>
    </row>
    <row r="43">
      <c r="A43" s="9" t="inlineStr">
        <is>
          <t>129249-10</t>
        </is>
      </c>
      <c r="B43" s="10" t="inlineStr">
        <is>
          <t>ZoneTV</t>
        </is>
      </c>
      <c r="C43" s="11" t="inlineStr">
        <is>
          <t/>
        </is>
      </c>
      <c r="D43" s="12" t="n">
        <v>-0.539103615946333</v>
      </c>
      <c r="E43" s="13" t="n">
        <v>1.7396870604681953</v>
      </c>
      <c r="F43" s="14" t="n">
        <v>42324.0</v>
      </c>
      <c r="G43" s="15" t="inlineStr">
        <is>
          <t>Seed Round</t>
        </is>
      </c>
      <c r="H43" s="16" t="inlineStr">
        <is>
          <t>Seed</t>
        </is>
      </c>
      <c r="I43" s="17" t="n">
        <v>4.1</v>
      </c>
      <c r="J43" s="18" t="inlineStr">
        <is>
          <t/>
        </is>
      </c>
      <c r="K43" s="19" t="inlineStr">
        <is>
          <t>Completed</t>
        </is>
      </c>
      <c r="L43" s="20" t="inlineStr">
        <is>
          <t>Privately Held (backing)</t>
        </is>
      </c>
      <c r="M43" s="21" t="inlineStr">
        <is>
          <t>Venture Capital-Backed</t>
        </is>
      </c>
      <c r="N43" s="22" t="inlineStr">
        <is>
          <t>The company raised $4.1 million of seed funding led by BEST Funds on November 16, 2015. Other undisclosed investors also participated in the round. The funds will be used to use the funds to continue to expand operations.</t>
        </is>
      </c>
      <c r="O43" s="23" t="inlineStr">
        <is>
          <t>BEST Funds</t>
        </is>
      </c>
      <c r="P43" s="24" t="inlineStr">
        <is>
          <t/>
        </is>
      </c>
      <c r="Q43" s="25" t="inlineStr">
        <is>
          <t>Broadcasting, Radio and Television</t>
        </is>
      </c>
      <c r="R43" s="26" t="inlineStr">
        <is>
          <t>Provider of a multi-channel Pay TV network created to change the way the audiences, content providers and Pay TV operators intersect. The company's multi-channel Pay TV network is advancing a platform that combines traditional Pay TV and OTT to deliver programming to TV households through top-tier distribution partners and to generate new advertising and subscription revenue-share opportunities, enabling Pay TV operator and content provider to get TV viewing experience.</t>
        </is>
      </c>
      <c r="S43" s="27" t="inlineStr">
        <is>
          <t>Santa Monica, CA</t>
        </is>
      </c>
      <c r="T43" s="28" t="inlineStr">
        <is>
          <t>www.zone.tv</t>
        </is>
      </c>
      <c r="U43" s="131">
        <f>HYPERLINK("https://my.pitchbook.com?c=129249-10", "View company online")</f>
      </c>
    </row>
    <row r="44">
      <c r="A44" s="30" t="inlineStr">
        <is>
          <t>54531-46</t>
        </is>
      </c>
      <c r="B44" s="31" t="inlineStr">
        <is>
          <t>Zone Reactor</t>
        </is>
      </c>
      <c r="C44" s="32" t="inlineStr">
        <is>
          <t/>
        </is>
      </c>
      <c r="D44" s="33" t="n">
        <v>0.0</v>
      </c>
      <c r="E44" s="34" t="n">
        <v>0.24324324324324326</v>
      </c>
      <c r="F44" s="35" t="n">
        <v>36707.0</v>
      </c>
      <c r="G44" s="36" t="inlineStr">
        <is>
          <t>Early Stage VC</t>
        </is>
      </c>
      <c r="H44" s="37" t="inlineStr">
        <is>
          <t>Series A</t>
        </is>
      </c>
      <c r="I44" s="38" t="n">
        <v>3.0</v>
      </c>
      <c r="J44" s="39" t="n">
        <v>15.0</v>
      </c>
      <c r="K44" s="40" t="inlineStr">
        <is>
          <t>Completed</t>
        </is>
      </c>
      <c r="L44" s="41" t="inlineStr">
        <is>
          <t>Privately Held (backing)</t>
        </is>
      </c>
      <c r="M44" s="42" t="inlineStr">
        <is>
          <t>Venture Capital-Backed</t>
        </is>
      </c>
      <c r="N44" s="43" t="inlineStr">
        <is>
          <t>The company raised $3 million of Series A venture funding from Zone Ventures on June 30, 2000, putting the company's pre-money valuation at $12 million.</t>
        </is>
      </c>
      <c r="O44" s="44" t="inlineStr">
        <is>
          <t>Zone Ventures</t>
        </is>
      </c>
      <c r="P44" s="45" t="inlineStr">
        <is>
          <t/>
        </is>
      </c>
      <c r="Q44" s="46" t="inlineStr">
        <is>
          <t>Consulting Services (B2B)</t>
        </is>
      </c>
      <c r="R44" s="47" t="inlineStr">
        <is>
          <t>Provider of research and development services. The company offers research services to technology companies which helps them to bridge the gap between marketplace problems and developers of disruptive technology.</t>
        </is>
      </c>
      <c r="S44" s="48" t="inlineStr">
        <is>
          <t>Los Angeles, CA</t>
        </is>
      </c>
      <c r="T44" s="49" t="inlineStr">
        <is>
          <t>www.zonereactor.com</t>
        </is>
      </c>
      <c r="U44" s="132">
        <f>HYPERLINK("https://my.pitchbook.com?c=54531-46", "View company online")</f>
      </c>
    </row>
    <row r="45">
      <c r="A45" s="9" t="inlineStr">
        <is>
          <t>54021-43</t>
        </is>
      </c>
      <c r="B45" s="10" t="inlineStr">
        <is>
          <t>Zoho</t>
        </is>
      </c>
      <c r="C45" s="11" t="inlineStr">
        <is>
          <t/>
        </is>
      </c>
      <c r="D45" s="12" t="n">
        <v>0.3489434935130715</v>
      </c>
      <c r="E45" s="13" t="n">
        <v>370.61157651492954</v>
      </c>
      <c r="F45" s="14" t="inlineStr">
        <is>
          <t/>
        </is>
      </c>
      <c r="G45" s="15" t="inlineStr">
        <is>
          <t>Secondary Transaction - Private</t>
        </is>
      </c>
      <c r="H45" s="16" t="inlineStr">
        <is>
          <t/>
        </is>
      </c>
      <c r="I45" s="17" t="inlineStr">
        <is>
          <t/>
        </is>
      </c>
      <c r="J45" s="18" t="inlineStr">
        <is>
          <t/>
        </is>
      </c>
      <c r="K45" s="19" t="inlineStr">
        <is>
          <t>Completed</t>
        </is>
      </c>
      <c r="L45" s="20" t="inlineStr">
        <is>
          <t>Privately Held (backing)</t>
        </is>
      </c>
      <c r="M45" s="21" t="inlineStr">
        <is>
          <t>Venture Capital-Backed</t>
        </is>
      </c>
      <c r="N45" s="22" t="inlineStr">
        <is>
          <t>Dell Ventures sold it's stake in the company on an undisclosed date.</t>
        </is>
      </c>
      <c r="O45" s="23" t="inlineStr">
        <is>
          <t>Amerindo Investment Advisors, BancBoston Robertson Stephens, Caesars Entertainment, Garnett &amp; Helfrich Capital, Octane Capital Management, Quantum Technology Partners, Sand Hill Group, SAP Ariba</t>
        </is>
      </c>
      <c r="P45" s="24" t="inlineStr">
        <is>
          <t/>
        </is>
      </c>
      <c r="Q45" s="25" t="inlineStr">
        <is>
          <t>Network Management Software</t>
        </is>
      </c>
      <c r="R45" s="26" t="inlineStr">
        <is>
          <t>Provider of an online business, network and IT infrastructure management application designed to offer software maintenance and solve business problems. The company's business, network and IT infrastructure management application enables purchasing organizations and suppliers across all segments of the hospitality industry to streamline the entire procurement life-cycle, from planning and design to procurement of operating supplies and services to liquidation of used and surplus goods.</t>
        </is>
      </c>
      <c r="S45" s="27" t="inlineStr">
        <is>
          <t>Pleasanton, CA</t>
        </is>
      </c>
      <c r="T45" s="28" t="inlineStr">
        <is>
          <t>www.zoho.com</t>
        </is>
      </c>
      <c r="U45" s="131">
        <f>HYPERLINK("https://my.pitchbook.com?c=54021-43", "View company online")</f>
      </c>
    </row>
    <row r="46">
      <c r="A46" s="30" t="inlineStr">
        <is>
          <t>50996-44</t>
        </is>
      </c>
      <c r="B46" s="31" t="inlineStr">
        <is>
          <t>ZNYX</t>
        </is>
      </c>
      <c r="C46" s="32" t="inlineStr">
        <is>
          <t/>
        </is>
      </c>
      <c r="D46" s="33" t="n">
        <v>-0.0238345948028258</v>
      </c>
      <c r="E46" s="34" t="n">
        <v>4.465689204838063</v>
      </c>
      <c r="F46" s="35" t="n">
        <v>37483.0</v>
      </c>
      <c r="G46" s="36" t="inlineStr">
        <is>
          <t>Later Stage VC</t>
        </is>
      </c>
      <c r="H46" s="37" t="inlineStr">
        <is>
          <t>Series E</t>
        </is>
      </c>
      <c r="I46" s="38" t="n">
        <v>5.93</v>
      </c>
      <c r="J46" s="39" t="inlineStr">
        <is>
          <t/>
        </is>
      </c>
      <c r="K46" s="40" t="inlineStr">
        <is>
          <t>Completed</t>
        </is>
      </c>
      <c r="L46" s="41" t="inlineStr">
        <is>
          <t>Privately Held (backing)</t>
        </is>
      </c>
      <c r="M46" s="42" t="inlineStr">
        <is>
          <t>Venture Capital-Backed</t>
        </is>
      </c>
      <c r="N46" s="43" t="inlineStr">
        <is>
          <t>The company raised $3.8 million of Series E venture funding from Band of Angels, W Capital Partners and Maton Venture on August 15, 2002. New Vista Investment Group, Paradigm Capital and 4C Ventures also participated in the round.</t>
        </is>
      </c>
      <c r="O46" s="44" t="inlineStr">
        <is>
          <t>4C Ventures, Band of Angels, Maton Venture, New Vista Investment Group, Paradigm Capital, W Capital Partners</t>
        </is>
      </c>
      <c r="P46" s="45" t="inlineStr">
        <is>
          <t/>
        </is>
      </c>
      <c r="Q46" s="46" t="inlineStr">
        <is>
          <t>Computers, Parts and Peripherals</t>
        </is>
      </c>
      <c r="R46" s="47" t="inlineStr">
        <is>
          <t>Provider of embedded ethernet provisions for equipment manufacturers and system integrators. The company offers hardware products, such as carrier-grade Ethernet switches and Ethernet switches. The company also provides OpenArchitect, an open software platform for routing, controlling, and managing embedded Ethernet switches; and RAINlink, an IP driver software. In addition, it offers subscription, technical support, and professional services.</t>
        </is>
      </c>
      <c r="S46" s="48" t="inlineStr">
        <is>
          <t>Fremont, CA</t>
        </is>
      </c>
      <c r="T46" s="49" t="inlineStr">
        <is>
          <t>www.znyx.com</t>
        </is>
      </c>
      <c r="U46" s="132">
        <f>HYPERLINK("https://my.pitchbook.com?c=50996-44", "View company online")</f>
      </c>
    </row>
    <row r="47">
      <c r="A47" s="9" t="inlineStr">
        <is>
          <t>64633-78</t>
        </is>
      </c>
      <c r="B47" s="10" t="inlineStr">
        <is>
          <t>Zno</t>
        </is>
      </c>
      <c r="C47" s="11" t="inlineStr">
        <is>
          <t/>
        </is>
      </c>
      <c r="D47" s="12" t="n">
        <v>0.09009659443569557</v>
      </c>
      <c r="E47" s="13" t="n">
        <v>684.9347492718532</v>
      </c>
      <c r="F47" s="14" t="n">
        <v>41021.0</v>
      </c>
      <c r="G47" s="15" t="inlineStr">
        <is>
          <t>Seed Round</t>
        </is>
      </c>
      <c r="H47" s="16" t="inlineStr">
        <is>
          <t>Seed</t>
        </is>
      </c>
      <c r="I47" s="17" t="inlineStr">
        <is>
          <t/>
        </is>
      </c>
      <c r="J47" s="18" t="inlineStr">
        <is>
          <t/>
        </is>
      </c>
      <c r="K47" s="19" t="inlineStr">
        <is>
          <t>Completed</t>
        </is>
      </c>
      <c r="L47" s="20" t="inlineStr">
        <is>
          <t>Privately Held (backing)</t>
        </is>
      </c>
      <c r="M47" s="21" t="inlineStr">
        <is>
          <t>Venture Capital-Backed</t>
        </is>
      </c>
      <c r="N47" s="22" t="inlineStr">
        <is>
          <t>The company raised an undisclosed amount of seed funding from Innospring and Tsingyuan Ventures on April 22, 2012.</t>
        </is>
      </c>
      <c r="O47" s="23" t="inlineStr">
        <is>
          <t>InnoSpring (Shanghai) Company, Tsingyuan Ventures</t>
        </is>
      </c>
      <c r="P47" s="24" t="inlineStr">
        <is>
          <t/>
        </is>
      </c>
      <c r="Q47" s="25" t="inlineStr">
        <is>
          <t>Other Consumer Durables</t>
        </is>
      </c>
      <c r="R47" s="26" t="inlineStr">
        <is>
          <t>Provider of photo albums. The company specializes in making genuine flush mount photo books and albums.</t>
        </is>
      </c>
      <c r="S47" s="27" t="inlineStr">
        <is>
          <t>CA</t>
        </is>
      </c>
      <c r="T47" s="28" t="inlineStr">
        <is>
          <t>www.zno.com</t>
        </is>
      </c>
      <c r="U47" s="131">
        <f>HYPERLINK("https://my.pitchbook.com?c=64633-78", "View company online")</f>
      </c>
    </row>
    <row r="48">
      <c r="A48" s="30" t="inlineStr">
        <is>
          <t>144140-68</t>
        </is>
      </c>
      <c r="B48" s="31" t="inlineStr">
        <is>
          <t>ZMatches</t>
        </is>
      </c>
      <c r="C48" s="32" t="inlineStr">
        <is>
          <t/>
        </is>
      </c>
      <c r="D48" s="33" t="n">
        <v>0.0</v>
      </c>
      <c r="E48" s="34" t="n">
        <v>0.07707283554741182</v>
      </c>
      <c r="F48" s="35" t="inlineStr">
        <is>
          <t/>
        </is>
      </c>
      <c r="G48" s="36" t="inlineStr">
        <is>
          <t>Early Stage VC</t>
        </is>
      </c>
      <c r="H48" s="37" t="inlineStr">
        <is>
          <t/>
        </is>
      </c>
      <c r="I48" s="38" t="inlineStr">
        <is>
          <t/>
        </is>
      </c>
      <c r="J48" s="39" t="inlineStr">
        <is>
          <t/>
        </is>
      </c>
      <c r="K48" s="40" t="inlineStr">
        <is>
          <t>Completed</t>
        </is>
      </c>
      <c r="L48" s="41" t="inlineStr">
        <is>
          <t>Privately Held (backing)</t>
        </is>
      </c>
      <c r="M48" s="42" t="inlineStr">
        <is>
          <t>Venture Capital-Backed</t>
        </is>
      </c>
      <c r="N48" s="43" t="inlineStr">
        <is>
          <t>The company raised venture funding from Prohaus on an undisclosed date.</t>
        </is>
      </c>
      <c r="O48" s="44" t="inlineStr">
        <is>
          <t>Prohaus Capital</t>
        </is>
      </c>
      <c r="P48" s="45" t="inlineStr">
        <is>
          <t/>
        </is>
      </c>
      <c r="Q48" s="46" t="inlineStr">
        <is>
          <t>Media and Information Services (B2B)</t>
        </is>
      </c>
      <c r="R48" s="47" t="inlineStr">
        <is>
          <t>Provider of an online real estate search platform designed to revolutionize the industry. The company's online real estate search platform makes property profiles 3-D with a patented auto search, enabling buyers and sellers to strike a deal by browsing through various property profiles.</t>
        </is>
      </c>
      <c r="S48" s="48" t="inlineStr">
        <is>
          <t>Westlake Village, CA</t>
        </is>
      </c>
      <c r="T48" s="49" t="inlineStr">
        <is>
          <t>www.zmatches.com</t>
        </is>
      </c>
      <c r="U48" s="132">
        <f>HYPERLINK("https://my.pitchbook.com?c=144140-68", "View company online")</f>
      </c>
    </row>
    <row r="49">
      <c r="A49" s="9" t="inlineStr">
        <is>
          <t>172458-28</t>
        </is>
      </c>
      <c r="B49" s="10" t="inlineStr">
        <is>
          <t>ZMarket.com</t>
        </is>
      </c>
      <c r="C49" s="97">
        <f>HYPERLINK("https://my.pitchbook.com?rrp=172458-28&amp;type=c", "This Company's information is not available to download. Need this Company? Request availability")</f>
      </c>
      <c r="D49" s="12" t="inlineStr">
        <is>
          <t/>
        </is>
      </c>
      <c r="E49" s="13" t="inlineStr">
        <is>
          <t/>
        </is>
      </c>
      <c r="F49" s="14" t="inlineStr">
        <is>
          <t/>
        </is>
      </c>
      <c r="G49" s="15" t="inlineStr">
        <is>
          <t/>
        </is>
      </c>
      <c r="H49" s="16" t="inlineStr">
        <is>
          <t/>
        </is>
      </c>
      <c r="I49" s="17" t="inlineStr">
        <is>
          <t/>
        </is>
      </c>
      <c r="J49" s="18" t="inlineStr">
        <is>
          <t/>
        </is>
      </c>
      <c r="K49" s="19" t="inlineStr">
        <is>
          <t/>
        </is>
      </c>
      <c r="L49" s="20" t="inlineStr">
        <is>
          <t/>
        </is>
      </c>
      <c r="M49" s="21" t="inlineStr">
        <is>
          <t/>
        </is>
      </c>
      <c r="N49" s="22" t="inlineStr">
        <is>
          <t/>
        </is>
      </c>
      <c r="O49" s="23" t="inlineStr">
        <is>
          <t/>
        </is>
      </c>
      <c r="P49" s="24" t="inlineStr">
        <is>
          <t/>
        </is>
      </c>
      <c r="Q49" s="25" t="inlineStr">
        <is>
          <t/>
        </is>
      </c>
      <c r="R49" s="26" t="inlineStr">
        <is>
          <t/>
        </is>
      </c>
      <c r="S49" s="27" t="inlineStr">
        <is>
          <t/>
        </is>
      </c>
      <c r="T49" s="28" t="inlineStr">
        <is>
          <t/>
        </is>
      </c>
      <c r="U49" s="29" t="inlineStr">
        <is>
          <t/>
        </is>
      </c>
    </row>
    <row r="50">
      <c r="A50" s="30" t="inlineStr">
        <is>
          <t>103173-76</t>
        </is>
      </c>
      <c r="B50" s="31" t="inlineStr">
        <is>
          <t>ZL Technologies</t>
        </is>
      </c>
      <c r="C50" s="98">
        <f>HYPERLINK("https://my.pitchbook.com?rrp=103173-76&amp;type=c", "This Company's information is not available to download. Need this Company? Request availability")</f>
      </c>
      <c r="D50" s="33" t="inlineStr">
        <is>
          <t/>
        </is>
      </c>
      <c r="E50" s="34" t="inlineStr">
        <is>
          <t/>
        </is>
      </c>
      <c r="F50" s="35" t="inlineStr">
        <is>
          <t/>
        </is>
      </c>
      <c r="G50" s="36" t="inlineStr">
        <is>
          <t/>
        </is>
      </c>
      <c r="H50" s="37" t="inlineStr">
        <is>
          <t/>
        </is>
      </c>
      <c r="I50" s="38" t="inlineStr">
        <is>
          <t/>
        </is>
      </c>
      <c r="J50" s="39" t="inlineStr">
        <is>
          <t/>
        </is>
      </c>
      <c r="K50" s="40" t="inlineStr">
        <is>
          <t/>
        </is>
      </c>
      <c r="L50" s="41" t="inlineStr">
        <is>
          <t/>
        </is>
      </c>
      <c r="M50" s="42" t="inlineStr">
        <is>
          <t/>
        </is>
      </c>
      <c r="N50" s="43" t="inlineStr">
        <is>
          <t/>
        </is>
      </c>
      <c r="O50" s="44" t="inlineStr">
        <is>
          <t/>
        </is>
      </c>
      <c r="P50" s="45" t="inlineStr">
        <is>
          <t/>
        </is>
      </c>
      <c r="Q50" s="46" t="inlineStr">
        <is>
          <t/>
        </is>
      </c>
      <c r="R50" s="47" t="inlineStr">
        <is>
          <t/>
        </is>
      </c>
      <c r="S50" s="48" t="inlineStr">
        <is>
          <t/>
        </is>
      </c>
      <c r="T50" s="49" t="inlineStr">
        <is>
          <t/>
        </is>
      </c>
      <c r="U50" s="50" t="inlineStr">
        <is>
          <t/>
        </is>
      </c>
    </row>
    <row r="51">
      <c r="A51" s="9" t="inlineStr">
        <is>
          <t>155185-12</t>
        </is>
      </c>
      <c r="B51" s="10" t="inlineStr">
        <is>
          <t>Zizaike</t>
        </is>
      </c>
      <c r="C51" s="11" t="inlineStr">
        <is>
          <t/>
        </is>
      </c>
      <c r="D51" s="12" t="n">
        <v>3.099535759984767</v>
      </c>
      <c r="E51" s="13" t="n">
        <v>36.644132952828606</v>
      </c>
      <c r="F51" s="14" t="n">
        <v>42333.0</v>
      </c>
      <c r="G51" s="15" t="inlineStr">
        <is>
          <t>Early Stage VC</t>
        </is>
      </c>
      <c r="H51" s="16" t="inlineStr">
        <is>
          <t>Series A</t>
        </is>
      </c>
      <c r="I51" s="17" t="inlineStr">
        <is>
          <t/>
        </is>
      </c>
      <c r="J51" s="18" t="inlineStr">
        <is>
          <t/>
        </is>
      </c>
      <c r="K51" s="19" t="inlineStr">
        <is>
          <t>Completed</t>
        </is>
      </c>
      <c r="L51" s="20" t="inlineStr">
        <is>
          <t>Privately Held (backing)</t>
        </is>
      </c>
      <c r="M51" s="21" t="inlineStr">
        <is>
          <t>Venture Capital-Backed</t>
        </is>
      </c>
      <c r="N51" s="22" t="inlineStr">
        <is>
          <t>The company raised an undisclosed amount of Series A venture funding led by GC China on November 25, 2015. ChinaRock Capital Management and other undisclosed investors also participated.</t>
        </is>
      </c>
      <c r="O51" s="23" t="inlineStr">
        <is>
          <t>ChinaRock Capital Management, GC China, Jack Xu</t>
        </is>
      </c>
      <c r="P51" s="24" t="inlineStr">
        <is>
          <t/>
        </is>
      </c>
      <c r="Q51" s="25" t="inlineStr">
        <is>
          <t>Application Software</t>
        </is>
      </c>
      <c r="R51" s="26" t="inlineStr">
        <is>
          <t>Provider of an online accommodation booking platform. The company provides a trip-planning tool for users to book their accommodation, bed and breakfast through a mobile application. It also provides a self-service registration platform for users to share their lives and travel experiences with other guest.</t>
        </is>
      </c>
      <c r="S51" s="27" t="inlineStr">
        <is>
          <t>Shanghai, China</t>
        </is>
      </c>
      <c r="T51" s="28" t="inlineStr">
        <is>
          <t>www.zizaike.com</t>
        </is>
      </c>
      <c r="U51" s="131">
        <f>HYPERLINK("https://my.pitchbook.com?c=155185-12", "View company online")</f>
      </c>
    </row>
    <row r="52">
      <c r="A52" s="30" t="inlineStr">
        <is>
          <t>53527-51</t>
        </is>
      </c>
      <c r="B52" s="31" t="inlineStr">
        <is>
          <t>Zivity</t>
        </is>
      </c>
      <c r="C52" s="32" t="inlineStr">
        <is>
          <t/>
        </is>
      </c>
      <c r="D52" s="33" t="n">
        <v>-0.008916612754091557</v>
      </c>
      <c r="E52" s="34" t="n">
        <v>17.449670140716567</v>
      </c>
      <c r="F52" s="35" t="n">
        <v>39517.0</v>
      </c>
      <c r="G52" s="36" t="inlineStr">
        <is>
          <t>Early Stage VC</t>
        </is>
      </c>
      <c r="H52" s="37" t="inlineStr">
        <is>
          <t>Series B</t>
        </is>
      </c>
      <c r="I52" s="38" t="n">
        <v>7.0</v>
      </c>
      <c r="J52" s="39" t="inlineStr">
        <is>
          <t/>
        </is>
      </c>
      <c r="K52" s="40" t="inlineStr">
        <is>
          <t>Completed</t>
        </is>
      </c>
      <c r="L52" s="41" t="inlineStr">
        <is>
          <t>Privately Held (backing)</t>
        </is>
      </c>
      <c r="M52" s="42" t="inlineStr">
        <is>
          <t>Venture Capital-Backed</t>
        </is>
      </c>
      <c r="N52" s="43" t="inlineStr">
        <is>
          <t>The company raised $7 million of Series B venture funding in a deal led by BlueRun Ventures on March 10, 2008. Founders Fund also participated in this round.</t>
        </is>
      </c>
      <c r="O52" s="44" t="inlineStr">
        <is>
          <t>Barney Pell, BlueRun Ventures, Cyan Banister, Founders Fund, Individual Investor, Joshua Baer, Scott Banister, Vipul Prakash</t>
        </is>
      </c>
      <c r="P52" s="45" t="inlineStr">
        <is>
          <t/>
        </is>
      </c>
      <c r="Q52" s="46" t="inlineStr">
        <is>
          <t>Social/Platform Software</t>
        </is>
      </c>
      <c r="R52" s="47" t="inlineStr">
        <is>
          <t>Provider of subscription-based social networking services for models. The company offers a subscription and fan interaction platform enabling fans to interact with artists and vote for their favorite content.</t>
        </is>
      </c>
      <c r="S52" s="48" t="inlineStr">
        <is>
          <t>San Francisco, CA</t>
        </is>
      </c>
      <c r="T52" s="49" t="inlineStr">
        <is>
          <t>www.zivity.com</t>
        </is>
      </c>
      <c r="U52" s="132">
        <f>HYPERLINK("https://my.pitchbook.com?c=53527-51", "View company online")</f>
      </c>
    </row>
    <row r="53">
      <c r="A53" s="9" t="inlineStr">
        <is>
          <t>130212-55</t>
        </is>
      </c>
      <c r="B53" s="10" t="inlineStr">
        <is>
          <t>ZitoVault</t>
        </is>
      </c>
      <c r="C53" s="11" t="inlineStr">
        <is>
          <t/>
        </is>
      </c>
      <c r="D53" s="12" t="n">
        <v>0.0</v>
      </c>
      <c r="E53" s="13" t="n">
        <v>0.22190410749732786</v>
      </c>
      <c r="F53" s="14" t="n">
        <v>42826.0</v>
      </c>
      <c r="G53" s="15" t="inlineStr">
        <is>
          <t>Early Stage VC</t>
        </is>
      </c>
      <c r="H53" s="16" t="inlineStr">
        <is>
          <t>Series A</t>
        </is>
      </c>
      <c r="I53" s="17" t="n">
        <v>10.0</v>
      </c>
      <c r="J53" s="18" t="inlineStr">
        <is>
          <t/>
        </is>
      </c>
      <c r="K53" s="19" t="inlineStr">
        <is>
          <t>Completed</t>
        </is>
      </c>
      <c r="L53" s="20" t="inlineStr">
        <is>
          <t>Privately Held (backing)</t>
        </is>
      </c>
      <c r="M53" s="21" t="inlineStr">
        <is>
          <t>Venture Capital-Backed</t>
        </is>
      </c>
      <c r="N53" s="22" t="inlineStr">
        <is>
          <t>The company raised $10 million of Series A venture funding from San Diego Venture Group and other undisclosed investors in April 2017.</t>
        </is>
      </c>
      <c r="O53" s="23" t="inlineStr">
        <is>
          <t>San Diego Venture Group</t>
        </is>
      </c>
      <c r="P53" s="24" t="inlineStr">
        <is>
          <t/>
        </is>
      </c>
      <c r="Q53" s="25" t="inlineStr">
        <is>
          <t>Business/Productivity Software</t>
        </is>
      </c>
      <c r="R53" s="26" t="inlineStr">
        <is>
          <t>Developer of a cybersecurity software designed to detect and stop cyber threats and malware attacks. The company's endpoint detection and response platform uses behavioral analysis and machine learning algorithms to centralize data and transit those securely in the cloud and build an intelligence platform that predicts impending cyber threats without affecting files and folder sequence, enabling businesses and individual user to detect suspicious activity and eliminate malware attacks.</t>
        </is>
      </c>
      <c r="S53" s="27" t="inlineStr">
        <is>
          <t>Carlsbad, CA</t>
        </is>
      </c>
      <c r="T53" s="28" t="inlineStr">
        <is>
          <t>www.zitovault.com</t>
        </is>
      </c>
      <c r="U53" s="131">
        <f>HYPERLINK("https://my.pitchbook.com?c=130212-55", "View company online")</f>
      </c>
    </row>
    <row r="54">
      <c r="A54" s="30" t="inlineStr">
        <is>
          <t>51169-33</t>
        </is>
      </c>
      <c r="B54" s="31" t="inlineStr">
        <is>
          <t>ZirMed</t>
        </is>
      </c>
      <c r="C54" s="32" t="n">
        <v>50.77</v>
      </c>
      <c r="D54" s="33" t="n">
        <v>0.0759278030847153</v>
      </c>
      <c r="E54" s="34" t="n">
        <v>1.4723203912408038</v>
      </c>
      <c r="F54" s="35" t="inlineStr">
        <is>
          <t/>
        </is>
      </c>
      <c r="G54" s="36" t="inlineStr">
        <is>
          <t>Secondary Transaction - Private</t>
        </is>
      </c>
      <c r="H54" s="37" t="inlineStr">
        <is>
          <t/>
        </is>
      </c>
      <c r="I54" s="38" t="inlineStr">
        <is>
          <t/>
        </is>
      </c>
      <c r="J54" s="39" t="inlineStr">
        <is>
          <t/>
        </is>
      </c>
      <c r="K54" s="40" t="inlineStr">
        <is>
          <t>Completed</t>
        </is>
      </c>
      <c r="L54" s="41" t="inlineStr">
        <is>
          <t>Privately Held (backing)</t>
        </is>
      </c>
      <c r="M54" s="42" t="inlineStr">
        <is>
          <t>Venture Capital-Backed</t>
        </is>
      </c>
      <c r="N54" s="43" t="inlineStr">
        <is>
          <t>Poplar Ventures sold its stake in the company to undisclosed investors.</t>
        </is>
      </c>
      <c r="O54" s="44" t="inlineStr">
        <is>
          <t>Generation Partners, Sequoia Capital</t>
        </is>
      </c>
      <c r="P54" s="45" t="inlineStr">
        <is>
          <t/>
        </is>
      </c>
      <c r="Q54" s="46" t="inlineStr">
        <is>
          <t>Business/Productivity Software</t>
        </is>
      </c>
      <c r="R54" s="47" t="inlineStr">
        <is>
          <t>Provider of a cloud-based financial and clinical performance management platform designed to optimize revenue and population health. The company's financial and clinical performance management platform offers patient access, charge integrity, claims management, AR management, patient responsibility and population health management services, enabling healthcare organizations to optimize value-driven and fee-for-service reimbursements.</t>
        </is>
      </c>
      <c r="S54" s="48" t="inlineStr">
        <is>
          <t>Louisville, KY</t>
        </is>
      </c>
      <c r="T54" s="49" t="inlineStr">
        <is>
          <t>public.zirmed.com</t>
        </is>
      </c>
      <c r="U54" s="132">
        <f>HYPERLINK("https://my.pitchbook.com?c=51169-33", "View company online")</f>
      </c>
    </row>
    <row r="55">
      <c r="A55" s="9" t="inlineStr">
        <is>
          <t>54093-70</t>
        </is>
      </c>
      <c r="B55" s="10" t="inlineStr">
        <is>
          <t>ZipZap</t>
        </is>
      </c>
      <c r="C55" s="11" t="inlineStr">
        <is>
          <t/>
        </is>
      </c>
      <c r="D55" s="12" t="n">
        <v>0.04024433195388205</v>
      </c>
      <c r="E55" s="13" t="n">
        <v>1.718187926846733</v>
      </c>
      <c r="F55" s="14" t="n">
        <v>41791.0</v>
      </c>
      <c r="G55" s="15" t="inlineStr">
        <is>
          <t>Seed Round</t>
        </is>
      </c>
      <c r="H55" s="16" t="inlineStr">
        <is>
          <t>Seed</t>
        </is>
      </c>
      <c r="I55" s="17" t="n">
        <v>1.1</v>
      </c>
      <c r="J55" s="18" t="inlineStr">
        <is>
          <t/>
        </is>
      </c>
      <c r="K55" s="19" t="inlineStr">
        <is>
          <t>Completed</t>
        </is>
      </c>
      <c r="L55" s="20" t="inlineStr">
        <is>
          <t>Privately Held (backing)</t>
        </is>
      </c>
      <c r="M55" s="21" t="inlineStr">
        <is>
          <t>Venture Capital-Backed</t>
        </is>
      </c>
      <c r="N55" s="22" t="inlineStr">
        <is>
          <t>The company raised $1.1 million of seed funding from Ben Davenport‘s from AngelList Syndicate, Maiden Lane, 500 Startups, Lee Linden, Sam Lessin and Blumberg Capital in June 2014. The funds will be used to expand the payout networks in the Philippines, India and China.</t>
        </is>
      </c>
      <c r="O55" s="23" t="inlineStr">
        <is>
          <t>500 Startups, Alan Safahi, Ben Davenport, Benjamin Narasin, Blockchain Capital, Blumberg Capital, Brock Pierce, Eric Kagan, Lee Linden, Maiden Lane, Samuel Lessin, Scott Banister, Sean Percival, TriplePoint Capital</t>
        </is>
      </c>
      <c r="P55" s="24" t="inlineStr">
        <is>
          <t/>
        </is>
      </c>
      <c r="Q55" s="25" t="inlineStr">
        <is>
          <t>Financial Software</t>
        </is>
      </c>
      <c r="R55" s="26" t="inlineStr">
        <is>
          <t>Provider of a peer-to=peer mobile remittance application. The company enables customers to send money cross border using a mobile application.</t>
        </is>
      </c>
      <c r="S55" s="27" t="inlineStr">
        <is>
          <t>San Francisco, CA</t>
        </is>
      </c>
      <c r="T55" s="28" t="inlineStr">
        <is>
          <t>www.zipzap.me</t>
        </is>
      </c>
      <c r="U55" s="131">
        <f>HYPERLINK("https://my.pitchbook.com?c=54093-70", "View company online")</f>
      </c>
    </row>
    <row r="56">
      <c r="A56" s="30" t="inlineStr">
        <is>
          <t>56643-76</t>
        </is>
      </c>
      <c r="B56" s="31" t="inlineStr">
        <is>
          <t>Ziptask</t>
        </is>
      </c>
      <c r="C56" s="32" t="inlineStr">
        <is>
          <t/>
        </is>
      </c>
      <c r="D56" s="33" t="n">
        <v>-1.0292923167711563</v>
      </c>
      <c r="E56" s="34" t="n">
        <v>3.5135135135135136</v>
      </c>
      <c r="F56" s="35" t="n">
        <v>41837.0</v>
      </c>
      <c r="G56" s="36" t="inlineStr">
        <is>
          <t>Seed Round</t>
        </is>
      </c>
      <c r="H56" s="37" t="inlineStr">
        <is>
          <t>Seed</t>
        </is>
      </c>
      <c r="I56" s="38" t="inlineStr">
        <is>
          <t/>
        </is>
      </c>
      <c r="J56" s="39" t="inlineStr">
        <is>
          <t/>
        </is>
      </c>
      <c r="K56" s="40" t="inlineStr">
        <is>
          <t>Completed</t>
        </is>
      </c>
      <c r="L56" s="41" t="inlineStr">
        <is>
          <t>Privately Held (backing)</t>
        </is>
      </c>
      <c r="M56" s="42" t="inlineStr">
        <is>
          <t>Venture Capital-Backed</t>
        </is>
      </c>
      <c r="N56" s="43" t="inlineStr">
        <is>
          <t>The company raised an undisclosed amount of seed funding from Amplify.LA, Kima Ventures and TYLT Lab on July 17, 2014. Kris Bjornerud, Stan Miroshnik and Bam Ventures also participated.</t>
        </is>
      </c>
      <c r="O56" s="44" t="inlineStr">
        <is>
          <t>Amplify.LA, Bam Ventures, Individual Investor, Jason Seats, Kima Ventures, Kris Bjornerud, Maverick Angels, Paige Craig, Stan Miroshnik, Techstars, TYLT Ventures</t>
        </is>
      </c>
      <c r="P56" s="45" t="inlineStr">
        <is>
          <t/>
        </is>
      </c>
      <c r="Q56" s="46" t="inlineStr">
        <is>
          <t>BPO/Outsource Services</t>
        </is>
      </c>
      <c r="R56" s="47" t="inlineStr">
        <is>
          <t>Provider of an outsourcing-management platform. The company uses crowdsourcing technology to supply businesses with freelance workers for day-to-day digital work such as word processing, spreadsheets, software, website design, graphic design and other professional services.</t>
        </is>
      </c>
      <c r="S56" s="48" t="inlineStr">
        <is>
          <t>Anaheim, CA</t>
        </is>
      </c>
      <c r="T56" s="49" t="inlineStr">
        <is>
          <t>www.ziptask.com</t>
        </is>
      </c>
      <c r="U56" s="132">
        <f>HYPERLINK("https://my.pitchbook.com?c=56643-76", "View company online")</f>
      </c>
    </row>
    <row r="57">
      <c r="A57" s="9" t="inlineStr">
        <is>
          <t>66331-90</t>
        </is>
      </c>
      <c r="B57" s="10" t="inlineStr">
        <is>
          <t>ZipRecruiter</t>
        </is>
      </c>
      <c r="C57" s="11" t="inlineStr">
        <is>
          <t/>
        </is>
      </c>
      <c r="D57" s="12" t="n">
        <v>0.6111037155219705</v>
      </c>
      <c r="E57" s="13" t="n">
        <v>150.3413191431246</v>
      </c>
      <c r="F57" s="14" t="n">
        <v>41877.0</v>
      </c>
      <c r="G57" s="15" t="inlineStr">
        <is>
          <t>Early Stage VC</t>
        </is>
      </c>
      <c r="H57" s="16" t="inlineStr">
        <is>
          <t>Series A</t>
        </is>
      </c>
      <c r="I57" s="17" t="n">
        <v>63.0</v>
      </c>
      <c r="J57" s="18" t="n">
        <v>363.0</v>
      </c>
      <c r="K57" s="19" t="inlineStr">
        <is>
          <t>Completed</t>
        </is>
      </c>
      <c r="L57" s="20" t="inlineStr">
        <is>
          <t>Privately Held (backing)</t>
        </is>
      </c>
      <c r="M57" s="21" t="inlineStr">
        <is>
          <t>Venture Capital-Backed</t>
        </is>
      </c>
      <c r="N57" s="22" t="inlineStr">
        <is>
          <t>The company raised $63 million of Series A venture funding led by Institutional Venture Partners on August 26, 2014, putting the pre-money valuation at $300 million. Follow on Basepoint Ventures and Industry Ventures also participated in the round.</t>
        </is>
      </c>
      <c r="O57" s="23" t="inlineStr">
        <is>
          <t>Basepoint Ventures, Industry Ventures, IVP, Mike Jones</t>
        </is>
      </c>
      <c r="P57" s="24" t="inlineStr">
        <is>
          <t/>
        </is>
      </c>
      <c r="Q57" s="25" t="inlineStr">
        <is>
          <t>Human Capital Services</t>
        </is>
      </c>
      <c r="R57" s="26" t="inlineStr">
        <is>
          <t>Provider of a job portal platform. The company provides a platform where small and medium businesses can post and update job openings and get connected with candidates looking for jobs.</t>
        </is>
      </c>
      <c r="S57" s="27" t="inlineStr">
        <is>
          <t>Santa Monica, CA</t>
        </is>
      </c>
      <c r="T57" s="28" t="inlineStr">
        <is>
          <t>www.ziprecruiter.com</t>
        </is>
      </c>
      <c r="U57" s="131">
        <f>HYPERLINK("https://my.pitchbook.com?c=66331-90", "View company online")</f>
      </c>
    </row>
    <row r="58">
      <c r="A58" s="30" t="inlineStr">
        <is>
          <t>54875-98</t>
        </is>
      </c>
      <c r="B58" s="31" t="inlineStr">
        <is>
          <t>Zipongo</t>
        </is>
      </c>
      <c r="C58" s="32" t="n">
        <v>15.0</v>
      </c>
      <c r="D58" s="33" t="n">
        <v>-0.3012362794074465</v>
      </c>
      <c r="E58" s="34" t="n">
        <v>8.041418252656278</v>
      </c>
      <c r="F58" s="35" t="n">
        <v>42677.0</v>
      </c>
      <c r="G58" s="36" t="inlineStr">
        <is>
          <t>Later Stage VC</t>
        </is>
      </c>
      <c r="H58" s="37" t="inlineStr">
        <is>
          <t>Series B</t>
        </is>
      </c>
      <c r="I58" s="38" t="n">
        <v>18.0</v>
      </c>
      <c r="J58" s="39" t="n">
        <v>50.55</v>
      </c>
      <c r="K58" s="40" t="inlineStr">
        <is>
          <t>Completed</t>
        </is>
      </c>
      <c r="L58" s="41" t="inlineStr">
        <is>
          <t>Privately Held (backing)</t>
        </is>
      </c>
      <c r="M58" s="42" t="inlineStr">
        <is>
          <t>Venture Capital-Backed</t>
        </is>
      </c>
      <c r="N58" s="43" t="inlineStr">
        <is>
          <t>The company raised $18 million of Series B venture funding in a deal led by Mayfield on November 3, 2016, putting the pre-money valuation at $32.55 million. Excel Venture Management, Closed Loop Capital also participated in the round. The company intends to use the funds to expand operations.</t>
        </is>
      </c>
      <c r="O58" s="44" t="inlineStr">
        <is>
          <t>Adam Pisoni, Alchemist Accelerator, Bee Partners, Caterina Fake, Closed Loop Capital, Eric Paley, Excel Venture Management, Founder Collective, Great Oaks Venture Capital, Kai Huang, Mayfield Fund, NAV.VC, Neal Baer, New Ground Ventures, Peter Dolan, Rally Ventures, Rock Health, Westway Capital, Zac Zeitlin, Zitec</t>
        </is>
      </c>
      <c r="P58" s="45" t="inlineStr">
        <is>
          <t/>
        </is>
      </c>
      <c r="Q58" s="46" t="inlineStr">
        <is>
          <t>Application Software</t>
        </is>
      </c>
      <c r="R58" s="47" t="inlineStr">
        <is>
          <t>Provider of a digital nutrition platform to improve health outcomes through personalized dietary recommendations. The company offers a health related mobile application that provides information about organic and natural foods from local grocery stores. It also delivers personalized food recommendations diets that enable healthy eating at home and at work.</t>
        </is>
      </c>
      <c r="S58" s="48" t="inlineStr">
        <is>
          <t>San Francisco, CA</t>
        </is>
      </c>
      <c r="T58" s="49" t="inlineStr">
        <is>
          <t>www.zipongo.com</t>
        </is>
      </c>
      <c r="U58" s="132">
        <f>HYPERLINK("https://my.pitchbook.com?c=54875-98", "View company online")</f>
      </c>
    </row>
    <row r="59">
      <c r="A59" s="9" t="inlineStr">
        <is>
          <t>61990-66</t>
        </is>
      </c>
      <c r="B59" s="10" t="inlineStr">
        <is>
          <t>Ziploop</t>
        </is>
      </c>
      <c r="C59" s="11" t="inlineStr">
        <is>
          <t/>
        </is>
      </c>
      <c r="D59" s="12" t="n">
        <v>-0.016909083253732176</v>
      </c>
      <c r="E59" s="13" t="n">
        <v>11.006860300135909</v>
      </c>
      <c r="F59" s="14" t="n">
        <v>41716.0</v>
      </c>
      <c r="G59" s="15" t="inlineStr">
        <is>
          <t>Seed Round</t>
        </is>
      </c>
      <c r="H59" s="16" t="inlineStr">
        <is>
          <t>Seed</t>
        </is>
      </c>
      <c r="I59" s="17" t="n">
        <v>2.2</v>
      </c>
      <c r="J59" s="18" t="n">
        <v>11.55</v>
      </c>
      <c r="K59" s="19" t="inlineStr">
        <is>
          <t>Completed</t>
        </is>
      </c>
      <c r="L59" s="20" t="inlineStr">
        <is>
          <t>Privately Held (backing)</t>
        </is>
      </c>
      <c r="M59" s="21" t="inlineStr">
        <is>
          <t>Venture Capital-Backed</t>
        </is>
      </c>
      <c r="N59" s="22" t="inlineStr">
        <is>
          <t>The company raised $2.2 million of seed funding from Simon Venture Group, WS Investments and Bill Elmore on March 18, 2014, putting the pre-money valuation at $9.35 million. 6 individual investors also participated in this round.</t>
        </is>
      </c>
      <c r="O59" s="23" t="inlineStr">
        <is>
          <t>Andrew Rudd, Bill Elmore, Grant Inman, Individual Investor, James Peters, John Balen, Simon Ventures, Ted Breck, WS Investments</t>
        </is>
      </c>
      <c r="P59" s="24" t="inlineStr">
        <is>
          <t/>
        </is>
      </c>
      <c r="Q59" s="25" t="inlineStr">
        <is>
          <t>Application Software</t>
        </is>
      </c>
      <c r="R59" s="26" t="inlineStr">
        <is>
          <t>Provider of a mobile shopping application. The company provides an application designed to store and organize shopping documents, such as receipts and coupons, on a mobile device, with a tool for pushing notifications before coupons expire.</t>
        </is>
      </c>
      <c r="S59" s="27" t="inlineStr">
        <is>
          <t>Orinda, CA</t>
        </is>
      </c>
      <c r="T59" s="28" t="inlineStr">
        <is>
          <t>www.ziploop.com</t>
        </is>
      </c>
      <c r="U59" s="131">
        <f>HYPERLINK("https://my.pitchbook.com?c=61990-66", "View company online")</f>
      </c>
    </row>
    <row r="60">
      <c r="A60" s="30" t="inlineStr">
        <is>
          <t>53997-13</t>
        </is>
      </c>
      <c r="B60" s="31" t="inlineStr">
        <is>
          <t>Zipline Medical</t>
        </is>
      </c>
      <c r="C60" s="32" t="inlineStr">
        <is>
          <t/>
        </is>
      </c>
      <c r="D60" s="33" t="n">
        <v>1.2738847039481802</v>
      </c>
      <c r="E60" s="34" t="n">
        <v>2.1647649728895124</v>
      </c>
      <c r="F60" s="35" t="n">
        <v>42892.0</v>
      </c>
      <c r="G60" s="36" t="inlineStr">
        <is>
          <t>Later Stage VC</t>
        </is>
      </c>
      <c r="H60" s="37" t="inlineStr">
        <is>
          <t>Series E</t>
        </is>
      </c>
      <c r="I60" s="38" t="n">
        <v>12.0</v>
      </c>
      <c r="J60" s="39" t="inlineStr">
        <is>
          <t/>
        </is>
      </c>
      <c r="K60" s="40" t="inlineStr">
        <is>
          <t>Completed</t>
        </is>
      </c>
      <c r="L60" s="41" t="inlineStr">
        <is>
          <t>Privately Held (backing)</t>
        </is>
      </c>
      <c r="M60" s="42" t="inlineStr">
        <is>
          <t>Venture Capital-Backed</t>
        </is>
      </c>
      <c r="N60" s="43" t="inlineStr">
        <is>
          <t>The company raised $12 million of Series E venture funding in a deal led by HighCape Partners on June 6, 2017. MVM Life Science Partners also participated in the round. The company intends to use the funds to continue worldwide commercialization activities for their Zip Surgical Skin Closure products, as well as development of advanced tools to reduce post-discharge costs in a bundled care environment.</t>
        </is>
      </c>
      <c r="O60" s="44" t="inlineStr">
        <is>
          <t>China Materialia, Claremont Creek Ventures, HighCape Partners, MVM Life Science Partners, Pelion Venture Partners, RA Capital Management, WS Investments, XSeed Capital</t>
        </is>
      </c>
      <c r="P60" s="45" t="inlineStr">
        <is>
          <t/>
        </is>
      </c>
      <c r="Q60" s="46" t="inlineStr">
        <is>
          <t>Surgical Devices</t>
        </is>
      </c>
      <c r="R60" s="47" t="inlineStr">
        <is>
          <t>Provider of non-invasive surgical skin closure devices designed to provide easy to use device that does not puncture skin and decreases the risk of needle stick injury. The company's Zip skin closure provides secure skin layer closure for surgical incisions of any length, enabling medical surgeons to incorporate a force distribution structure that is designed to distribute closure forces uniformly along the incision to minimize high localized forces that can occur with other closure methods.</t>
        </is>
      </c>
      <c r="S60" s="48" t="inlineStr">
        <is>
          <t>Campbell, CA</t>
        </is>
      </c>
      <c r="T60" s="49" t="inlineStr">
        <is>
          <t>www.ziplinemedical.com</t>
        </is>
      </c>
      <c r="U60" s="132">
        <f>HYPERLINK("https://my.pitchbook.com?c=53997-13", "View company online")</f>
      </c>
    </row>
    <row r="61">
      <c r="A61" s="9" t="inlineStr">
        <is>
          <t>53944-57</t>
        </is>
      </c>
      <c r="B61" s="10" t="inlineStr">
        <is>
          <t>Zipline</t>
        </is>
      </c>
      <c r="C61" s="11" t="inlineStr">
        <is>
          <t/>
        </is>
      </c>
      <c r="D61" s="12" t="n">
        <v>0.675040018345981</v>
      </c>
      <c r="E61" s="13" t="n">
        <v>2.555056174713507</v>
      </c>
      <c r="F61" s="14" t="n">
        <v>42683.0</v>
      </c>
      <c r="G61" s="15" t="inlineStr">
        <is>
          <t>Early Stage VC</t>
        </is>
      </c>
      <c r="H61" s="16" t="inlineStr">
        <is>
          <t>Series B</t>
        </is>
      </c>
      <c r="I61" s="17" t="n">
        <v>25.0</v>
      </c>
      <c r="J61" s="18" t="n">
        <v>190.0</v>
      </c>
      <c r="K61" s="19" t="inlineStr">
        <is>
          <t>Completed</t>
        </is>
      </c>
      <c r="L61" s="20" t="inlineStr">
        <is>
          <t>Privately Held (backing)</t>
        </is>
      </c>
      <c r="M61" s="21" t="inlineStr">
        <is>
          <t>Venture Capital-Backed</t>
        </is>
      </c>
      <c r="N61" s="22" t="inlineStr">
        <is>
          <t>The company raised $25 million of Series B venture funding in a deal led by Visionnaire Ventures on November 9, 2016, putting the pre-money valuation at $165 million. Sequoia Capital, Andreessen Horowitz, Subtraction Capital, Jerry Yang, Alliance of Angels, Grishin Robotics and other undisclosed investors also participated in the round. The funds will be used to expand its drone delivery service across Africa and other markets globally.</t>
        </is>
      </c>
      <c r="O61" s="23" t="inlineStr">
        <is>
          <t>Alliance of Angels, AME Cloud Ventures, Andreessen Horowitz, Andy White, Anthony Hsieh, Ariel Arrieta, BoxGroup, CrunchFund, David Cohen, David Tisch, Felicis Ventures, Grishin Robotics, GV, Jerry Yang, Klein Venture Partners, Lerer Hippeau Ventures, Morado Venture Partners, NAV.VC, Oakhouse Partners, Pacific Alliance Limited, Paul Allen, PivotNorth Capital, Pro Rata Opportunity Fund, Sequoia Capital, Stanford Management Company, SV Angel, Techstars, Visionnaire Ventures, VTF Capital</t>
        </is>
      </c>
      <c r="P61" s="24" t="inlineStr">
        <is>
          <t/>
        </is>
      </c>
      <c r="Q61" s="25" t="inlineStr">
        <is>
          <t>Aerospace and Defense</t>
        </is>
      </c>
      <c r="R61" s="26" t="inlineStr">
        <is>
          <t>Provider of drone-delivery services for the healthcare industry. The company provides robotic airplane service that carries vaccines, medicine, blood and medical supplies to hospitals and health centers.</t>
        </is>
      </c>
      <c r="S61" s="27" t="inlineStr">
        <is>
          <t>San Francisco, CA</t>
        </is>
      </c>
      <c r="T61" s="28" t="inlineStr">
        <is>
          <t>www.flyzipline.com</t>
        </is>
      </c>
      <c r="U61" s="131">
        <f>HYPERLINK("https://my.pitchbook.com?c=53944-57", "View company online")</f>
      </c>
    </row>
    <row r="62">
      <c r="A62" s="30" t="inlineStr">
        <is>
          <t>61810-48</t>
        </is>
      </c>
      <c r="B62" s="31" t="inlineStr">
        <is>
          <t>ZinMobi</t>
        </is>
      </c>
      <c r="C62" s="32" t="inlineStr">
        <is>
          <t/>
        </is>
      </c>
      <c r="D62" s="33" t="n">
        <v>-0.007202121407709747</v>
      </c>
      <c r="E62" s="34" t="n">
        <v>1.6939034123079812</v>
      </c>
      <c r="F62" s="35" t="n">
        <v>41702.0</v>
      </c>
      <c r="G62" s="36" t="inlineStr">
        <is>
          <t>Early Stage VC</t>
        </is>
      </c>
      <c r="H62" s="37" t="inlineStr">
        <is>
          <t/>
        </is>
      </c>
      <c r="I62" s="38" t="n">
        <v>0.56</v>
      </c>
      <c r="J62" s="39" t="inlineStr">
        <is>
          <t/>
        </is>
      </c>
      <c r="K62" s="40" t="inlineStr">
        <is>
          <t>Completed</t>
        </is>
      </c>
      <c r="L62" s="41" t="inlineStr">
        <is>
          <t>Privately Held (backing)</t>
        </is>
      </c>
      <c r="M62" s="42" t="inlineStr">
        <is>
          <t>Venture Capital-Backed</t>
        </is>
      </c>
      <c r="N62" s="43" t="inlineStr">
        <is>
          <t>The company raised EUR 560,000 of venture funding from Enterprise Ireland on March 4, 2014.</t>
        </is>
      </c>
      <c r="O62" s="44" t="inlineStr">
        <is>
          <t>Enterprise Ireland</t>
        </is>
      </c>
      <c r="P62" s="45" t="inlineStr">
        <is>
          <t/>
        </is>
      </c>
      <c r="Q62" s="46" t="inlineStr">
        <is>
          <t>Business/Productivity Software</t>
        </is>
      </c>
      <c r="R62" s="47" t="inlineStr">
        <is>
          <t>Developer of coupon management software The company develops mobile messaging and mobile marketing platform for retail and fast food groups.</t>
        </is>
      </c>
      <c r="S62" s="48" t="inlineStr">
        <is>
          <t>London, United Kingdom</t>
        </is>
      </c>
      <c r="T62" s="49" t="inlineStr">
        <is>
          <t>www.zinmobi.com</t>
        </is>
      </c>
      <c r="U62" s="132">
        <f>HYPERLINK("https://my.pitchbook.com?c=61810-48", "View company online")</f>
      </c>
    </row>
    <row r="63">
      <c r="A63" s="9" t="inlineStr">
        <is>
          <t>103534-30</t>
        </is>
      </c>
      <c r="B63" s="10" t="inlineStr">
        <is>
          <t>Zinier</t>
        </is>
      </c>
      <c r="C63" s="11" t="inlineStr">
        <is>
          <t/>
        </is>
      </c>
      <c r="D63" s="12" t="n">
        <v>0.00886549518288896</v>
      </c>
      <c r="E63" s="13" t="n">
        <v>0.20235913879981676</v>
      </c>
      <c r="F63" s="14" t="n">
        <v>42045.0</v>
      </c>
      <c r="G63" s="15" t="inlineStr">
        <is>
          <t>Seed Round</t>
        </is>
      </c>
      <c r="H63" s="16" t="inlineStr">
        <is>
          <t>Seed</t>
        </is>
      </c>
      <c r="I63" s="17" t="inlineStr">
        <is>
          <t/>
        </is>
      </c>
      <c r="J63" s="18" t="inlineStr">
        <is>
          <t/>
        </is>
      </c>
      <c r="K63" s="19" t="inlineStr">
        <is>
          <t>Completed</t>
        </is>
      </c>
      <c r="L63" s="20" t="inlineStr">
        <is>
          <t>Privately Held (backing)</t>
        </is>
      </c>
      <c r="M63" s="21" t="inlineStr">
        <is>
          <t>Venture Capital-Backed</t>
        </is>
      </c>
      <c r="N63" s="22" t="inlineStr">
        <is>
          <t>The company raised an undisclosed amount of seed funding from StartX, Rugged Ventures and 9 investors on February 10, 2015.</t>
        </is>
      </c>
      <c r="O63" s="23" t="inlineStr">
        <is>
          <t>Dave Lerner, Himanshu Aggarwal, Jean Claude Donato, Ken Glass, Kunal Bahl, Rohit Bansal, Rugged Ventures, StartX, Takanobu Yamamoto, Varun Aggarwal</t>
        </is>
      </c>
      <c r="P63" s="24" t="inlineStr">
        <is>
          <t/>
        </is>
      </c>
      <c r="Q63" s="25" t="inlineStr">
        <is>
          <t>Media and Information Services (B2B)</t>
        </is>
      </c>
      <c r="R63" s="26" t="inlineStr">
        <is>
          <t>Provider of a SaaS platform for collection of market research data. The company provides a platform for businesses which enables utilization of mobile workforce for automated market research data collection.</t>
        </is>
      </c>
      <c r="S63" s="27" t="inlineStr">
        <is>
          <t>Palo Alto, CA</t>
        </is>
      </c>
      <c r="T63" s="28" t="inlineStr">
        <is>
          <t>www.zinier.com</t>
        </is>
      </c>
      <c r="U63" s="131">
        <f>HYPERLINK("https://my.pitchbook.com?c=103534-30", "View company online")</f>
      </c>
    </row>
    <row r="64">
      <c r="A64" s="30" t="inlineStr">
        <is>
          <t>113070-43</t>
        </is>
      </c>
      <c r="B64" s="31" t="inlineStr">
        <is>
          <t>Zingle</t>
        </is>
      </c>
      <c r="C64" s="32" t="inlineStr">
        <is>
          <t/>
        </is>
      </c>
      <c r="D64" s="33" t="n">
        <v>0.597951299654315</v>
      </c>
      <c r="E64" s="34" t="n">
        <v>4.873336287650952</v>
      </c>
      <c r="F64" s="35" t="n">
        <v>42557.0</v>
      </c>
      <c r="G64" s="36" t="inlineStr">
        <is>
          <t>Early Stage VC</t>
        </is>
      </c>
      <c r="H64" s="37" t="inlineStr">
        <is>
          <t>Series A</t>
        </is>
      </c>
      <c r="I64" s="38" t="n">
        <v>3.01</v>
      </c>
      <c r="J64" s="39" t="n">
        <v>9.07</v>
      </c>
      <c r="K64" s="40" t="inlineStr">
        <is>
          <t>Completed</t>
        </is>
      </c>
      <c r="L64" s="41" t="inlineStr">
        <is>
          <t>Privately Held (backing)</t>
        </is>
      </c>
      <c r="M64" s="42" t="inlineStr">
        <is>
          <t>Venture Capital-Backed</t>
        </is>
      </c>
      <c r="N64" s="43" t="inlineStr">
        <is>
          <t>The company raised $3.01 million of Series A funding from undisclosed investors on July 6, 2016, putting the company's pre-money valuation at $6.06 million.</t>
        </is>
      </c>
      <c r="O64" s="44" t="inlineStr">
        <is>
          <t>Crosscut Ventures, Rincon Venture Partners</t>
        </is>
      </c>
      <c r="P64" s="45" t="inlineStr">
        <is>
          <t/>
        </is>
      </c>
      <c r="Q64" s="46" t="inlineStr">
        <is>
          <t>Application Software</t>
        </is>
      </c>
      <c r="R64" s="47" t="inlineStr">
        <is>
          <t>Developer of a messaging application for business purposes. The company offers a text messaging application which can be used by businesses for all sorts of business communications with their customers.</t>
        </is>
      </c>
      <c r="S64" s="48" t="inlineStr">
        <is>
          <t>Carlsbad, CA</t>
        </is>
      </c>
      <c r="T64" s="49" t="inlineStr">
        <is>
          <t>www.zingle.me</t>
        </is>
      </c>
      <c r="U64" s="132">
        <f>HYPERLINK("https://my.pitchbook.com?c=113070-43", "View company online")</f>
      </c>
    </row>
    <row r="65">
      <c r="A65" s="9" t="inlineStr">
        <is>
          <t>110125-63</t>
        </is>
      </c>
      <c r="B65" s="10" t="inlineStr">
        <is>
          <t>ZingBox</t>
        </is>
      </c>
      <c r="C65" s="11" t="inlineStr">
        <is>
          <t/>
        </is>
      </c>
      <c r="D65" s="12" t="n">
        <v>1.8786597321897271</v>
      </c>
      <c r="E65" s="13" t="n">
        <v>1.8143227973736449</v>
      </c>
      <c r="F65" s="14" t="n">
        <v>42736.0</v>
      </c>
      <c r="G65" s="15" t="inlineStr">
        <is>
          <t>Early Stage VC</t>
        </is>
      </c>
      <c r="H65" s="16" t="inlineStr">
        <is>
          <t/>
        </is>
      </c>
      <c r="I65" s="17" t="inlineStr">
        <is>
          <t/>
        </is>
      </c>
      <c r="J65" s="18" t="inlineStr">
        <is>
          <t/>
        </is>
      </c>
      <c r="K65" s="19" t="inlineStr">
        <is>
          <t>Completed</t>
        </is>
      </c>
      <c r="L65" s="20" t="inlineStr">
        <is>
          <t>Privately Held (backing)</t>
        </is>
      </c>
      <c r="M65" s="21" t="inlineStr">
        <is>
          <t>Venture Capital-Backed</t>
        </is>
      </c>
      <c r="N65" s="22" t="inlineStr">
        <is>
          <t>The company raised an undisclosed amount of venture funding from Envision Ventures in January 2017.</t>
        </is>
      </c>
      <c r="O65" s="23" t="inlineStr">
        <is>
          <t>Andrew Yan, Envision Ventures, Eric Chen, GSR Ventures, Individual Investor, Oriza Ventures, Social Starts, StartX, Tsingyuan Ventures, Westlake Ventures</t>
        </is>
      </c>
      <c r="P65" s="24" t="inlineStr">
        <is>
          <t/>
        </is>
      </c>
      <c r="Q65" s="25" t="inlineStr">
        <is>
          <t>Network Management Software</t>
        </is>
      </c>
      <c r="R65" s="26" t="inlineStr">
        <is>
          <t>Provider of an Internet of Things security platform designed to leverage device personality and enforce acceptable behavior. The company's security platform is a cloud-based database of Internet of Things device properties and behaviors which it uses to perform anomaly detection of the product category under which a given end-point falls, pinpoint its make and then repeat the process until the entire network is fully mapped out, enabling software agents to eliminate the cost and complexity and automatically identify and protect each device.</t>
        </is>
      </c>
      <c r="S65" s="27" t="inlineStr">
        <is>
          <t>Mountain View, CA</t>
        </is>
      </c>
      <c r="T65" s="28" t="inlineStr">
        <is>
          <t>www.zingbox.com</t>
        </is>
      </c>
      <c r="U65" s="131">
        <f>HYPERLINK("https://my.pitchbook.com?c=110125-63", "View company online")</f>
      </c>
    </row>
    <row r="66">
      <c r="A66" s="30" t="inlineStr">
        <is>
          <t>103560-22</t>
        </is>
      </c>
      <c r="B66" s="31" t="inlineStr">
        <is>
          <t>ZineOne</t>
        </is>
      </c>
      <c r="C66" s="32" t="inlineStr">
        <is>
          <t/>
        </is>
      </c>
      <c r="D66" s="33" t="n">
        <v>0.07573703613034866</v>
      </c>
      <c r="E66" s="34" t="n">
        <v>0.5155243226171745</v>
      </c>
      <c r="F66" s="35" t="n">
        <v>42217.0</v>
      </c>
      <c r="G66" s="36" t="inlineStr">
        <is>
          <t>Early Stage VC</t>
        </is>
      </c>
      <c r="H66" s="37" t="inlineStr">
        <is>
          <t/>
        </is>
      </c>
      <c r="I66" s="38" t="inlineStr">
        <is>
          <t/>
        </is>
      </c>
      <c r="J66" s="39" t="inlineStr">
        <is>
          <t/>
        </is>
      </c>
      <c r="K66" s="40" t="inlineStr">
        <is>
          <t>Completed</t>
        </is>
      </c>
      <c r="L66" s="41" t="inlineStr">
        <is>
          <t>Privately Held (backing)</t>
        </is>
      </c>
      <c r="M66" s="42" t="inlineStr">
        <is>
          <t>Venture Capital-Backed</t>
        </is>
      </c>
      <c r="N66" s="43" t="inlineStr">
        <is>
          <t>The company raised an undisclosed amount of venture funding from Rajnessh Bhandari and other investors in August 2015.</t>
        </is>
      </c>
      <c r="O66" s="44" t="inlineStr">
        <is>
          <t>Rajneesh Bhandari</t>
        </is>
      </c>
      <c r="P66" s="45" t="inlineStr">
        <is>
          <t/>
        </is>
      </c>
      <c r="Q66" s="46" t="inlineStr">
        <is>
          <t>Application Software</t>
        </is>
      </c>
      <c r="R66" s="47" t="inlineStr">
        <is>
          <t>Provider of cloud-based marketing technology. The company provides a real-time engagement platform for different verticals to match and correlate customer interaction patterns in real-time to initiate preferred actions based on machine learning.</t>
        </is>
      </c>
      <c r="S66" s="48" t="inlineStr">
        <is>
          <t>Milpitas, CA</t>
        </is>
      </c>
      <c r="T66" s="49" t="inlineStr">
        <is>
          <t>www.zineone.com</t>
        </is>
      </c>
      <c r="U66" s="132">
        <f>HYPERLINK("https://my.pitchbook.com?c=103560-22", "View company online")</f>
      </c>
    </row>
    <row r="67">
      <c r="A67" s="9" t="inlineStr">
        <is>
          <t>57224-17</t>
        </is>
      </c>
      <c r="B67" s="10" t="inlineStr">
        <is>
          <t>Zinc (Communications Technology)</t>
        </is>
      </c>
      <c r="C67" s="11" t="inlineStr">
        <is>
          <t/>
        </is>
      </c>
      <c r="D67" s="12" t="n">
        <v>7.5441795269893595</v>
      </c>
      <c r="E67" s="13" t="n">
        <v>8.355486400180578</v>
      </c>
      <c r="F67" s="14" t="n">
        <v>42842.0</v>
      </c>
      <c r="G67" s="15" t="inlineStr">
        <is>
          <t>Early Stage VC</t>
        </is>
      </c>
      <c r="H67" s="16" t="inlineStr">
        <is>
          <t>Series A2</t>
        </is>
      </c>
      <c r="I67" s="17" t="n">
        <v>11.0</v>
      </c>
      <c r="J67" s="18" t="n">
        <v>25.0</v>
      </c>
      <c r="K67" s="19" t="inlineStr">
        <is>
          <t>Completed</t>
        </is>
      </c>
      <c r="L67" s="20" t="inlineStr">
        <is>
          <t>Privately Held (backing)</t>
        </is>
      </c>
      <c r="M67" s="21" t="inlineStr">
        <is>
          <t>Venture Capital-Backed</t>
        </is>
      </c>
      <c r="N67" s="22" t="inlineStr">
        <is>
          <t>The company raised $11 million of Series A2 venture funding in a deal led by GE Ventures on April 17, 2017, putting the pre-money valuation at $14 million. Emergence Capital Partners, Charles River Ventures and Hearst Ventures also participated in the round. The company intends to use the funding to grow and continue to build essential technology.</t>
        </is>
      </c>
      <c r="O67" s="23" t="inlineStr">
        <is>
          <t>Charles River Ventures, Emergence Capital Partners, GE Ventures, Hearst Ventures</t>
        </is>
      </c>
      <c r="P67" s="24" t="inlineStr">
        <is>
          <t/>
        </is>
      </c>
      <c r="Q67" s="25" t="inlineStr">
        <is>
          <t>Communication Software</t>
        </is>
      </c>
      <c r="R67" s="26" t="inlineStr">
        <is>
          <t>Developer of a mobile communication platform created to facilitate real-time sharing of information. The company's communication platform combines secure messaging, broadcasts, voice, video, file and location sharing tools in an integrated suite, enabling businesses to disseminate information to their deskless workforce and obtain real-time visibility in the field.</t>
        </is>
      </c>
      <c r="S67" s="27" t="inlineStr">
        <is>
          <t>San Francisco, CA</t>
        </is>
      </c>
      <c r="T67" s="28" t="inlineStr">
        <is>
          <t>www.zinc.it</t>
        </is>
      </c>
      <c r="U67" s="131">
        <f>HYPERLINK("https://my.pitchbook.com?c=57224-17", "View company online")</f>
      </c>
    </row>
    <row r="68">
      <c r="A68" s="30" t="inlineStr">
        <is>
          <t>62117-74</t>
        </is>
      </c>
      <c r="B68" s="31" t="inlineStr">
        <is>
          <t>Zinc (Application Software)</t>
        </is>
      </c>
      <c r="C68" s="32" t="inlineStr">
        <is>
          <t/>
        </is>
      </c>
      <c r="D68" s="33" t="inlineStr">
        <is>
          <t/>
        </is>
      </c>
      <c r="E68" s="34" t="inlineStr">
        <is>
          <t/>
        </is>
      </c>
      <c r="F68" s="35" t="n">
        <v>42795.0</v>
      </c>
      <c r="G68" s="36" t="inlineStr">
        <is>
          <t>Early Stage VC</t>
        </is>
      </c>
      <c r="H68" s="37" t="inlineStr">
        <is>
          <t>Series A2</t>
        </is>
      </c>
      <c r="I68" s="38" t="n">
        <v>8.0</v>
      </c>
      <c r="J68" s="39" t="inlineStr">
        <is>
          <t/>
        </is>
      </c>
      <c r="K68" s="40" t="inlineStr">
        <is>
          <t>Completed</t>
        </is>
      </c>
      <c r="L68" s="41" t="inlineStr">
        <is>
          <t>Privately Held (backing)</t>
        </is>
      </c>
      <c r="M68" s="42" t="inlineStr">
        <is>
          <t>Venture Capital-Backed</t>
        </is>
      </c>
      <c r="N68" s="43" t="inlineStr">
        <is>
          <t>The company raised $8 million of series A2 venture funding from GE Ventures and other undisclosed investors in March, 2017.</t>
        </is>
      </c>
      <c r="O68" s="44" t="inlineStr">
        <is>
          <t>GE Ventures, Y Combinator</t>
        </is>
      </c>
      <c r="P68" s="45" t="inlineStr">
        <is>
          <t/>
        </is>
      </c>
      <c r="Q68" s="46" t="inlineStr">
        <is>
          <t>Application Software</t>
        </is>
      </c>
      <c r="R68" s="47" t="inlineStr">
        <is>
          <t>Developer of a browser plug-in created to find products at lowest prices on e-commerce sites. The company's browser plug-in automatically finds better price for the items in shopping carts and monitors price on a real-time basis, enabling online shoppers to save money at checkouts while shopping.</t>
        </is>
      </c>
      <c r="S68" s="48" t="inlineStr">
        <is>
          <t>Palo Alto, CA</t>
        </is>
      </c>
      <c r="T68" s="49" t="inlineStr">
        <is>
          <t>www.zincapi.com</t>
        </is>
      </c>
      <c r="U68" s="132">
        <f>HYPERLINK("https://my.pitchbook.com?c=62117-74", "View company online")</f>
      </c>
    </row>
    <row r="69">
      <c r="A69" s="9" t="inlineStr">
        <is>
          <t>55451-98</t>
        </is>
      </c>
      <c r="B69" s="10" t="inlineStr">
        <is>
          <t>Zimperium</t>
        </is>
      </c>
      <c r="C69" s="11" t="inlineStr">
        <is>
          <t/>
        </is>
      </c>
      <c r="D69" s="12" t="n">
        <v>0.4997108371361692</v>
      </c>
      <c r="E69" s="13" t="n">
        <v>30.31666690377081</v>
      </c>
      <c r="F69" s="14" t="n">
        <v>42726.0</v>
      </c>
      <c r="G69" s="15" t="inlineStr">
        <is>
          <t>Later Stage VC</t>
        </is>
      </c>
      <c r="H69" s="16" t="inlineStr">
        <is>
          <t>Series D</t>
        </is>
      </c>
      <c r="I69" s="17" t="n">
        <v>15.0</v>
      </c>
      <c r="J69" s="18" t="n">
        <v>125.0</v>
      </c>
      <c r="K69" s="19" t="inlineStr">
        <is>
          <t>Completed</t>
        </is>
      </c>
      <c r="L69" s="20" t="inlineStr">
        <is>
          <t>Privately Held (backing)</t>
        </is>
      </c>
      <c r="M69" s="21" t="inlineStr">
        <is>
          <t>Venture Capital-Backed</t>
        </is>
      </c>
      <c r="N69" s="22" t="inlineStr">
        <is>
          <t>The company raised $15 million of Series D venture funding from Softbank on December 22, 2016, putting the pre-money valuation at $110 million. Previously, the company raised $25 million of Series C venture funding in a deal led by Warburg Pincus on June 7, 2016, putting the company's pre-money valuation at $55.96 million.</t>
        </is>
      </c>
      <c r="O69" s="23" t="inlineStr">
        <is>
          <t>David Eun, Lazarus Israel Opportunities Fund, Olive Tree Ventures, Samsung Electronics, Sierra Ventures, SoftBank Group, Stephen Northcutt, Telstra Ventures, Toyo(Japan), Warburg Pincus</t>
        </is>
      </c>
      <c r="P69" s="24" t="inlineStr">
        <is>
          <t/>
        </is>
      </c>
      <c r="Q69" s="25" t="inlineStr">
        <is>
          <t>Other IT Services</t>
        </is>
      </c>
      <c r="R69" s="26" t="inlineStr">
        <is>
          <t>Developer of mobile security systems. The company develops mobile intrusion prevention system for smartphones and security console to monitor an organization's policy, which is implemented as a cloud service or as hardware based appliance.</t>
        </is>
      </c>
      <c r="S69" s="27" t="inlineStr">
        <is>
          <t>San Francisco, CA</t>
        </is>
      </c>
      <c r="T69" s="28" t="inlineStr">
        <is>
          <t>www.zimperium.com</t>
        </is>
      </c>
      <c r="U69" s="131">
        <f>HYPERLINK("https://my.pitchbook.com?c=55451-98", "View company online")</f>
      </c>
    </row>
    <row r="70">
      <c r="A70" s="30" t="inlineStr">
        <is>
          <t>54449-83</t>
        </is>
      </c>
      <c r="B70" s="31" t="inlineStr">
        <is>
          <t>ZiLift</t>
        </is>
      </c>
      <c r="C70" s="32" t="n">
        <v>1.34</v>
      </c>
      <c r="D70" s="33" t="n">
        <v>0.0</v>
      </c>
      <c r="E70" s="34" t="n">
        <v>0.9459459459459459</v>
      </c>
      <c r="F70" s="35" t="n">
        <v>41428.0</v>
      </c>
      <c r="G70" s="36" t="inlineStr">
        <is>
          <t>Early Stage VC</t>
        </is>
      </c>
      <c r="H70" s="37" t="inlineStr">
        <is>
          <t/>
        </is>
      </c>
      <c r="I70" s="38" t="inlineStr">
        <is>
          <t/>
        </is>
      </c>
      <c r="J70" s="39" t="inlineStr">
        <is>
          <t/>
        </is>
      </c>
      <c r="K70" s="40" t="inlineStr">
        <is>
          <t>Completed</t>
        </is>
      </c>
      <c r="L70" s="41" t="inlineStr">
        <is>
          <t>Privately Held (backing)</t>
        </is>
      </c>
      <c r="M70" s="42" t="inlineStr">
        <is>
          <t>Venture Capital-Backed</t>
        </is>
      </c>
      <c r="N70" s="43" t="inlineStr">
        <is>
          <t>The company raised EUR 3.5 million of venture funding from Saudi Aramco Energy Ventures on June 3, 2013.</t>
        </is>
      </c>
      <c r="O70" s="44" t="inlineStr">
        <is>
          <t>Chevron Technology Ventures, Energy Technology Ventures, Energy Ventures, GE Ventures, Investinor, Jebsen Asset Management, Saudi Aramco Energy Ventures, Viking Venture</t>
        </is>
      </c>
      <c r="P70" s="45" t="inlineStr">
        <is>
          <t/>
        </is>
      </c>
      <c r="Q70" s="46" t="inlineStr">
        <is>
          <t>Machinery (B2B)</t>
        </is>
      </c>
      <c r="R70" s="47" t="inlineStr">
        <is>
          <t>Developer of magnet technologies for innovative artificial lift applications. The company provides down hole pumps for the oil and gas production. Their artificial lift systems deliver high torque or hi-flow in the compact down hole drive train packages.</t>
        </is>
      </c>
      <c r="S70" s="48" t="inlineStr">
        <is>
          <t>Aberdeen, United Kingdom</t>
        </is>
      </c>
      <c r="T70" s="49" t="inlineStr">
        <is>
          <t>www.zilift.com</t>
        </is>
      </c>
      <c r="U70" s="132">
        <f>HYPERLINK("https://my.pitchbook.com?c=54449-83", "View company online")</f>
      </c>
    </row>
    <row r="71">
      <c r="A71" s="9" t="inlineStr">
        <is>
          <t>56573-47</t>
        </is>
      </c>
      <c r="B71" s="10" t="inlineStr">
        <is>
          <t>Zikon</t>
        </is>
      </c>
      <c r="C71" s="11" t="inlineStr">
        <is>
          <t/>
        </is>
      </c>
      <c r="D71" s="12" t="n">
        <v>0.0</v>
      </c>
      <c r="E71" s="13" t="n">
        <v>0.972972972972973</v>
      </c>
      <c r="F71" s="14" t="n">
        <v>41275.0</v>
      </c>
      <c r="G71" s="15" t="inlineStr">
        <is>
          <t>Grant</t>
        </is>
      </c>
      <c r="H71" s="16" t="inlineStr">
        <is>
          <t/>
        </is>
      </c>
      <c r="I71" s="17" t="n">
        <v>0.65</v>
      </c>
      <c r="J71" s="18" t="inlineStr">
        <is>
          <t/>
        </is>
      </c>
      <c r="K71" s="19" t="inlineStr">
        <is>
          <t>Completed</t>
        </is>
      </c>
      <c r="L71" s="20" t="inlineStr">
        <is>
          <t>Privately Held (backing)</t>
        </is>
      </c>
      <c r="M71" s="21" t="inlineStr">
        <is>
          <t>Venture Capital-Backed</t>
        </is>
      </c>
      <c r="N71" s="22" t="inlineStr">
        <is>
          <t>The company received $650,000 in grant funding from National Science Foundation in 2013.</t>
        </is>
      </c>
      <c r="O71" s="23" t="inlineStr">
        <is>
          <t>Ecosystem Ventures, National Science Foundation</t>
        </is>
      </c>
      <c r="P71" s="24" t="inlineStr">
        <is>
          <t/>
        </is>
      </c>
      <c r="Q71" s="25" t="inlineStr">
        <is>
          <t>Fiberoptic Equipment</t>
        </is>
      </c>
      <c r="R71" s="26" t="inlineStr">
        <is>
          <t>Developer of nanotechnology-based electronic ink for flat panel displays. The company enables flat displays for the consumer and commercial applications ranging from TVs, cell phones, lap-tops and electronic labels and toys.</t>
        </is>
      </c>
      <c r="S71" s="27" t="inlineStr">
        <is>
          <t>Sunnyvale, CA</t>
        </is>
      </c>
      <c r="T71" s="28" t="inlineStr">
        <is>
          <t>www.zikon.com</t>
        </is>
      </c>
      <c r="U71" s="131">
        <f>HYPERLINK("https://my.pitchbook.com?c=56573-47", "View company online")</f>
      </c>
    </row>
    <row r="72">
      <c r="A72" s="30" t="inlineStr">
        <is>
          <t>63720-10</t>
        </is>
      </c>
      <c r="B72" s="31" t="inlineStr">
        <is>
          <t>Zignal Labs</t>
        </is>
      </c>
      <c r="C72" s="32" t="inlineStr">
        <is>
          <t/>
        </is>
      </c>
      <c r="D72" s="33" t="n">
        <v>0.030896284522749826</v>
      </c>
      <c r="E72" s="34" t="n">
        <v>3.690691386196176</v>
      </c>
      <c r="F72" s="35" t="n">
        <v>42297.0</v>
      </c>
      <c r="G72" s="36" t="inlineStr">
        <is>
          <t>Early Stage VC</t>
        </is>
      </c>
      <c r="H72" s="37" t="inlineStr">
        <is>
          <t>Series B2</t>
        </is>
      </c>
      <c r="I72" s="38" t="n">
        <v>15.0</v>
      </c>
      <c r="J72" s="39" t="n">
        <v>89.65</v>
      </c>
      <c r="K72" s="40" t="inlineStr">
        <is>
          <t>Completed</t>
        </is>
      </c>
      <c r="L72" s="41" t="inlineStr">
        <is>
          <t>Privately Held (backing)</t>
        </is>
      </c>
      <c r="M72" s="42" t="inlineStr">
        <is>
          <t>Venture Capital-Backed</t>
        </is>
      </c>
      <c r="N72" s="43" t="inlineStr">
        <is>
          <t>The company raised $15 million of Series B2 venture funding from Andy Ballard, Mitchell Cohen and Jim Hornthal on October 20, 2015, putting the company's pre-money valuation at $74.65 million. Other undisclosed investors also participated in the round. The company will use the fund to continue to expand their sales, product and engineering operations. It also raised $10.7 million of venture funding from Mitchell Cohen, Jim Hornthal and Andy Ballard on October 23, 2014, putting the company's pre-money valuation at $39.83 million. Other undisclosed investors also participated in the round.</t>
        </is>
      </c>
      <c r="O72" s="44" t="inlineStr">
        <is>
          <t>Andy Ballard, Christopher M. Schroeder, James Hornthal, MENA Venture Investments, Mitchell Cohen</t>
        </is>
      </c>
      <c r="P72" s="45" t="inlineStr">
        <is>
          <t/>
        </is>
      </c>
      <c r="Q72" s="46" t="inlineStr">
        <is>
          <t>Database Software</t>
        </is>
      </c>
      <c r="R72" s="47" t="inlineStr">
        <is>
          <t>Provider of a real-time and cross media analytics platform designed to monitor the online media space. The company's real-time and cross media analytics platform help to aggregate data from different sources and synthesize social and traditional media into a powerful interactive dashboard, enabling customers to make informed decisions.</t>
        </is>
      </c>
      <c r="S72" s="48" t="inlineStr">
        <is>
          <t>San Francisco, CA</t>
        </is>
      </c>
      <c r="T72" s="49" t="inlineStr">
        <is>
          <t>www.zignallabs.com</t>
        </is>
      </c>
      <c r="U72" s="132">
        <f>HYPERLINK("https://my.pitchbook.com?c=63720-10", "View company online")</f>
      </c>
    </row>
    <row r="73">
      <c r="A73" s="9" t="inlineStr">
        <is>
          <t>56563-57</t>
        </is>
      </c>
      <c r="B73" s="10" t="inlineStr">
        <is>
          <t>ZigFu</t>
        </is>
      </c>
      <c r="C73" s="11" t="inlineStr">
        <is>
          <t/>
        </is>
      </c>
      <c r="D73" s="12" t="n">
        <v>0.0</v>
      </c>
      <c r="E73" s="13" t="n">
        <v>0.5336310887158344</v>
      </c>
      <c r="F73" s="14" t="inlineStr">
        <is>
          <t/>
        </is>
      </c>
      <c r="G73" s="15" t="inlineStr">
        <is>
          <t>Early Stage VC</t>
        </is>
      </c>
      <c r="H73" s="16" t="inlineStr">
        <is>
          <t/>
        </is>
      </c>
      <c r="I73" s="17" t="inlineStr">
        <is>
          <t/>
        </is>
      </c>
      <c r="J73" s="18" t="inlineStr">
        <is>
          <t/>
        </is>
      </c>
      <c r="K73" s="19" t="inlineStr">
        <is>
          <t>Completed</t>
        </is>
      </c>
      <c r="L73" s="20" t="inlineStr">
        <is>
          <t>Privately Held (backing)</t>
        </is>
      </c>
      <c r="M73" s="21" t="inlineStr">
        <is>
          <t>Venture Capital-Backed</t>
        </is>
      </c>
      <c r="N73" s="22" t="inlineStr">
        <is>
          <t>The company raised venture funding from Romulus Capital on an undisclosed date.</t>
        </is>
      </c>
      <c r="O73" s="23" t="inlineStr">
        <is>
          <t>Romulus Capital, Y Combinator</t>
        </is>
      </c>
      <c r="P73" s="24" t="inlineStr">
        <is>
          <t/>
        </is>
      </c>
      <c r="Q73" s="25" t="inlineStr">
        <is>
          <t>Software Development Applications</t>
        </is>
      </c>
      <c r="R73" s="26" t="inlineStr">
        <is>
          <t>Provider of tools to help developers create applications that are controlled by human gestures. The company creates software for interactive kiosks and conference displays, built out of standard user interface components and application-specific interaction types.</t>
        </is>
      </c>
      <c r="S73" s="27" t="inlineStr">
        <is>
          <t>San Francisco, CA</t>
        </is>
      </c>
      <c r="T73" s="28" t="inlineStr">
        <is>
          <t>www.zigfu.com</t>
        </is>
      </c>
      <c r="U73" s="131">
        <f>HYPERLINK("https://my.pitchbook.com?c=56563-57", "View company online")</f>
      </c>
    </row>
    <row r="74">
      <c r="A74" s="30" t="inlineStr">
        <is>
          <t>170256-70</t>
        </is>
      </c>
      <c r="B74" s="31" t="inlineStr">
        <is>
          <t>Ziero</t>
        </is>
      </c>
      <c r="C74" s="32" t="inlineStr">
        <is>
          <t/>
        </is>
      </c>
      <c r="D74" s="33" t="n">
        <v>0.0</v>
      </c>
      <c r="E74" s="34" t="n">
        <v>0.36421311299719555</v>
      </c>
      <c r="F74" s="35" t="n">
        <v>42005.0</v>
      </c>
      <c r="G74" s="36" t="inlineStr">
        <is>
          <t>Seed Round</t>
        </is>
      </c>
      <c r="H74" s="37" t="inlineStr">
        <is>
          <t>Seed</t>
        </is>
      </c>
      <c r="I74" s="38" t="n">
        <v>0.15</v>
      </c>
      <c r="J74" s="39" t="inlineStr">
        <is>
          <t/>
        </is>
      </c>
      <c r="K74" s="40" t="inlineStr">
        <is>
          <t>Completed</t>
        </is>
      </c>
      <c r="L74" s="41" t="inlineStr">
        <is>
          <t>Privately Held (backing)</t>
        </is>
      </c>
      <c r="M74" s="42" t="inlineStr">
        <is>
          <t>Venture Capital-Backed</t>
        </is>
      </c>
      <c r="N74" s="43" t="inlineStr">
        <is>
          <t>The company raised $150,000 of seed funding from Ferst Capital Partners, Mitch Salis and an undisclosed Fintech focused Micro VC in 2015.</t>
        </is>
      </c>
      <c r="O74" s="44" t="inlineStr">
        <is>
          <t>Ferst Capital Partners, Mitch Salis</t>
        </is>
      </c>
      <c r="P74" s="45" t="inlineStr">
        <is>
          <t/>
        </is>
      </c>
      <c r="Q74" s="46" t="inlineStr">
        <is>
          <t>Social/Platform Software</t>
        </is>
      </c>
      <c r="R74" s="47" t="inlineStr">
        <is>
          <t>Provider of a LaaS (Lending-as-a-Service) marketplace lending platform created to offer interest-free loans to consumers. The company's LaaS (Lending-as-a-Service) marketplace lending platform let employers offer zero-interest loans to employees typically ranges from $2,500 to $5,000 and allows employers to control loan eligibility,enabling a valuable financial perk for the modern workforce and to provide improved financial wellness and flexibility to employees through access to zero-interest small loans.</t>
        </is>
      </c>
      <c r="S74" s="48" t="inlineStr">
        <is>
          <t>San Francisco, CA</t>
        </is>
      </c>
      <c r="T74" s="49" t="inlineStr">
        <is>
          <t>www.zierofinance.com</t>
        </is>
      </c>
      <c r="U74" s="132">
        <f>HYPERLINK("https://my.pitchbook.com?c=170256-70", "View company online")</f>
      </c>
    </row>
    <row r="75">
      <c r="A75" s="9" t="inlineStr">
        <is>
          <t>42510-52</t>
        </is>
      </c>
      <c r="B75" s="10" t="inlineStr">
        <is>
          <t>Zhena's</t>
        </is>
      </c>
      <c r="C75" s="11" t="n">
        <v>3.53</v>
      </c>
      <c r="D75" s="12" t="n">
        <v>4.2293968492712555</v>
      </c>
      <c r="E75" s="13" t="n">
        <v>12.839173208369967</v>
      </c>
      <c r="F75" s="14" t="n">
        <v>41463.0</v>
      </c>
      <c r="G75" s="15" t="inlineStr">
        <is>
          <t>Later Stage VC</t>
        </is>
      </c>
      <c r="H75" s="16" t="inlineStr">
        <is>
          <t>Series C</t>
        </is>
      </c>
      <c r="I75" s="17" t="n">
        <v>0.5</v>
      </c>
      <c r="J75" s="18" t="n">
        <v>5.82</v>
      </c>
      <c r="K75" s="19" t="inlineStr">
        <is>
          <t>Completed</t>
        </is>
      </c>
      <c r="L75" s="20" t="inlineStr">
        <is>
          <t>Privately Held (backing)</t>
        </is>
      </c>
      <c r="M75" s="21" t="inlineStr">
        <is>
          <t>Venture Capital-Backed</t>
        </is>
      </c>
      <c r="N75" s="22" t="inlineStr">
        <is>
          <t>The company raised $500,000 of Series C venture funding from undisclosed investors on July 8, 2013, putting their pre-money valuation at $5.32 million. Raptor Group also participated.</t>
        </is>
      </c>
      <c r="O75" s="23" t="inlineStr">
        <is>
          <t>Raptor Group, Westland Ventures</t>
        </is>
      </c>
      <c r="P75" s="24" t="inlineStr">
        <is>
          <t/>
        </is>
      </c>
      <c r="Q75" s="25" t="inlineStr">
        <is>
          <t>Food Products</t>
        </is>
      </c>
      <c r="R75" s="26" t="inlineStr">
        <is>
          <t>Operator of a premium tea company. The company sells only fair trade organic products including teas and herbal infusions.</t>
        </is>
      </c>
      <c r="S75" s="27" t="inlineStr">
        <is>
          <t>Bell, CA</t>
        </is>
      </c>
      <c r="T75" s="28" t="inlineStr">
        <is>
          <t>www.zhenas.com</t>
        </is>
      </c>
      <c r="U75" s="131">
        <f>HYPERLINK("https://my.pitchbook.com?c=42510-52", "View company online")</f>
      </c>
    </row>
    <row r="76">
      <c r="A76" s="30" t="inlineStr">
        <is>
          <t>57781-63</t>
        </is>
      </c>
      <c r="B76" s="31" t="inlineStr">
        <is>
          <t>Zeuss</t>
        </is>
      </c>
      <c r="C76" s="32" t="inlineStr">
        <is>
          <t/>
        </is>
      </c>
      <c r="D76" s="33" t="n">
        <v>0.0</v>
      </c>
      <c r="E76" s="34" t="n">
        <v>0.16216216216216217</v>
      </c>
      <c r="F76" s="35" t="n">
        <v>41505.0</v>
      </c>
      <c r="G76" s="36" t="inlineStr">
        <is>
          <t>Seed Round</t>
        </is>
      </c>
      <c r="H76" s="37" t="inlineStr">
        <is>
          <t>Seed</t>
        </is>
      </c>
      <c r="I76" s="38" t="n">
        <v>0.7</v>
      </c>
      <c r="J76" s="39" t="inlineStr">
        <is>
          <t/>
        </is>
      </c>
      <c r="K76" s="40" t="inlineStr">
        <is>
          <t>Completed</t>
        </is>
      </c>
      <c r="L76" s="41" t="inlineStr">
        <is>
          <t>Privately Held (backing)</t>
        </is>
      </c>
      <c r="M76" s="42" t="inlineStr">
        <is>
          <t>Venture Capital-Backed</t>
        </is>
      </c>
      <c r="N76" s="43" t="inlineStr">
        <is>
          <t>The company raised $700,000 of seed funding from Maryland Technology Fund, TEDCO and Angel Investors on August 19, 2013.</t>
        </is>
      </c>
      <c r="O76" s="44" t="inlineStr">
        <is>
          <t>Forté Ventures, In-Q-Tel, Maryland Technology Development, Maryland Venture Fund</t>
        </is>
      </c>
      <c r="P76" s="45" t="inlineStr">
        <is>
          <t/>
        </is>
      </c>
      <c r="Q76" s="46" t="inlineStr">
        <is>
          <t>Other Software</t>
        </is>
      </c>
      <c r="R76" s="47" t="inlineStr">
        <is>
          <t>Operator of an enterprise software company. The company utilizes semantic and natural language processing technology to recover, analyze and deliver electronic messages from current and former employees.</t>
        </is>
      </c>
      <c r="S76" s="48" t="inlineStr">
        <is>
          <t>San Francisco, CA</t>
        </is>
      </c>
      <c r="T76" s="49" t="inlineStr">
        <is>
          <t>www.zeuss.com</t>
        </is>
      </c>
      <c r="U76" s="132">
        <f>HYPERLINK("https://my.pitchbook.com?c=57781-63", "View company online")</f>
      </c>
    </row>
    <row r="77">
      <c r="A77" s="9" t="inlineStr">
        <is>
          <t>148186-27</t>
        </is>
      </c>
      <c r="B77" s="10" t="inlineStr">
        <is>
          <t>Zeus Living</t>
        </is>
      </c>
      <c r="C77" s="11" t="inlineStr">
        <is>
          <t/>
        </is>
      </c>
      <c r="D77" s="12" t="n">
        <v>0.0</v>
      </c>
      <c r="E77" s="13" t="n">
        <v>0.30138189036494123</v>
      </c>
      <c r="F77" s="14" t="n">
        <v>42545.0</v>
      </c>
      <c r="G77" s="15" t="inlineStr">
        <is>
          <t>Seed Round</t>
        </is>
      </c>
      <c r="H77" s="16" t="inlineStr">
        <is>
          <t>Seed</t>
        </is>
      </c>
      <c r="I77" s="17" t="n">
        <v>3.9</v>
      </c>
      <c r="J77" s="18" t="n">
        <v>8.6</v>
      </c>
      <c r="K77" s="19" t="inlineStr">
        <is>
          <t>Completed</t>
        </is>
      </c>
      <c r="L77" s="20" t="inlineStr">
        <is>
          <t>Privately Held (backing)</t>
        </is>
      </c>
      <c r="M77" s="21" t="inlineStr">
        <is>
          <t>Venture Capital-Backed</t>
        </is>
      </c>
      <c r="N77" s="22" t="inlineStr">
        <is>
          <t>The company raised an estimated $3.9 million of seed funding from Initialized Capital and Bowery Capital on June 24, 2016, putting the pre-money valuation at $4.7 million. Floodgate Fund. GV, Bee Partners, Tikhon Bernstam, Paul Buchheit and Naval Ravikant also participated in the round.</t>
        </is>
      </c>
      <c r="O77" s="23" t="inlineStr">
        <is>
          <t>Bee Partners, Bowery Capital, Floodgate Fund, GV, Initialized Capital, MetaProp NYC, Naval Ravikant, NFX Guild, Paul Buchheit, Tikhon Bernstam, Y Combinator</t>
        </is>
      </c>
      <c r="P77" s="24" t="inlineStr">
        <is>
          <t/>
        </is>
      </c>
      <c r="Q77" s="25" t="inlineStr">
        <is>
          <t>Building Products</t>
        </is>
      </c>
      <c r="R77" s="26" t="inlineStr">
        <is>
          <t>Developer of a property management platform designed to rent furnished housing estates. The company's property management platform with state of art technology enables startups, students and companies to focus on their growing portfolios while earning more money from existing properties without any hassle.</t>
        </is>
      </c>
      <c r="S77" s="27" t="inlineStr">
        <is>
          <t>San Francisco, CA</t>
        </is>
      </c>
      <c r="T77" s="28" t="inlineStr">
        <is>
          <t>www.zeusliving.com</t>
        </is>
      </c>
      <c r="U77" s="131">
        <f>HYPERLINK("https://my.pitchbook.com?c=148186-27", "View company online")</f>
      </c>
    </row>
    <row r="78">
      <c r="A78" s="30" t="inlineStr">
        <is>
          <t>52367-32</t>
        </is>
      </c>
      <c r="B78" s="31" t="inlineStr">
        <is>
          <t>Zettaset</t>
        </is>
      </c>
      <c r="C78" s="32" t="inlineStr">
        <is>
          <t/>
        </is>
      </c>
      <c r="D78" s="33" t="n">
        <v>1.2084216170724305</v>
      </c>
      <c r="E78" s="34" t="n">
        <v>4.093121679949241</v>
      </c>
      <c r="F78" s="35" t="n">
        <v>41290.0</v>
      </c>
      <c r="G78" s="36" t="inlineStr">
        <is>
          <t>Early Stage VC</t>
        </is>
      </c>
      <c r="H78" s="37" t="inlineStr">
        <is>
          <t>Series B</t>
        </is>
      </c>
      <c r="I78" s="38" t="n">
        <v>10.0</v>
      </c>
      <c r="J78" s="39" t="n">
        <v>50.23</v>
      </c>
      <c r="K78" s="40" t="inlineStr">
        <is>
          <t>Completed</t>
        </is>
      </c>
      <c r="L78" s="41" t="inlineStr">
        <is>
          <t>Privately Held (backing)</t>
        </is>
      </c>
      <c r="M78" s="42" t="inlineStr">
        <is>
          <t>Venture Capital-Backed</t>
        </is>
      </c>
      <c r="N78" s="43" t="inlineStr">
        <is>
          <t>The company raised $10 million of Series B venture funding from HighBar Partners, Brocade Communications and Epic Ventures on January 16, 2013, putting the pre-money valuation at $40.23 million. Draper Fisher Jurvetson also participated. The funding was raised in tranches. The round consisted of 984,879 shares of Series B stock at $0.53825 per share and 6,217,800 shares of Series B1 stock at $1.523029 per share.</t>
        </is>
      </c>
      <c r="O78" s="44" t="inlineStr">
        <is>
          <t>Brocade Communications Systems, Draper Fisher Jurvetson, EPIC Ventures, HighBar Partners</t>
        </is>
      </c>
      <c r="P78" s="45" t="inlineStr">
        <is>
          <t/>
        </is>
      </c>
      <c r="Q78" s="46" t="inlineStr">
        <is>
          <t>Network Management Software</t>
        </is>
      </c>
      <c r="R78" s="47" t="inlineStr">
        <is>
          <t>Provider of an enterprise-class data protection platform. The company's platform provides Big Data Security, Encryption, Access-Control and Authentication services to detect unauthorized data modification and protect the integrity of encrypted data.</t>
        </is>
      </c>
      <c r="S78" s="48" t="inlineStr">
        <is>
          <t>Mountain View, CA</t>
        </is>
      </c>
      <c r="T78" s="49" t="inlineStr">
        <is>
          <t>www.zettaset.com</t>
        </is>
      </c>
      <c r="U78" s="132">
        <f>HYPERLINK("https://my.pitchbook.com?c=52367-32", "View company online")</f>
      </c>
    </row>
    <row r="79">
      <c r="A79" s="9" t="inlineStr">
        <is>
          <t>51252-67</t>
        </is>
      </c>
      <c r="B79" s="10" t="inlineStr">
        <is>
          <t>Zetta</t>
        </is>
      </c>
      <c r="C79" s="11" t="n">
        <v>8.5</v>
      </c>
      <c r="D79" s="12" t="n">
        <v>0.025497771702973127</v>
      </c>
      <c r="E79" s="13" t="n">
        <v>9.183538926335537</v>
      </c>
      <c r="F79" s="14" t="inlineStr">
        <is>
          <t/>
        </is>
      </c>
      <c r="G79" s="15" t="inlineStr">
        <is>
          <t>Accelerator/Incubator</t>
        </is>
      </c>
      <c r="H79" s="16" t="inlineStr">
        <is>
          <t/>
        </is>
      </c>
      <c r="I79" s="17" t="inlineStr">
        <is>
          <t/>
        </is>
      </c>
      <c r="J79" s="18" t="inlineStr">
        <is>
          <t/>
        </is>
      </c>
      <c r="K79" s="19" t="inlineStr">
        <is>
          <t>Completed</t>
        </is>
      </c>
      <c r="L79" s="20" t="inlineStr">
        <is>
          <t>Privately Held (backing)</t>
        </is>
      </c>
      <c r="M79" s="21" t="inlineStr">
        <is>
          <t>Venture Capital-Backed</t>
        </is>
      </c>
      <c r="N79" s="22" t="inlineStr">
        <is>
          <t>The company joined Plug and Play on an undisclosed date.</t>
        </is>
      </c>
      <c r="O79" s="23" t="inlineStr">
        <is>
          <t>Amidzad Partners, Bobby Yazdani, Foundation Capital, Industry Ventures, Jackson Square Ventures, Pejman Nozad, Plug and Play Tech Center, Sigma Partners, Signatures Capital</t>
        </is>
      </c>
      <c r="P79" s="24" t="inlineStr">
        <is>
          <t/>
        </is>
      </c>
      <c r="Q79" s="25" t="inlineStr">
        <is>
          <t>Database Software</t>
        </is>
      </c>
      <c r="R79" s="26" t="inlineStr">
        <is>
          <t>Provider of enterprise cloud storage solutions for enterprise information technology (IT) professionals. The company is compatible with existing on-premise storage systems and integrates with existing IT workflows. It delivers data availability, integrity, and security protections. Zetta's enterprise-class architecture guarantees availability and integrity even in the event of multiple complete node failure from any cause, whether network, power supply, memory, or disk failure. Enterprise customers include a variety of industries such as legal services, education, business services, financial services, media and entertainment, as well as software and technology.</t>
        </is>
      </c>
      <c r="S79" s="27" t="inlineStr">
        <is>
          <t>Sunnyvale, CA</t>
        </is>
      </c>
      <c r="T79" s="28" t="inlineStr">
        <is>
          <t>www.zetta.net</t>
        </is>
      </c>
      <c r="U79" s="131">
        <f>HYPERLINK("https://my.pitchbook.com?c=51252-67", "View company online")</f>
      </c>
    </row>
    <row r="80">
      <c r="A80" s="30" t="inlineStr">
        <is>
          <t>13111-84</t>
        </is>
      </c>
      <c r="B80" s="31" t="inlineStr">
        <is>
          <t>Zetera</t>
        </is>
      </c>
      <c r="C80" s="32" t="inlineStr">
        <is>
          <t/>
        </is>
      </c>
      <c r="D80" s="33" t="n">
        <v>0.0</v>
      </c>
      <c r="E80" s="34" t="n">
        <v>2.108108108108108</v>
      </c>
      <c r="F80" s="35" t="n">
        <v>38801.0</v>
      </c>
      <c r="G80" s="36" t="inlineStr">
        <is>
          <t>Early Stage VC</t>
        </is>
      </c>
      <c r="H80" s="37" t="inlineStr">
        <is>
          <t>Series A</t>
        </is>
      </c>
      <c r="I80" s="38" t="n">
        <v>7.0</v>
      </c>
      <c r="J80" s="39" t="n">
        <v>92.1</v>
      </c>
      <c r="K80" s="40" t="inlineStr">
        <is>
          <t>Completed</t>
        </is>
      </c>
      <c r="L80" s="41" t="inlineStr">
        <is>
          <t>Privately Held (backing)</t>
        </is>
      </c>
      <c r="M80" s="42" t="inlineStr">
        <is>
          <t>Venture Capital-Backed</t>
        </is>
      </c>
      <c r="N80" s="43" t="inlineStr">
        <is>
          <t>The company raised $7 million of Series A venture funding from Warburg Pincus, WI Harper Group and other undisclosed investors on March 25, 2006, putting the pre-money valuation at $85.1 million.</t>
        </is>
      </c>
      <c r="O80" s="44" t="inlineStr">
        <is>
          <t>Exavest Ventures, Mehta-Z Investments, Warburg Pincus, WI Harper Group</t>
        </is>
      </c>
      <c r="P80" s="45" t="inlineStr">
        <is>
          <t/>
        </is>
      </c>
      <c r="Q80" s="46" t="inlineStr">
        <is>
          <t>Storage (IT)</t>
        </is>
      </c>
      <c r="R80" s="47" t="inlineStr">
        <is>
          <t>Developer of network storage technology products. The company focuses on providing storage-over-internet protocol services through its Z-SAN technology offering backup and archive, shared storage, surveillance and security, medical imaging and docmemt management.</t>
        </is>
      </c>
      <c r="S80" s="48" t="inlineStr">
        <is>
          <t>Irvine, CA</t>
        </is>
      </c>
      <c r="T80" s="49" t="inlineStr">
        <is>
          <t>www.zetera.com</t>
        </is>
      </c>
      <c r="U80" s="132">
        <f>HYPERLINK("https://my.pitchbook.com?c=13111-84", "View company online")</f>
      </c>
    </row>
    <row r="81">
      <c r="A81" s="9" t="inlineStr">
        <is>
          <t>178328-98</t>
        </is>
      </c>
      <c r="B81" s="10" t="inlineStr">
        <is>
          <t>ZETA Pellet</t>
        </is>
      </c>
      <c r="C81" s="11" t="n">
        <v>2.05</v>
      </c>
      <c r="D81" s="12" t="n">
        <v>0.0</v>
      </c>
      <c r="E81" s="13" t="n">
        <v>1.054054054054054</v>
      </c>
      <c r="F81" s="14" t="n">
        <v>41601.0</v>
      </c>
      <c r="G81" s="15" t="inlineStr">
        <is>
          <t>Early Stage VC</t>
        </is>
      </c>
      <c r="H81" s="16" t="inlineStr">
        <is>
          <t/>
        </is>
      </c>
      <c r="I81" s="17" t="n">
        <v>1.35</v>
      </c>
      <c r="J81" s="18" t="inlineStr">
        <is>
          <t/>
        </is>
      </c>
      <c r="K81" s="19" t="inlineStr">
        <is>
          <t>Completed</t>
        </is>
      </c>
      <c r="L81" s="20" t="inlineStr">
        <is>
          <t>Privately Held (backing)</t>
        </is>
      </c>
      <c r="M81" s="21" t="inlineStr">
        <is>
          <t>Venture Capital-Backed</t>
        </is>
      </c>
      <c r="N81" s="22" t="inlineStr">
        <is>
          <t>The company raised EUR 1 million of venture funding from Starquest Capital on December 23, 2013. The company will use the funing to accelerate the development of its green waste treatment facilities and continue to recruit.</t>
        </is>
      </c>
      <c r="O81" s="23" t="inlineStr">
        <is>
          <t>Bpifrance, Starquest Capital</t>
        </is>
      </c>
      <c r="P81" s="24" t="inlineStr">
        <is>
          <t/>
        </is>
      </c>
      <c r="Q81" s="25" t="inlineStr">
        <is>
          <t>Energy Production</t>
        </is>
      </c>
      <c r="R81" s="26" t="inlineStr">
        <is>
          <t>Provider of an ecological technology platform intended to transform green vegetal waste into pellets that can be burnt efficiently in boilers, replacing traditional fossil resources. The company's waste management technology platform aims to produce a green and clean source of energy where negligible waste material remains after the pellets are burnt enabling users with a raw material without any ecological side-effects and where rudimentary vegetal waste becomes a fuel.</t>
        </is>
      </c>
      <c r="S81" s="27" t="inlineStr">
        <is>
          <t>Antibes, France</t>
        </is>
      </c>
      <c r="T81" s="28" t="inlineStr">
        <is>
          <t>www.zetapellet.com</t>
        </is>
      </c>
      <c r="U81" s="131">
        <f>HYPERLINK("https://my.pitchbook.com?c=178328-98", "View company online")</f>
      </c>
    </row>
    <row r="82">
      <c r="A82" s="30" t="inlineStr">
        <is>
          <t>147086-56</t>
        </is>
      </c>
      <c r="B82" s="31" t="inlineStr">
        <is>
          <t>Zeta Instruments</t>
        </is>
      </c>
      <c r="C82" s="32" t="inlineStr">
        <is>
          <t/>
        </is>
      </c>
      <c r="D82" s="33" t="n">
        <v>-6.928121062590045</v>
      </c>
      <c r="E82" s="34" t="n">
        <v>2.8378378378378377</v>
      </c>
      <c r="F82" s="35" t="n">
        <v>42552.0</v>
      </c>
      <c r="G82" s="36" t="inlineStr">
        <is>
          <t>Later Stage VC</t>
        </is>
      </c>
      <c r="H82" s="37" t="inlineStr">
        <is>
          <t>Series D</t>
        </is>
      </c>
      <c r="I82" s="38" t="inlineStr">
        <is>
          <t/>
        </is>
      </c>
      <c r="J82" s="39" t="inlineStr">
        <is>
          <t/>
        </is>
      </c>
      <c r="K82" s="40" t="inlineStr">
        <is>
          <t>Completed</t>
        </is>
      </c>
      <c r="L82" s="41" t="inlineStr">
        <is>
          <t>Privately Held (backing)</t>
        </is>
      </c>
      <c r="M82" s="42" t="inlineStr">
        <is>
          <t>Venture Capital-Backed</t>
        </is>
      </c>
      <c r="N82" s="43" t="inlineStr">
        <is>
          <t>The company raised Series D venture funding from undisclosed investors on July 1, 2016.</t>
        </is>
      </c>
      <c r="O82" s="44" t="inlineStr">
        <is>
          <t/>
        </is>
      </c>
      <c r="P82" s="45" t="inlineStr">
        <is>
          <t/>
        </is>
      </c>
      <c r="Q82" s="46" t="inlineStr">
        <is>
          <t>Machinery (B2B)</t>
        </is>
      </c>
      <c r="R82" s="47" t="inlineStr">
        <is>
          <t>Manufacturer of inspection and metrology technology products. The company manufactures non-contact profilers, advanced glass and semiconductor packaging and defect inspection systems.</t>
        </is>
      </c>
      <c r="S82" s="48" t="inlineStr">
        <is>
          <t>San Jose, CA</t>
        </is>
      </c>
      <c r="T82" s="49" t="inlineStr">
        <is>
          <t>zeta-inst.com</t>
        </is>
      </c>
      <c r="U82" s="132">
        <f>HYPERLINK("https://my.pitchbook.com?c=147086-56", "View company online")</f>
      </c>
    </row>
    <row r="83">
      <c r="A83" s="9" t="inlineStr">
        <is>
          <t>44793-19</t>
        </is>
      </c>
      <c r="B83" s="10" t="inlineStr">
        <is>
          <t>Zeta Communities</t>
        </is>
      </c>
      <c r="C83" s="11" t="inlineStr">
        <is>
          <t/>
        </is>
      </c>
      <c r="D83" s="12" t="n">
        <v>-0.0023124332553298285</v>
      </c>
      <c r="E83" s="13" t="n">
        <v>1.7350176263219743</v>
      </c>
      <c r="F83" s="14" t="n">
        <v>40878.0</v>
      </c>
      <c r="G83" s="15" t="inlineStr">
        <is>
          <t>Later Stage VC</t>
        </is>
      </c>
      <c r="H83" s="16" t="inlineStr">
        <is>
          <t>Series B</t>
        </is>
      </c>
      <c r="I83" s="17" t="n">
        <v>5.0</v>
      </c>
      <c r="J83" s="18" t="n">
        <v>14.5</v>
      </c>
      <c r="K83" s="19" t="inlineStr">
        <is>
          <t>Completed</t>
        </is>
      </c>
      <c r="L83" s="20" t="inlineStr">
        <is>
          <t>Privately Held (backing)</t>
        </is>
      </c>
      <c r="M83" s="21" t="inlineStr">
        <is>
          <t>Venture Capital-Backed</t>
        </is>
      </c>
      <c r="N83" s="22" t="inlineStr">
        <is>
          <t>The company raised $5 million of Series B venture funding from undisclosed investors in December 2011.</t>
        </is>
      </c>
      <c r="O83" s="23" t="inlineStr">
        <is>
          <t>Black Coral Capital, North Bridge Venture Partners</t>
        </is>
      </c>
      <c r="P83" s="24" t="inlineStr">
        <is>
          <t/>
        </is>
      </c>
      <c r="Q83" s="25" t="inlineStr">
        <is>
          <t>Buildings and Property</t>
        </is>
      </c>
      <c r="R83" s="26" t="inlineStr">
        <is>
          <t>Producer of housing and property structures for communities. The company engages in designing and building residential, commercial and official structures and properties.</t>
        </is>
      </c>
      <c r="S83" s="27" t="inlineStr">
        <is>
          <t>San Francisco, CA</t>
        </is>
      </c>
      <c r="T83" s="28" t="inlineStr">
        <is>
          <t>www.zetacommunities.com</t>
        </is>
      </c>
      <c r="U83" s="131">
        <f>HYPERLINK("https://my.pitchbook.com?c=44793-19", "View company online")</f>
      </c>
    </row>
    <row r="84">
      <c r="A84" s="30" t="inlineStr">
        <is>
          <t>57702-70</t>
        </is>
      </c>
      <c r="B84" s="31" t="inlineStr">
        <is>
          <t>Zesty</t>
        </is>
      </c>
      <c r="C84" s="32" t="inlineStr">
        <is>
          <t/>
        </is>
      </c>
      <c r="D84" s="33" t="n">
        <v>2.761076787557476</v>
      </c>
      <c r="E84" s="34" t="n">
        <v>6.069546865530653</v>
      </c>
      <c r="F84" s="35" t="n">
        <v>42195.0</v>
      </c>
      <c r="G84" s="36" t="inlineStr">
        <is>
          <t>Early Stage VC</t>
        </is>
      </c>
      <c r="H84" s="37" t="inlineStr">
        <is>
          <t>Series A</t>
        </is>
      </c>
      <c r="I84" s="38" t="n">
        <v>20.7</v>
      </c>
      <c r="J84" s="39" t="inlineStr">
        <is>
          <t/>
        </is>
      </c>
      <c r="K84" s="40" t="inlineStr">
        <is>
          <t>Completed</t>
        </is>
      </c>
      <c r="L84" s="41" t="inlineStr">
        <is>
          <t>Privately Held (backing)</t>
        </is>
      </c>
      <c r="M84" s="42" t="inlineStr">
        <is>
          <t>Venture Capital-Backed</t>
        </is>
      </c>
      <c r="N84" s="43" t="inlineStr">
        <is>
          <t>The company raised $20.7 million of Series A venture funding from Forerunner Ventures, Founders Fund and Index Ventures on July 10, 2015. Y Combinator, SV Angel, FundersClub, Great Oaks Venture, Structure Partners, The International Conclave of Entrepreneurs, XG Ventures, Klaus von Sayn-Wittgenstein, FJ Labs and 25 individual investors also participated in the round</t>
        </is>
      </c>
      <c r="O84" s="44" t="inlineStr">
        <is>
          <t>500 Startups, Andrew Bredon, Andrew McCollum, Arin Maercks, Christina Brodbeck, Chrys Bader, Darius Contractor, David Nemetz, Dilan Jayawardane, Fabrice Grinda, FJ Labs, Forerunner Ventures, Founders Fund, FundersClub, Great Oaks Venture Capital, Index Ventures (UK), Jared Friedman, Jeremy Yap, Jermaine O'Neal, Jonathan Swanson, Joshua Reeves, Jugoslav Petkovic, Kevin Mahaffey, Klaus von Sayn-Wittgenstein, Mark Scianna, Owen Van Natta, Passion Capital, Paul Buchheit, Sanford Dickert, Structure Fund, Sumon Sadhu, SV Angel, The International Conclave of Entrepreneurs, Walking Ventures, XG Ventures, Y Combinator, Zachary Auger, Zak Holdsworth</t>
        </is>
      </c>
      <c r="P84" s="45" t="inlineStr">
        <is>
          <t/>
        </is>
      </c>
      <c r="Q84" s="46" t="inlineStr">
        <is>
          <t>Application Software</t>
        </is>
      </c>
      <c r="R84" s="47" t="inlineStr">
        <is>
          <t>Provider of an on-demand food ordering application. The company is the creator of a mobile-based application for ordering and purchasing entrees from a curated list of local restaurants, prepared as per demand and delivered via the restaurant's own takeaway service.</t>
        </is>
      </c>
      <c r="S84" s="48" t="inlineStr">
        <is>
          <t>San Francisco, CA</t>
        </is>
      </c>
      <c r="T84" s="49" t="inlineStr">
        <is>
          <t>www.zesty.com</t>
        </is>
      </c>
      <c r="U84" s="132">
        <f>HYPERLINK("https://my.pitchbook.com?c=57702-70", "View company online")</f>
      </c>
    </row>
    <row r="85">
      <c r="A85" s="9" t="inlineStr">
        <is>
          <t>52516-63</t>
        </is>
      </c>
      <c r="B85" s="10" t="inlineStr">
        <is>
          <t>ZestFinance</t>
        </is>
      </c>
      <c r="C85" s="11" t="n">
        <v>73.01</v>
      </c>
      <c r="D85" s="12" t="n">
        <v>-0.24894761756286293</v>
      </c>
      <c r="E85" s="13" t="n">
        <v>7.635029102162485</v>
      </c>
      <c r="F85" s="14" t="n">
        <v>42569.0</v>
      </c>
      <c r="G85" s="15" t="inlineStr">
        <is>
          <t>Corporate</t>
        </is>
      </c>
      <c r="H85" s="16" t="inlineStr">
        <is>
          <t>Series D</t>
        </is>
      </c>
      <c r="I85" s="17" t="n">
        <v>30.0</v>
      </c>
      <c r="J85" s="18" t="n">
        <v>252.0</v>
      </c>
      <c r="K85" s="19" t="inlineStr">
        <is>
          <t>Completed</t>
        </is>
      </c>
      <c r="L85" s="20" t="inlineStr">
        <is>
          <t>Privately Held (backing)</t>
        </is>
      </c>
      <c r="M85" s="21" t="inlineStr">
        <is>
          <t>Venture Capital-Backed</t>
        </is>
      </c>
      <c r="N85" s="22" t="inlineStr">
        <is>
          <t>The company raised an estimated $30 million of Series D funding from Baidu (NASDAQ: BIDU) on July 18, 2016, putting the pre-money valuation at $222 million. As a part of this deal, Baidu will use ZestFinance's technology to develop a credit scoring platform that is based on its search data, to expand into the Chinese credit market and to improve credit scoring decisions in China. Previously, the company received $150 million of debt financing from Fortress Investment Group on October 6, 2015.</t>
        </is>
      </c>
      <c r="O85" s="23" t="inlineStr">
        <is>
          <t>Baidu, Christopher Webb, Clarium Capital Management, Eastward Capital Partners, Flybridge Capital Partners, Fortress Investment Group, Gil Elbaz, JD.com, Kensington Capital Holdings, Lighthouse Capital Partners, Lightspeed Venture Partners, Matrix Partners, Northgate Capital, Oakhouse Partners, Peter Thiel, TenOneTen Ventures, Thiel Capital, Upfront Ventures, Victory Park Capital</t>
        </is>
      </c>
      <c r="P85" s="24" t="inlineStr">
        <is>
          <t/>
        </is>
      </c>
      <c r="Q85" s="25" t="inlineStr">
        <is>
          <t>Financial Software</t>
        </is>
      </c>
      <c r="R85" s="26" t="inlineStr">
        <is>
          <t>Provider of financial services that use machine learning and large-scale big data analysis for assessing credit risk. The company offers credit underwriting services that utilize big data analytics to help lenders make more accurate credit underwriting decisions. The company uses its technology to provide consumer loans.</t>
        </is>
      </c>
      <c r="S85" s="27" t="inlineStr">
        <is>
          <t>Los Angeles, CA</t>
        </is>
      </c>
      <c r="T85" s="28" t="inlineStr">
        <is>
          <t>www.zestfinance.com</t>
        </is>
      </c>
      <c r="U85" s="131">
        <f>HYPERLINK("https://my.pitchbook.com?c=52516-63", "View company online")</f>
      </c>
    </row>
    <row r="86">
      <c r="A86" s="30" t="inlineStr">
        <is>
          <t>56239-39</t>
        </is>
      </c>
      <c r="B86" s="31" t="inlineStr">
        <is>
          <t>Zerply</t>
        </is>
      </c>
      <c r="C86" s="32" t="inlineStr">
        <is>
          <t/>
        </is>
      </c>
      <c r="D86" s="33" t="n">
        <v>-0.1803998084596659</v>
      </c>
      <c r="E86" s="34" t="n">
        <v>10.78839045646341</v>
      </c>
      <c r="F86" s="35" t="n">
        <v>42217.0</v>
      </c>
      <c r="G86" s="36" t="inlineStr">
        <is>
          <t>Seed Round</t>
        </is>
      </c>
      <c r="H86" s="37" t="inlineStr">
        <is>
          <t>Seed</t>
        </is>
      </c>
      <c r="I86" s="38" t="inlineStr">
        <is>
          <t/>
        </is>
      </c>
      <c r="J86" s="39" t="inlineStr">
        <is>
          <t/>
        </is>
      </c>
      <c r="K86" s="40" t="inlineStr">
        <is>
          <t>Completed</t>
        </is>
      </c>
      <c r="L86" s="41" t="inlineStr">
        <is>
          <t>Privately Held (backing)</t>
        </is>
      </c>
      <c r="M86" s="42" t="inlineStr">
        <is>
          <t>Venture Capital-Backed</t>
        </is>
      </c>
      <c r="N86" s="43" t="inlineStr">
        <is>
          <t>The company raised an undisclosed amount of seed funding from F50 and BootstrapLabs on August 1, 2015.</t>
        </is>
      </c>
      <c r="O86" s="44" t="inlineStr">
        <is>
          <t>500 Startups, BootstrapLabs, Chris Sang, Christine Tsai, Donald Hutchison, EchoVC Partners, F50, Hackers/Founders, Individual Investor, MI Ventures, Quotidian Ventures, Streamlined Ventures, Ullas Naik, Will Bunker</t>
        </is>
      </c>
      <c r="P86" s="45" t="inlineStr">
        <is>
          <t/>
        </is>
      </c>
      <c r="Q86" s="46" t="inlineStr">
        <is>
          <t>Social/Platform Software</t>
        </is>
      </c>
      <c r="R86" s="47" t="inlineStr">
        <is>
          <t>Operator of a creative marketplace designed to empower artists to manage their professional lives. The company's platform offers an invite-only community, for the best creative talent in film, games &amp; VR/A, with powerful tools to host and share their work across a community of peers, fans and companies looking for talent, enabling them to easily transition from one project to the next and allows studios to find the right talent, right when they need them.</t>
        </is>
      </c>
      <c r="S86" s="48" t="inlineStr">
        <is>
          <t>San Francisco, CA</t>
        </is>
      </c>
      <c r="T86" s="49" t="inlineStr">
        <is>
          <t>www.zerply.com</t>
        </is>
      </c>
      <c r="U86" s="132">
        <f>HYPERLINK("https://my.pitchbook.com?c=56239-39", "View company online")</f>
      </c>
    </row>
    <row r="87">
      <c r="A87" s="9" t="inlineStr">
        <is>
          <t>63508-06</t>
        </is>
      </c>
      <c r="B87" s="10" t="inlineStr">
        <is>
          <t>ZeroStack</t>
        </is>
      </c>
      <c r="C87" s="11" t="inlineStr">
        <is>
          <t/>
        </is>
      </c>
      <c r="D87" s="12" t="n">
        <v>0.579469694859402</v>
      </c>
      <c r="E87" s="13" t="n">
        <v>5.544316518855944</v>
      </c>
      <c r="F87" s="14" t="n">
        <v>42297.0</v>
      </c>
      <c r="G87" s="15" t="inlineStr">
        <is>
          <t>Early Stage VC</t>
        </is>
      </c>
      <c r="H87" s="16" t="inlineStr">
        <is>
          <t>Series B</t>
        </is>
      </c>
      <c r="I87" s="17" t="n">
        <v>16.0</v>
      </c>
      <c r="J87" s="18" t="n">
        <v>69.3</v>
      </c>
      <c r="K87" s="19" t="inlineStr">
        <is>
          <t>Completed</t>
        </is>
      </c>
      <c r="L87" s="20" t="inlineStr">
        <is>
          <t>Privately Held (backing)</t>
        </is>
      </c>
      <c r="M87" s="21" t="inlineStr">
        <is>
          <t>Venture Capital-Backed</t>
        </is>
      </c>
      <c r="N87" s="22" t="inlineStr">
        <is>
          <t>The company raised $16 million of Series B venture funding in a deal led by Formation 8 on October 20, 2015, putting the company's pre-money valuation at $53.29 million. Foundation Capital and Mark Leslie also participated in the round. The funding will be used to help the company meet demand for an end-to-end solution that provides the agility and ease-of-use of the public cloud combined with the control and performance of the private cloud.</t>
        </is>
      </c>
      <c r="O87" s="23" t="inlineStr">
        <is>
          <t>Formation 8, Foundation Capital, Mark Leslie</t>
        </is>
      </c>
      <c r="P87" s="24" t="inlineStr">
        <is>
          <t/>
        </is>
      </c>
      <c r="Q87" s="25" t="inlineStr">
        <is>
          <t>Network Management Software</t>
        </is>
      </c>
      <c r="R87" s="26" t="inlineStr">
        <is>
          <t>Provider of private cloud platform designed to deliver a self-driving platform that offers the agility and simplicity of public cloud at a fraction of the cost. The company's cloud platform utilizes smart software and artificial intelligence that helps in delivering a complete self-service and scale-out private cloud, enabling customers to make proactive decisions about capacity planning, troubleshooting and optimized placement of applications.</t>
        </is>
      </c>
      <c r="S87" s="27" t="inlineStr">
        <is>
          <t>Mountain View, CA</t>
        </is>
      </c>
      <c r="T87" s="28" t="inlineStr">
        <is>
          <t>www.zerostack.com</t>
        </is>
      </c>
      <c r="U87" s="131">
        <f>HYPERLINK("https://my.pitchbook.com?c=63508-06", "View company online")</f>
      </c>
    </row>
    <row r="88">
      <c r="A88" s="30" t="inlineStr">
        <is>
          <t>107708-32</t>
        </is>
      </c>
      <c r="B88" s="31" t="inlineStr">
        <is>
          <t>ZeroLight</t>
        </is>
      </c>
      <c r="C88" s="32" t="n">
        <v>2.03</v>
      </c>
      <c r="D88" s="33" t="n">
        <v>0.3283957628932356</v>
      </c>
      <c r="E88" s="34" t="n">
        <v>2.9427627042770745</v>
      </c>
      <c r="F88" s="35" t="n">
        <v>41789.0</v>
      </c>
      <c r="G88" s="36" t="inlineStr">
        <is>
          <t>Early Stage VC</t>
        </is>
      </c>
      <c r="H88" s="37" t="inlineStr">
        <is>
          <t/>
        </is>
      </c>
      <c r="I88" s="38" t="n">
        <v>1.8</v>
      </c>
      <c r="J88" s="39" t="n">
        <v>2.72</v>
      </c>
      <c r="K88" s="40" t="inlineStr">
        <is>
          <t>Completed</t>
        </is>
      </c>
      <c r="L88" s="41" t="inlineStr">
        <is>
          <t>Privately Held (backing)</t>
        </is>
      </c>
      <c r="M88" s="42" t="inlineStr">
        <is>
          <t>Venture Capital-Backed</t>
        </is>
      </c>
      <c r="N88" s="43" t="inlineStr">
        <is>
          <t>The company raised GBP 1.07 million of venture funding from Northstar Ventures and Prime Ventures on May 30, 2014, putting the company's pre-money valuation at GBP 544,980.</t>
        </is>
      </c>
      <c r="O88" s="44" t="inlineStr">
        <is>
          <t>Northstar Ventures, Prime Ventures</t>
        </is>
      </c>
      <c r="P88" s="45" t="inlineStr">
        <is>
          <t/>
        </is>
      </c>
      <c r="Q88" s="46" t="inlineStr">
        <is>
          <t>Application Software</t>
        </is>
      </c>
      <c r="R88" s="47" t="inlineStr">
        <is>
          <t>Provider of digital visualization services for the automotive, engineering and architecture sectors. The company designs, builds and powers engaging interactive services ranging from virtual showrooms and virtual reality experiences to augmented reality and visualization applications.</t>
        </is>
      </c>
      <c r="S88" s="48" t="inlineStr">
        <is>
          <t>Newcastle upon Tyne, United Kingdom</t>
        </is>
      </c>
      <c r="T88" s="49" t="inlineStr">
        <is>
          <t>www.zerolight.com</t>
        </is>
      </c>
      <c r="U88" s="132">
        <f>HYPERLINK("https://my.pitchbook.com?c=107708-32", "View company online")</f>
      </c>
    </row>
    <row r="89">
      <c r="A89" s="9" t="inlineStr">
        <is>
          <t>102915-10</t>
        </is>
      </c>
      <c r="B89" s="10" t="inlineStr">
        <is>
          <t>ZeroLag Communications</t>
        </is>
      </c>
      <c r="C89" s="11" t="n">
        <v>10.68</v>
      </c>
      <c r="D89" s="12" t="n">
        <v>-0.3998036190094575</v>
      </c>
      <c r="E89" s="13" t="n">
        <v>6.882245784051237</v>
      </c>
      <c r="F89" s="14" t="inlineStr">
        <is>
          <t/>
        </is>
      </c>
      <c r="G89" s="15" t="inlineStr">
        <is>
          <t>Early Stage VC</t>
        </is>
      </c>
      <c r="H89" s="16" t="inlineStr">
        <is>
          <t/>
        </is>
      </c>
      <c r="I89" s="17" t="inlineStr">
        <is>
          <t/>
        </is>
      </c>
      <c r="J89" s="18" t="inlineStr">
        <is>
          <t/>
        </is>
      </c>
      <c r="K89" s="19" t="inlineStr">
        <is>
          <t>Completed</t>
        </is>
      </c>
      <c r="L89" s="20" t="inlineStr">
        <is>
          <t>Privately Held (backing)</t>
        </is>
      </c>
      <c r="M89" s="21" t="inlineStr">
        <is>
          <t>Venture Capital-Backed</t>
        </is>
      </c>
      <c r="N89" s="22" t="inlineStr">
        <is>
          <t>The company raised venture funding from Archer Venture Capital on an undisclosed date.</t>
        </is>
      </c>
      <c r="O89" s="23" t="inlineStr">
        <is>
          <t>Archer Venture Capital</t>
        </is>
      </c>
      <c r="P89" s="24" t="inlineStr">
        <is>
          <t/>
        </is>
      </c>
      <c r="Q89" s="25" t="inlineStr">
        <is>
          <t>Systems and Information Management</t>
        </is>
      </c>
      <c r="R89" s="26" t="inlineStr">
        <is>
          <t>Provider of Web hosting services. The company offers cloud hosting services, such as dedicated servers, colocation, virtual hosting, email hosting, Web development and e-commerce hosting services.</t>
        </is>
      </c>
      <c r="S89" s="27" t="inlineStr">
        <is>
          <t>Beverly Hills, CA</t>
        </is>
      </c>
      <c r="T89" s="28" t="inlineStr">
        <is>
          <t>www.zerolag.com</t>
        </is>
      </c>
      <c r="U89" s="131">
        <f>HYPERLINK("https://my.pitchbook.com?c=102915-10", "View company online")</f>
      </c>
    </row>
    <row r="90">
      <c r="A90" s="30" t="inlineStr">
        <is>
          <t>103821-49</t>
        </is>
      </c>
      <c r="B90" s="31" t="inlineStr">
        <is>
          <t>ZeroDesktop</t>
        </is>
      </c>
      <c r="C90" s="32" t="inlineStr">
        <is>
          <t/>
        </is>
      </c>
      <c r="D90" s="33" t="n">
        <v>1.2028645616672429</v>
      </c>
      <c r="E90" s="34" t="n">
        <v>6.582363506258127</v>
      </c>
      <c r="F90" s="35" t="n">
        <v>41974.0</v>
      </c>
      <c r="G90" s="36" t="inlineStr">
        <is>
          <t>Seed Round</t>
        </is>
      </c>
      <c r="H90" s="37" t="inlineStr">
        <is>
          <t>Seed</t>
        </is>
      </c>
      <c r="I90" s="38" t="n">
        <v>2.0</v>
      </c>
      <c r="J90" s="39" t="inlineStr">
        <is>
          <t/>
        </is>
      </c>
      <c r="K90" s="40" t="inlineStr">
        <is>
          <t>Completed</t>
        </is>
      </c>
      <c r="L90" s="41" t="inlineStr">
        <is>
          <t>Privately Held (backing)</t>
        </is>
      </c>
      <c r="M90" s="42" t="inlineStr">
        <is>
          <t>Venture Capital-Backed</t>
        </is>
      </c>
      <c r="N90" s="43" t="inlineStr">
        <is>
          <t>The company raised $2 million of seed funding from Booga Ventures and other undisclosed investors on December 1, 2014.</t>
        </is>
      </c>
      <c r="O90" s="44" t="inlineStr">
        <is>
          <t>Booga Ventures, DHTechnew Corp., Individual Investor</t>
        </is>
      </c>
      <c r="P90" s="45" t="inlineStr">
        <is>
          <t/>
        </is>
      </c>
      <c r="Q90" s="46" t="inlineStr">
        <is>
          <t>Other Software</t>
        </is>
      </c>
      <c r="R90" s="47" t="inlineStr">
        <is>
          <t>Developer of cloud-based technology designed to securely access adocuments, photos, music and videos from many services. The company's cloud-based technology helps in dragging and dropping content from one service to another, search and discover everything in the cloud content across different services, enabling consumers, schools and business to access, manage and share their digital content.</t>
        </is>
      </c>
      <c r="S90" s="48" t="inlineStr">
        <is>
          <t>San Mateo, CA</t>
        </is>
      </c>
      <c r="T90" s="49" t="inlineStr">
        <is>
          <t>www.zeropc.com</t>
        </is>
      </c>
      <c r="U90" s="132">
        <f>HYPERLINK("https://my.pitchbook.com?c=103821-49", "View company online")</f>
      </c>
    </row>
    <row r="91">
      <c r="A91" s="9" t="inlineStr">
        <is>
          <t>54735-49</t>
        </is>
      </c>
      <c r="B91" s="10" t="inlineStr">
        <is>
          <t>ZeroCater</t>
        </is>
      </c>
      <c r="C91" s="11" t="n">
        <v>100.0</v>
      </c>
      <c r="D91" s="12" t="n">
        <v>0.0821583397114517</v>
      </c>
      <c r="E91" s="13" t="n">
        <v>4.349738474130515</v>
      </c>
      <c r="F91" s="14" t="n">
        <v>42599.0</v>
      </c>
      <c r="G91" s="15" t="inlineStr">
        <is>
          <t>Later Stage VC</t>
        </is>
      </c>
      <c r="H91" s="16" t="inlineStr">
        <is>
          <t>Series A</t>
        </is>
      </c>
      <c r="I91" s="17" t="n">
        <v>4.1</v>
      </c>
      <c r="J91" s="18" t="n">
        <v>100.0</v>
      </c>
      <c r="K91" s="19" t="inlineStr">
        <is>
          <t>Completed</t>
        </is>
      </c>
      <c r="L91" s="20" t="inlineStr">
        <is>
          <t>Privately Held (backing)</t>
        </is>
      </c>
      <c r="M91" s="21" t="inlineStr">
        <is>
          <t>Venture Capital-Backed</t>
        </is>
      </c>
      <c r="N91" s="22" t="inlineStr">
        <is>
          <t>The company raised $4.1 million of Series A venture funding in a deal led by Romulus Capital on August 17, 2016, putting the company's pre-money valuation at an estimated $95.9 million. Struck Capital also participated. The company plans to use the funding to support growth in the markets where it is already operational and invest in further product development and engineering.</t>
        </is>
      </c>
      <c r="O91" s="23" t="inlineStr">
        <is>
          <t>Adam Struck, Alexander Goldstein, Emmett Shear, Gabor Cselle, Hubrix Ventures, Individual Investor, Justin Kan, Keith Rabois, Mark Friedgan, Othman Laraki, Paul Buchheit, Romulus Capital, Starling Ventures, Start Fund, Stewart Alsop, Struck Capital, SV Angel, Vaizra Investments, Y Combinator, Yuri Milner</t>
        </is>
      </c>
      <c r="P91" s="24" t="inlineStr">
        <is>
          <t/>
        </is>
      </c>
      <c r="Q91" s="25" t="inlineStr">
        <is>
          <t>Food Products</t>
        </is>
      </c>
      <c r="R91" s="26" t="inlineStr">
        <is>
          <t>Provider of catering service to companies and their employees. The company operates a catering service for companies to enjoy meals delivered from local restaurants, caterers and private chefs.</t>
        </is>
      </c>
      <c r="S91" s="27" t="inlineStr">
        <is>
          <t>San Francisco, CA</t>
        </is>
      </c>
      <c r="T91" s="28" t="inlineStr">
        <is>
          <t>www.zerocater.com</t>
        </is>
      </c>
      <c r="U91" s="131">
        <f>HYPERLINK("https://my.pitchbook.com?c=54735-49", "View company online")</f>
      </c>
    </row>
    <row r="92">
      <c r="A92" s="30" t="inlineStr">
        <is>
          <t>101765-80</t>
        </is>
      </c>
      <c r="B92" s="31" t="inlineStr">
        <is>
          <t>Zero Slant</t>
        </is>
      </c>
      <c r="C92" s="32" t="inlineStr">
        <is>
          <t/>
        </is>
      </c>
      <c r="D92" s="33" t="n">
        <v>0.03584225552536954</v>
      </c>
      <c r="E92" s="34" t="n">
        <v>0.5549666678996082</v>
      </c>
      <c r="F92" s="35" t="n">
        <v>42186.0</v>
      </c>
      <c r="G92" s="36" t="inlineStr">
        <is>
          <t>Seed Round</t>
        </is>
      </c>
      <c r="H92" s="37" t="inlineStr">
        <is>
          <t>Seed</t>
        </is>
      </c>
      <c r="I92" s="38" t="n">
        <v>0.55</v>
      </c>
      <c r="J92" s="39" t="inlineStr">
        <is>
          <t/>
        </is>
      </c>
      <c r="K92" s="40" t="inlineStr">
        <is>
          <t>Completed</t>
        </is>
      </c>
      <c r="L92" s="41" t="inlineStr">
        <is>
          <t>Privately Held (backing)</t>
        </is>
      </c>
      <c r="M92" s="42" t="inlineStr">
        <is>
          <t>Venture Capital-Backed</t>
        </is>
      </c>
      <c r="N92" s="43" t="inlineStr">
        <is>
          <t>The company raised $550,000 of seed funding from Social Starts and 7 angel investors on June 1, 2015. Previously, the company joined The LAUNCH Incubator as part of its inaugural class and received $250,000 in funding on March 7, 2015.</t>
        </is>
      </c>
      <c r="O92" s="44" t="inlineStr">
        <is>
          <t>Chris Sang, Desney Tan, Dominic Audino, Jason Calacanis, Joe Saunders, Mohammed Seyfi, Saad AlSogair, Social Starts, The LAUNCH Incubator</t>
        </is>
      </c>
      <c r="P92" s="45" t="inlineStr">
        <is>
          <t/>
        </is>
      </c>
      <c r="Q92" s="46" t="inlineStr">
        <is>
          <t>Application Software</t>
        </is>
      </c>
      <c r="R92" s="47" t="inlineStr">
        <is>
          <t>Provider of a photo-sharing application. The company's photo-sharing application automatically organizes all nearby public visuals shared on social networks into one album enabling users to share their pictures and also view and save pictures being shared by people around them in real time.</t>
        </is>
      </c>
      <c r="S92" s="48" t="inlineStr">
        <is>
          <t>El Macero, CA</t>
        </is>
      </c>
      <c r="T92" s="49" t="inlineStr">
        <is>
          <t>www.zeroslant.com</t>
        </is>
      </c>
      <c r="U92" s="132">
        <f>HYPERLINK("https://my.pitchbook.com?c=101765-80", "View company online")</f>
      </c>
    </row>
    <row r="93">
      <c r="A93" s="9" t="inlineStr">
        <is>
          <t>51692-59</t>
        </is>
      </c>
      <c r="B93" s="10" t="inlineStr">
        <is>
          <t>Zero Motorcycles</t>
        </is>
      </c>
      <c r="C93" s="11" t="inlineStr">
        <is>
          <t/>
        </is>
      </c>
      <c r="D93" s="12" t="n">
        <v>0.20072744619820776</v>
      </c>
      <c r="E93" s="13" t="n">
        <v>89.25658810458</v>
      </c>
      <c r="F93" s="14" t="n">
        <v>42779.0</v>
      </c>
      <c r="G93" s="15" t="inlineStr">
        <is>
          <t>Later Stage VC</t>
        </is>
      </c>
      <c r="H93" s="16" t="inlineStr">
        <is>
          <t/>
        </is>
      </c>
      <c r="I93" s="17" t="n">
        <v>7.0</v>
      </c>
      <c r="J93" s="18" t="inlineStr">
        <is>
          <t/>
        </is>
      </c>
      <c r="K93" s="19" t="inlineStr">
        <is>
          <t>Completed</t>
        </is>
      </c>
      <c r="L93" s="20" t="inlineStr">
        <is>
          <t>Privately Held (backing)</t>
        </is>
      </c>
      <c r="M93" s="21" t="inlineStr">
        <is>
          <t>Venture Capital-Backed</t>
        </is>
      </c>
      <c r="N93" s="22" t="inlineStr">
        <is>
          <t>The company raised $7 million of venture funding from an undisclosed investor on February 13, 2017. Previously, it raised $5.4 million of venture funding from undisclosed investors on February 11, 2016.</t>
        </is>
      </c>
      <c r="O93" s="23" t="inlineStr">
        <is>
          <t>California Energy Commission, Invus Group</t>
        </is>
      </c>
      <c r="P93" s="24" t="inlineStr">
        <is>
          <t/>
        </is>
      </c>
      <c r="Q93" s="25" t="inlineStr">
        <is>
          <t>Automotive</t>
        </is>
      </c>
      <c r="R93" s="26" t="inlineStr">
        <is>
          <t>Manufacturer of electric motorcycles. The company offers street, dirt and dual sport motorcycles. It also offers accessories, apparel, fairings and bodywork, parts, tires and wheels and upgrades.</t>
        </is>
      </c>
      <c r="S93" s="27" t="inlineStr">
        <is>
          <t>Scotts Valley, CA</t>
        </is>
      </c>
      <c r="T93" s="28" t="inlineStr">
        <is>
          <t>www.zeromotorcycles.com</t>
        </is>
      </c>
      <c r="U93" s="131">
        <f>HYPERLINK("https://my.pitchbook.com?c=51692-59", "View company online")</f>
      </c>
    </row>
    <row r="94">
      <c r="A94" s="30" t="inlineStr">
        <is>
          <t>121487-32</t>
        </is>
      </c>
      <c r="B94" s="31" t="inlineStr">
        <is>
          <t>Zero Keyboard</t>
        </is>
      </c>
      <c r="C94" s="32" t="n">
        <v>0.19</v>
      </c>
      <c r="D94" s="33" t="n">
        <v>0.19311002928409707</v>
      </c>
      <c r="E94" s="34" t="n">
        <v>0.6167735532142311</v>
      </c>
      <c r="F94" s="35" t="n">
        <v>42265.0</v>
      </c>
      <c r="G94" s="36" t="inlineStr">
        <is>
          <t>Early Stage VC</t>
        </is>
      </c>
      <c r="H94" s="37" t="inlineStr">
        <is>
          <t/>
        </is>
      </c>
      <c r="I94" s="38" t="n">
        <v>0.6</v>
      </c>
      <c r="J94" s="39" t="inlineStr">
        <is>
          <t/>
        </is>
      </c>
      <c r="K94" s="40" t="inlineStr">
        <is>
          <t>Completed</t>
        </is>
      </c>
      <c r="L94" s="41" t="inlineStr">
        <is>
          <t>Privately Held (backing)</t>
        </is>
      </c>
      <c r="M94" s="42" t="inlineStr">
        <is>
          <t>Venture Capital-Backed</t>
        </is>
      </c>
      <c r="N94" s="43" t="inlineStr">
        <is>
          <t>The company received $600,000 of venture funding from Tekes, Takeoff Partners and other individual investors on September 18, 2015. Previously, the company received EUR 35,000 of grant funding from undisclosed investor on May 26, 2015. The company received EUR 154,000 of debt financing from undisclosed investor on October 30, 2014.</t>
        </is>
      </c>
      <c r="O94" s="44" t="inlineStr">
        <is>
          <t>Blackbox, Elina Piispanen, Fluido, Jari Mielonen, Jouko Virtanen, NewCo Helsinki Accelerator, Takeoff Partners, Tekes, Thomas Johanson</t>
        </is>
      </c>
      <c r="P94" s="45" t="inlineStr">
        <is>
          <t/>
        </is>
      </c>
      <c r="Q94" s="46" t="inlineStr">
        <is>
          <t>Database Software</t>
        </is>
      </c>
      <c r="R94" s="47" t="inlineStr">
        <is>
          <t>Provider of a data collection application designed to keep data up-to-date and to improve productivity. The company's data governance tool offers an online mobile software which makes data entry in Salesforce efficient, enabling users to log calls, create leads, scan business cards, collect information, manage tasks, calendar events, and more on the go, even offline, without typing.</t>
        </is>
      </c>
      <c r="S94" s="48" t="inlineStr">
        <is>
          <t>Helsinki, Finland</t>
        </is>
      </c>
      <c r="T94" s="49" t="inlineStr">
        <is>
          <t>www.zerokeyboard.com</t>
        </is>
      </c>
      <c r="U94" s="132">
        <f>HYPERLINK("https://my.pitchbook.com?c=121487-32", "View company online")</f>
      </c>
    </row>
    <row r="95">
      <c r="A95" s="9" t="inlineStr">
        <is>
          <t>163251-64</t>
        </is>
      </c>
      <c r="B95" s="10" t="inlineStr">
        <is>
          <t>Zero Financial</t>
        </is>
      </c>
      <c r="C95" s="11" t="inlineStr">
        <is>
          <t/>
        </is>
      </c>
      <c r="D95" s="12" t="n">
        <v>0.20492668062433614</v>
      </c>
      <c r="E95" s="13" t="n">
        <v>11.16106432256027</v>
      </c>
      <c r="F95" s="14" t="n">
        <v>42634.0</v>
      </c>
      <c r="G95" s="15" t="inlineStr">
        <is>
          <t>Seed Round</t>
        </is>
      </c>
      <c r="H95" s="16" t="inlineStr">
        <is>
          <t>Seed</t>
        </is>
      </c>
      <c r="I95" s="17" t="n">
        <v>2.5</v>
      </c>
      <c r="J95" s="18" t="inlineStr">
        <is>
          <t/>
        </is>
      </c>
      <c r="K95" s="19" t="inlineStr">
        <is>
          <t>Completed</t>
        </is>
      </c>
      <c r="L95" s="20" t="inlineStr">
        <is>
          <t>Privately Held (backing)</t>
        </is>
      </c>
      <c r="M95" s="21" t="inlineStr">
        <is>
          <t>Venture Capital-Backed</t>
        </is>
      </c>
      <c r="N95" s="22" t="inlineStr">
        <is>
          <t>The company raised $2.5 million of seed funding from lead investor ENIAC Ventures on September 21, 2016. New Enterprise Associates, Nyca Partners, Lightbank and Middleland Capital also participated. The company intends to use the funds to continue to develop its platform.</t>
        </is>
      </c>
      <c r="O95" s="23" t="inlineStr">
        <is>
          <t>Eniac Ventures, Lightbank, Middleland Capital, New Enterprise Associates, Nyca Partners</t>
        </is>
      </c>
      <c r="P95" s="24" t="inlineStr">
        <is>
          <t/>
        </is>
      </c>
      <c r="Q95" s="25" t="inlineStr">
        <is>
          <t>Financial Software</t>
        </is>
      </c>
      <c r="R95" s="26" t="inlineStr">
        <is>
          <t>Provider of a mobile-based platform for banking and financial services. The company provides a mobile-based banking platform consisting of an application and a card called Zerocard, a solid metal card that comes in four levels with varying rewards of up to 3% cash back.</t>
        </is>
      </c>
      <c r="S95" s="27" t="inlineStr">
        <is>
          <t>San Francisco, CA</t>
        </is>
      </c>
      <c r="T95" s="28" t="inlineStr">
        <is>
          <t>www.zerofinancial.com</t>
        </is>
      </c>
      <c r="U95" s="131">
        <f>HYPERLINK("https://my.pitchbook.com?c=163251-64", "View company online")</f>
      </c>
    </row>
    <row r="96">
      <c r="A96" s="30" t="inlineStr">
        <is>
          <t>59037-13</t>
        </is>
      </c>
      <c r="B96" s="31" t="inlineStr">
        <is>
          <t>Zeptor</t>
        </is>
      </c>
      <c r="C96" s="32" t="inlineStr">
        <is>
          <t/>
        </is>
      </c>
      <c r="D96" s="33" t="n">
        <v>-0.0361712940386736</v>
      </c>
      <c r="E96" s="34" t="n">
        <v>0.2665099882491187</v>
      </c>
      <c r="F96" s="35" t="n">
        <v>42549.0</v>
      </c>
      <c r="G96" s="36" t="inlineStr">
        <is>
          <t>Later Stage VC</t>
        </is>
      </c>
      <c r="H96" s="37" t="inlineStr">
        <is>
          <t>Series C</t>
        </is>
      </c>
      <c r="I96" s="38" t="n">
        <v>15.0</v>
      </c>
      <c r="J96" s="39" t="n">
        <v>51.6</v>
      </c>
      <c r="K96" s="40" t="inlineStr">
        <is>
          <t>Completed</t>
        </is>
      </c>
      <c r="L96" s="41" t="inlineStr">
        <is>
          <t>Privately Held (backing)</t>
        </is>
      </c>
      <c r="M96" s="42" t="inlineStr">
        <is>
          <t>Venture Capital-Backed</t>
        </is>
      </c>
      <c r="N96" s="43" t="inlineStr">
        <is>
          <t>The company raised an estimated $15 million of Series C venture funding from undisclosed investors on June 28, 2016, putting the pre-money valuation at $36.59 million. Previously, the company raised $5.2 million of Series B2 venture funding from undisclosed investors on September 25, 2014, putting the pre-money valuation at $15.28 million.</t>
        </is>
      </c>
      <c r="O96" s="44" t="inlineStr">
        <is>
          <t/>
        </is>
      </c>
      <c r="P96" s="45" t="inlineStr">
        <is>
          <t/>
        </is>
      </c>
      <c r="Q96" s="46" t="inlineStr">
        <is>
          <t>Electronics (B2C)</t>
        </is>
      </c>
      <c r="R96" s="47" t="inlineStr">
        <is>
          <t>Developer of silicon based electrodes for lithium ion battery. The company enables the use of high-capacity material in lithium ion batteries without incurring additional manufacturing cost.</t>
        </is>
      </c>
      <c r="S96" s="48" t="inlineStr">
        <is>
          <t>Menlo Park, CA</t>
        </is>
      </c>
      <c r="T96" s="49" t="inlineStr">
        <is>
          <t>www.zeptoco.com</t>
        </is>
      </c>
      <c r="U96" s="132">
        <f>HYPERLINK("https://my.pitchbook.com?c=59037-13", "View company online")</f>
      </c>
    </row>
    <row r="97">
      <c r="A97" s="9" t="inlineStr">
        <is>
          <t>61194-34</t>
        </is>
      </c>
      <c r="B97" s="10" t="inlineStr">
        <is>
          <t>Zepp US</t>
        </is>
      </c>
      <c r="C97" s="11" t="inlineStr">
        <is>
          <t/>
        </is>
      </c>
      <c r="D97" s="12" t="n">
        <v>0.6047467755839089</v>
      </c>
      <c r="E97" s="13" t="n">
        <v>49.824179833059716</v>
      </c>
      <c r="F97" s="14" t="n">
        <v>41661.0</v>
      </c>
      <c r="G97" s="15" t="inlineStr">
        <is>
          <t>Early Stage VC</t>
        </is>
      </c>
      <c r="H97" s="16" t="inlineStr">
        <is>
          <t>Series B</t>
        </is>
      </c>
      <c r="I97" s="17" t="n">
        <v>15.0</v>
      </c>
      <c r="J97" s="18" t="inlineStr">
        <is>
          <t/>
        </is>
      </c>
      <c r="K97" s="19" t="inlineStr">
        <is>
          <t>Completed</t>
        </is>
      </c>
      <c r="L97" s="20" t="inlineStr">
        <is>
          <t>Privately Held (backing)</t>
        </is>
      </c>
      <c r="M97" s="21" t="inlineStr">
        <is>
          <t>Venture Capital-Backed</t>
        </is>
      </c>
      <c r="N97" s="22" t="inlineStr">
        <is>
          <t>The company raised $15 million of Series B venture funding from lead investor GGV Capital on January 22, 2014. Follow on investors Legend Capital, Bertelsmann Capital Ventures and Cherubic Ventures also participated.</t>
        </is>
      </c>
      <c r="O97" s="23" t="inlineStr">
        <is>
          <t>Bertelsmann Asia Investments, Cherubic Ventures, GGV Capital, Legend Capital</t>
        </is>
      </c>
      <c r="P97" s="24" t="inlineStr">
        <is>
          <t/>
        </is>
      </c>
      <c r="Q97" s="25" t="inlineStr">
        <is>
          <t>Other Consumer Durables</t>
        </is>
      </c>
      <c r="R97" s="26" t="inlineStr">
        <is>
          <t>Developer and provider of sports technology. The company is the creator of the Zepp Motion Engine, a motion-sensor application for golfers, tennis and baseball players to analyze and improve their games.</t>
        </is>
      </c>
      <c r="S97" s="27" t="inlineStr">
        <is>
          <t>Los Gatos, CA</t>
        </is>
      </c>
      <c r="T97" s="28" t="inlineStr">
        <is>
          <t>www.zepp.com</t>
        </is>
      </c>
      <c r="U97" s="131">
        <f>HYPERLINK("https://my.pitchbook.com?c=61194-34", "View company online")</f>
      </c>
    </row>
    <row r="98">
      <c r="A98" s="30" t="inlineStr">
        <is>
          <t>104834-44</t>
        </is>
      </c>
      <c r="B98" s="31" t="inlineStr">
        <is>
          <t>Zeplin</t>
        </is>
      </c>
      <c r="C98" s="32" t="inlineStr">
        <is>
          <t/>
        </is>
      </c>
      <c r="D98" s="33" t="n">
        <v>0.5423516002100903</v>
      </c>
      <c r="E98" s="34" t="n">
        <v>9.771710772779306</v>
      </c>
      <c r="F98" s="35" t="n">
        <v>42332.0</v>
      </c>
      <c r="G98" s="36" t="inlineStr">
        <is>
          <t>Seed Round</t>
        </is>
      </c>
      <c r="H98" s="37" t="inlineStr">
        <is>
          <t>Seed</t>
        </is>
      </c>
      <c r="I98" s="38" t="n">
        <v>1.2</v>
      </c>
      <c r="J98" s="39" t="inlineStr">
        <is>
          <t/>
        </is>
      </c>
      <c r="K98" s="40" t="inlineStr">
        <is>
          <t>Completed</t>
        </is>
      </c>
      <c r="L98" s="41" t="inlineStr">
        <is>
          <t>Privately Held (backing)</t>
        </is>
      </c>
      <c r="M98" s="42" t="inlineStr">
        <is>
          <t>Venture Capital-Backed</t>
        </is>
      </c>
      <c r="N98" s="43" t="inlineStr">
        <is>
          <t>The company raised $1.2 million of seed funding from Graph ventures and Sparkland Capital on November 24, 2015. Mike Maples Jr., Elad Gil, Kow Atta-Mensah and other undisclosed investor also participated in this round. The company will use funds to grow its team by having the founding team in San Francisco. Prior to that, the company company joined Y Combinator in May 2015 and received $120,000 in funding.</t>
        </is>
      </c>
      <c r="O98" s="44" t="inlineStr">
        <is>
          <t>Elad Gil, Graph Ventures, Kow Mensah, Michael Maples, Sparkland Capital, Startupbootcamp, Y Combinator</t>
        </is>
      </c>
      <c r="P98" s="45" t="inlineStr">
        <is>
          <t/>
        </is>
      </c>
      <c r="Q98" s="46" t="inlineStr">
        <is>
          <t>Application Software</t>
        </is>
      </c>
      <c r="R98" s="47" t="inlineStr">
        <is>
          <t>Developer of a software platform and an application intended to turn designs into powerful specs. The company's software platform supports sketch and Photoshop, enabling UI designers and frontend developers to collaborate and access resources from one location.</t>
        </is>
      </c>
      <c r="S98" s="48" t="inlineStr">
        <is>
          <t>Istanbul, Turkey</t>
        </is>
      </c>
      <c r="T98" s="49" t="inlineStr">
        <is>
          <t>www.zeplin.io</t>
        </is>
      </c>
      <c r="U98" s="132">
        <f>HYPERLINK("https://my.pitchbook.com?c=104834-44", "View company online")</f>
      </c>
    </row>
    <row r="99">
      <c r="A99" s="9" t="inlineStr">
        <is>
          <t>58415-05</t>
        </is>
      </c>
      <c r="B99" s="10" t="inlineStr">
        <is>
          <t>Zephyr Health</t>
        </is>
      </c>
      <c r="C99" s="11" t="inlineStr">
        <is>
          <t/>
        </is>
      </c>
      <c r="D99" s="12" t="n">
        <v>0.930092319550548</v>
      </c>
      <c r="E99" s="13" t="n">
        <v>2.503206596426935</v>
      </c>
      <c r="F99" s="14" t="n">
        <v>42223.0</v>
      </c>
      <c r="G99" s="15" t="inlineStr">
        <is>
          <t>Later Stage VC</t>
        </is>
      </c>
      <c r="H99" s="16" t="inlineStr">
        <is>
          <t/>
        </is>
      </c>
      <c r="I99" s="17" t="n">
        <v>17.48</v>
      </c>
      <c r="J99" s="18" t="n">
        <v>97.17</v>
      </c>
      <c r="K99" s="19" t="inlineStr">
        <is>
          <t>Completed</t>
        </is>
      </c>
      <c r="L99" s="20" t="inlineStr">
        <is>
          <t>Privately Held (backing)</t>
        </is>
      </c>
      <c r="M99" s="21" t="inlineStr">
        <is>
          <t>Venture Capital-Backed</t>
        </is>
      </c>
      <c r="N99" s="22" t="inlineStr">
        <is>
          <t>The company raised $17.48 million of Series C venture funding in a deal led by Google Ventures on August 7, 2015, putting the company's pre-money valuation at $79.69 million. Kleiner Perkins Caufield &amp; Byers and Icon Ventures also participated in this round.</t>
        </is>
      </c>
      <c r="O99" s="23" t="inlineStr">
        <is>
          <t>GV, Icon Ventures, Individual Investor, Kleiner Perkins Caufield &amp; Byers, Susa Ventures</t>
        </is>
      </c>
      <c r="P99" s="24" t="inlineStr">
        <is>
          <t/>
        </is>
      </c>
      <c r="Q99" s="25" t="inlineStr">
        <is>
          <t>Enterprise Systems (Healthcare)</t>
        </is>
      </c>
      <c r="R99" s="26" t="inlineStr">
        <is>
          <t>Provider of Insights-as-a-Service enterprise software designed to organize and visualize global health data to better connect their therapies to people in need. The company's Insights-as-a-Service enterprise software connects CRM, sales and vendor data with thousands of public global data sources, enabling life sciences companies to make confident decisions with precise and predictive insights.</t>
        </is>
      </c>
      <c r="S99" s="27" t="inlineStr">
        <is>
          <t>San Francisco, CA</t>
        </is>
      </c>
      <c r="T99" s="28" t="inlineStr">
        <is>
          <t>www.zephyrhealth.com</t>
        </is>
      </c>
      <c r="U99" s="131">
        <f>HYPERLINK("https://my.pitchbook.com?c=58415-05", "View company online")</f>
      </c>
    </row>
    <row r="100">
      <c r="A100" s="30" t="inlineStr">
        <is>
          <t>99913-42</t>
        </is>
      </c>
      <c r="B100" s="31" t="inlineStr">
        <is>
          <t>Zeotap</t>
        </is>
      </c>
      <c r="C100" s="32" t="inlineStr">
        <is>
          <t/>
        </is>
      </c>
      <c r="D100" s="33" t="n">
        <v>-2.00660493348029</v>
      </c>
      <c r="E100" s="34" t="n">
        <v>4.758078541221504</v>
      </c>
      <c r="F100" s="35" t="n">
        <v>42752.0</v>
      </c>
      <c r="G100" s="36" t="inlineStr">
        <is>
          <t>Early Stage VC</t>
        </is>
      </c>
      <c r="H100" s="37" t="inlineStr">
        <is>
          <t>Series B</t>
        </is>
      </c>
      <c r="I100" s="38" t="n">
        <v>12.74</v>
      </c>
      <c r="J100" s="39" t="inlineStr">
        <is>
          <t/>
        </is>
      </c>
      <c r="K100" s="40" t="inlineStr">
        <is>
          <t>Completed</t>
        </is>
      </c>
      <c r="L100" s="41" t="inlineStr">
        <is>
          <t>Privately Held (backing)</t>
        </is>
      </c>
      <c r="M100" s="42" t="inlineStr">
        <is>
          <t>Venture Capital-Backed</t>
        </is>
      </c>
      <c r="N100" s="43" t="inlineStr">
        <is>
          <t>The company raised EUR 12 million of Series B venture funding from New Science Ventures, Capnamic Ventures and Iris Capital Management on January 17, 2017. Here (Open Location Platform), Seth Schuler, Alex Pentland, Mark Grether, Chetan Sharma and Thomas Duhr also participated in this round. The company intends to use the funds to grow its team in the areas of engineering and data science in Bangalore and increase business development data on-boarding, data monetization and marketing efforts in Berlin, New York, Madrid and Milan.</t>
        </is>
      </c>
      <c r="O100" s="44" t="inlineStr">
        <is>
          <t>Alex Pentland, Capnamic Ventures, Chetan Sharma, Devin Guan, Dirk Freytag, Here (Open Location Platform), HitFox Group, Individual Investor, Iris Capital Management, Lookout Capital, Mark Grether, Michael Halbherr, MoPub, New Science Ventures, Peter Scheufen, plista, Saad AlSogair, Seth Schuler, Stefan Schmitgen, Steffen Roehn, Thomas Duhr</t>
        </is>
      </c>
      <c r="P100" s="45" t="inlineStr">
        <is>
          <t/>
        </is>
      </c>
      <c r="Q100" s="46" t="inlineStr">
        <is>
          <t>Database Software</t>
        </is>
      </c>
      <c r="R100" s="47" t="inlineStr">
        <is>
          <t>Developer of a global telecom data analytics platform designed to help different industries be more innovative, efficient and added value for customers. The company's data analytics platform connects mobile network operators (MNOs) with the application and advertising ecosystem. Its technology anonymizes data extracted from MNOs' systems and employs a variety of signals to generate user and request-specific scores enabling mobile advertisers to get specifics on the user's age, sex, location and income level.</t>
        </is>
      </c>
      <c r="S100" s="48" t="inlineStr">
        <is>
          <t>Berlin, Germany</t>
        </is>
      </c>
      <c r="T100" s="49" t="inlineStr">
        <is>
          <t>www.zeotap.com</t>
        </is>
      </c>
      <c r="U100" s="132">
        <f>HYPERLINK("https://my.pitchbook.com?c=99913-42", "View company online")</f>
      </c>
    </row>
    <row r="101">
      <c r="A101" s="9" t="inlineStr">
        <is>
          <t>155878-84</t>
        </is>
      </c>
      <c r="B101" s="10" t="inlineStr">
        <is>
          <t>Zenysis</t>
        </is>
      </c>
      <c r="C101" s="11" t="inlineStr">
        <is>
          <t/>
        </is>
      </c>
      <c r="D101" s="12" t="n">
        <v>0.0</v>
      </c>
      <c r="E101" s="13" t="n">
        <v>0.49580088563139413</v>
      </c>
      <c r="F101" s="14" t="inlineStr">
        <is>
          <t/>
        </is>
      </c>
      <c r="G101" s="15" t="inlineStr">
        <is>
          <t>Seed Round</t>
        </is>
      </c>
      <c r="H101" s="16" t="inlineStr">
        <is>
          <t>Seed</t>
        </is>
      </c>
      <c r="I101" s="17" t="inlineStr">
        <is>
          <t/>
        </is>
      </c>
      <c r="J101" s="18" t="inlineStr">
        <is>
          <t/>
        </is>
      </c>
      <c r="K101" s="19" t="inlineStr">
        <is>
          <t>Completed</t>
        </is>
      </c>
      <c r="L101" s="20" t="inlineStr">
        <is>
          <t>Privately Held (backing)</t>
        </is>
      </c>
      <c r="M101" s="21" t="inlineStr">
        <is>
          <t>Venture Capital-Backed</t>
        </is>
      </c>
      <c r="N101" s="22" t="inlineStr">
        <is>
          <t>The company received seed funding from 500 Startups on an undisclosed date.</t>
        </is>
      </c>
      <c r="O101" s="23" t="inlineStr">
        <is>
          <t>500 Startups, NKM Capital, Omidyar Network, Y Combinator</t>
        </is>
      </c>
      <c r="P101" s="24" t="inlineStr">
        <is>
          <t/>
        </is>
      </c>
      <c r="Q101" s="25" t="inlineStr">
        <is>
          <t>Database Software</t>
        </is>
      </c>
      <c r="R101" s="26" t="inlineStr">
        <is>
          <t>Developer of a data-analysis software. The company develops data-management systems for government and international organizations, enabling them to view and analyze their data including healthcare emergencies, humanitarian crises or natural disasters, under one platform.</t>
        </is>
      </c>
      <c r="S101" s="27" t="inlineStr">
        <is>
          <t>San Francisco, CA</t>
        </is>
      </c>
      <c r="T101" s="28" t="inlineStr">
        <is>
          <t>www.zenysis.com</t>
        </is>
      </c>
      <c r="U101" s="131">
        <f>HYPERLINK("https://my.pitchbook.com?c=155878-84", "View company online")</f>
      </c>
    </row>
    <row r="102">
      <c r="A102" s="30" t="inlineStr">
        <is>
          <t>163566-82</t>
        </is>
      </c>
      <c r="B102" s="31" t="inlineStr">
        <is>
          <t>Zentist</t>
        </is>
      </c>
      <c r="C102" s="32" t="inlineStr">
        <is>
          <t/>
        </is>
      </c>
      <c r="D102" s="33" t="n">
        <v>0.0</v>
      </c>
      <c r="E102" s="34" t="n">
        <v>0.02702702702702703</v>
      </c>
      <c r="F102" s="35" t="n">
        <v>42736.0</v>
      </c>
      <c r="G102" s="36" t="inlineStr">
        <is>
          <t>Early Stage VC</t>
        </is>
      </c>
      <c r="H102" s="37" t="inlineStr">
        <is>
          <t/>
        </is>
      </c>
      <c r="I102" s="38" t="inlineStr">
        <is>
          <t/>
        </is>
      </c>
      <c r="J102" s="39" t="inlineStr">
        <is>
          <t/>
        </is>
      </c>
      <c r="K102" s="40" t="inlineStr">
        <is>
          <t>Completed</t>
        </is>
      </c>
      <c r="L102" s="41" t="inlineStr">
        <is>
          <t>Privately Held (backing)</t>
        </is>
      </c>
      <c r="M102" s="42" t="inlineStr">
        <is>
          <t>Venture Capital-Backed</t>
        </is>
      </c>
      <c r="N102" s="43" t="inlineStr">
        <is>
          <t>The company raised an undisclosed amount of venture funding from FundersClub in 2017. Previously, the company joined 500 Startups as a part of its 18th Batch on August 1, 2016 and received $125,000 in funding.</t>
        </is>
      </c>
      <c r="O102" s="44" t="inlineStr">
        <is>
          <t>500 Startups, FundersClub, StartUp Health</t>
        </is>
      </c>
      <c r="P102" s="45" t="inlineStr">
        <is>
          <t/>
        </is>
      </c>
      <c r="Q102" s="46" t="inlineStr">
        <is>
          <t>Social/Platform Software</t>
        </is>
      </c>
      <c r="R102" s="47" t="inlineStr">
        <is>
          <t>Provider of an online dental care platform designed to connect patients with dental care providers. The company's dental care platform offers price and quality information transparently for all procedures and treatments, enabling patients to book appointments, connect and share medical records with doctors.</t>
        </is>
      </c>
      <c r="S102" s="48" t="inlineStr">
        <is>
          <t>San Francisco, CA</t>
        </is>
      </c>
      <c r="T102" s="49" t="inlineStr">
        <is>
          <t>www.zentist.io</t>
        </is>
      </c>
      <c r="U102" s="132">
        <f>HYPERLINK("https://my.pitchbook.com?c=163566-82", "View company online")</f>
      </c>
    </row>
    <row r="103">
      <c r="A103" s="9" t="inlineStr">
        <is>
          <t>97350-94</t>
        </is>
      </c>
      <c r="B103" s="10" t="inlineStr">
        <is>
          <t>Zenti</t>
        </is>
      </c>
      <c r="C103" s="11" t="inlineStr">
        <is>
          <t/>
        </is>
      </c>
      <c r="D103" s="12" t="n">
        <v>0.0</v>
      </c>
      <c r="E103" s="13" t="n">
        <v>0.1891891891891892</v>
      </c>
      <c r="F103" s="14" t="n">
        <v>41891.0</v>
      </c>
      <c r="G103" s="15" t="inlineStr">
        <is>
          <t>Seed Round</t>
        </is>
      </c>
      <c r="H103" s="16" t="inlineStr">
        <is>
          <t>Seed</t>
        </is>
      </c>
      <c r="I103" s="17" t="n">
        <v>1.5</v>
      </c>
      <c r="J103" s="18" t="n">
        <v>8.26</v>
      </c>
      <c r="K103" s="19" t="inlineStr">
        <is>
          <t>Completed</t>
        </is>
      </c>
      <c r="L103" s="20" t="inlineStr">
        <is>
          <t>Privately Held (backing)</t>
        </is>
      </c>
      <c r="M103" s="21" t="inlineStr">
        <is>
          <t>Venture Capital-Backed</t>
        </is>
      </c>
      <c r="N103" s="22" t="inlineStr">
        <is>
          <t>The company raised $1.5 million of seed venture funding from undisclosed investors on September 9, 2014, putting the pre-money valuation at $6.76 million.</t>
        </is>
      </c>
      <c r="O103" s="23" t="inlineStr">
        <is>
          <t/>
        </is>
      </c>
      <c r="P103" s="24" t="inlineStr">
        <is>
          <t/>
        </is>
      </c>
      <c r="Q103" s="25" t="inlineStr">
        <is>
          <t>Application Software</t>
        </is>
      </c>
      <c r="R103" s="26" t="inlineStr">
        <is>
          <t>Developer of a system which combines the most powerful mathematical algorithms with human insights. The company's solutions integrate into existing workflow of market leading document review software while providing all the benefits of the latest in natural language processing and analytics.</t>
        </is>
      </c>
      <c r="S103" s="27" t="inlineStr">
        <is>
          <t>Palo Alto, CA</t>
        </is>
      </c>
      <c r="T103" s="28" t="inlineStr">
        <is>
          <t>www.zenti.com</t>
        </is>
      </c>
      <c r="U103" s="131">
        <f>HYPERLINK("https://my.pitchbook.com?c=97350-94", "View company online")</f>
      </c>
    </row>
    <row r="104">
      <c r="A104" s="30" t="inlineStr">
        <is>
          <t>63924-85</t>
        </is>
      </c>
      <c r="B104" s="31" t="inlineStr">
        <is>
          <t>Zentera Systems</t>
        </is>
      </c>
      <c r="C104" s="32" t="inlineStr">
        <is>
          <t/>
        </is>
      </c>
      <c r="D104" s="33" t="n">
        <v>0.03255750348207651</v>
      </c>
      <c r="E104" s="34" t="n">
        <v>4.659890419949374</v>
      </c>
      <c r="F104" s="35" t="n">
        <v>42853.0</v>
      </c>
      <c r="G104" s="36" t="inlineStr">
        <is>
          <t>Early Stage VC</t>
        </is>
      </c>
      <c r="H104" s="37" t="inlineStr">
        <is>
          <t/>
        </is>
      </c>
      <c r="I104" s="38" t="n">
        <v>2.3</v>
      </c>
      <c r="J104" s="39" t="n">
        <v>43.3</v>
      </c>
      <c r="K104" s="40" t="inlineStr">
        <is>
          <t>Completed</t>
        </is>
      </c>
      <c r="L104" s="41" t="inlineStr">
        <is>
          <t>Privately Held (backing)</t>
        </is>
      </c>
      <c r="M104" s="42" t="inlineStr">
        <is>
          <t>Venture Capital-Backed</t>
        </is>
      </c>
      <c r="N104" s="43" t="inlineStr">
        <is>
          <t>The company raised $2.3 million of venture funding from undisclosed investors on April 17, 2017, putting the pre-money valuation at $41 million.</t>
        </is>
      </c>
      <c r="O104" s="44" t="inlineStr">
        <is>
          <t>CDIB Venture Capital</t>
        </is>
      </c>
      <c r="P104" s="45" t="inlineStr">
        <is>
          <t/>
        </is>
      </c>
      <c r="Q104" s="46" t="inlineStr">
        <is>
          <t>Network Management Software</t>
        </is>
      </c>
      <c r="R104" s="47" t="inlineStr">
        <is>
          <t>Developer of hybrid cloud infrastructure platform designed to address the security and networking needs of the multicloud market. The company's hybrid cloud infrastructure platform offers enterprise-grade networking and security for the emerging cloud ecosystem, protecting the new attack surface exposed by remote cloud endpoints and creates a unified overlay network plane across multiple private and cloud domains that connects dispersed computers, virtual machines and containers, enabling companies to extend production datacenter operations to public, private and managed hosted network domains.</t>
        </is>
      </c>
      <c r="S104" s="48" t="inlineStr">
        <is>
          <t>San Jose, CA</t>
        </is>
      </c>
      <c r="T104" s="49" t="inlineStr">
        <is>
          <t>www.zentera.net</t>
        </is>
      </c>
      <c r="U104" s="132">
        <f>HYPERLINK("https://my.pitchbook.com?c=63924-85", "View company online")</f>
      </c>
    </row>
    <row r="105">
      <c r="A105" s="9" t="inlineStr">
        <is>
          <t>149707-27</t>
        </is>
      </c>
      <c r="B105" s="10" t="inlineStr">
        <is>
          <t>Zenrez</t>
        </is>
      </c>
      <c r="C105" s="11" t="inlineStr">
        <is>
          <t/>
        </is>
      </c>
      <c r="D105" s="12" t="n">
        <v>2.2012700254882316</v>
      </c>
      <c r="E105" s="13" t="n">
        <v>2.9286412320310626</v>
      </c>
      <c r="F105" s="14" t="n">
        <v>42796.0</v>
      </c>
      <c r="G105" s="15" t="inlineStr">
        <is>
          <t>Early Stage VC</t>
        </is>
      </c>
      <c r="H105" s="16" t="inlineStr">
        <is>
          <t>Series A</t>
        </is>
      </c>
      <c r="I105" s="17" t="n">
        <v>6.0</v>
      </c>
      <c r="J105" s="18" t="n">
        <v>25.8</v>
      </c>
      <c r="K105" s="19" t="inlineStr">
        <is>
          <t>Completed</t>
        </is>
      </c>
      <c r="L105" s="20" t="inlineStr">
        <is>
          <t>Privately Held (backing)</t>
        </is>
      </c>
      <c r="M105" s="21" t="inlineStr">
        <is>
          <t>Venture Capital-Backed</t>
        </is>
      </c>
      <c r="N105" s="22" t="inlineStr">
        <is>
          <t>The company raised $6 million of Series A venture funding in a deal led by ARTIS Ventures on March 2, 2017, putting the pre-money valuation at $19.8 million. Summit Action Fund, Precursor Ventures, Nucleus Adventure Capital, C2 Ventures and Transmedia Capital also participated in the round. The funds will be used to fund the company's continued expansion into major cities across the country and to leverage its evolving pricing technology to expand into other fitness and wellness services beyond classes.</t>
        </is>
      </c>
      <c r="O105" s="23" t="inlineStr">
        <is>
          <t>ARTIS Ventures, C2 Ventures, Charles Hudson, Christian Cunningham, Daniel Vogel, Justin Kitch, Nucleus Adventure Capital, Precursor Ventures, Summit Action, Transmedia Capital, WS Investments</t>
        </is>
      </c>
      <c r="P105" s="24" t="inlineStr">
        <is>
          <t/>
        </is>
      </c>
      <c r="Q105" s="25" t="inlineStr">
        <is>
          <t>Application Software</t>
        </is>
      </c>
      <c r="R105" s="26" t="inlineStr">
        <is>
          <t>Developer of a promotional booking platform designed to connect fitness enthusiasts with local boutique studios. The company's platform offers studios that are carefully curated to bring the highest quality classes at the best prices, with no monthly membership or fees, enabling users to discover and book premium classes at the last minute and also helps fitness studios increase the effectiveness of their acquisition and retention efforts.</t>
        </is>
      </c>
      <c r="S105" s="27" t="inlineStr">
        <is>
          <t>San Francisco, CA</t>
        </is>
      </c>
      <c r="T105" s="28" t="inlineStr">
        <is>
          <t>www.zenrez.com</t>
        </is>
      </c>
      <c r="U105" s="131">
        <f>HYPERLINK("https://my.pitchbook.com?c=149707-27", "View company online")</f>
      </c>
    </row>
    <row r="106">
      <c r="A106" s="30" t="inlineStr">
        <is>
          <t>55549-09</t>
        </is>
      </c>
      <c r="B106" s="31" t="inlineStr">
        <is>
          <t>Zenreach</t>
        </is>
      </c>
      <c r="C106" s="32" t="inlineStr">
        <is>
          <t/>
        </is>
      </c>
      <c r="D106" s="33" t="n">
        <v>2.120029277900324</v>
      </c>
      <c r="E106" s="34" t="n">
        <v>11.912947190268484</v>
      </c>
      <c r="F106" s="35" t="n">
        <v>42817.0</v>
      </c>
      <c r="G106" s="36" t="inlineStr">
        <is>
          <t>Later Stage VC</t>
        </is>
      </c>
      <c r="H106" s="37" t="inlineStr">
        <is>
          <t>Series B1</t>
        </is>
      </c>
      <c r="I106" s="38" t="n">
        <v>30.0</v>
      </c>
      <c r="J106" s="39" t="n">
        <v>213.6</v>
      </c>
      <c r="K106" s="40" t="inlineStr">
        <is>
          <t>Completed</t>
        </is>
      </c>
      <c r="L106" s="41" t="inlineStr">
        <is>
          <t>Privately Held (backing)</t>
        </is>
      </c>
      <c r="M106" s="42" t="inlineStr">
        <is>
          <t>Venture Capital-Backed</t>
        </is>
      </c>
      <c r="N106" s="43" t="inlineStr">
        <is>
          <t>The company raised $30 million of Series B1 venture funding from Maverick Ventures (San Francisco), Founders Fund and 8VC on March 23, 2017, putting the pre-money valuation at $183.6 million. Bain Capital Ventures, First Round Capital, SV Angel, Kevin Durant and Ashton Kutcher also participated in the round. The company intends to use the capital to expand into new markets with upcoming product launches and strategic partnerships.</t>
        </is>
      </c>
      <c r="O106" s="44" t="inlineStr">
        <is>
          <t>8VC, Ashton Kutcher, Atomic Labs, Bain Capital Ventures, Danhua Capital, Felicis Ventures, First Round Capital, Formation 8, Founder Collective, Founders Fund, Kevin Ding, Kevin Durant, Maverick Ventures (San Francisco), Nathaniel Turner, SoftTech VC, SV Angel</t>
        </is>
      </c>
      <c r="P106" s="45" t="inlineStr">
        <is>
          <t/>
        </is>
      </c>
      <c r="Q106" s="46" t="inlineStr">
        <is>
          <t>Business/Productivity Software</t>
        </is>
      </c>
      <c r="R106" s="47" t="inlineStr">
        <is>
          <t>Developer of a modern marketing platform designed to provide CRM and marketing automation services for offline businesses. The company's marketing platform allows offline businesses to set up a free WiFi hotspot for their customers, automatically collect customer contact information whenever they join custom-branded free WiFi and keep track of their customers to gain customer insights, enabling brick and mortar businesses of all types and sizes to level up their marketing and customer experiences.</t>
        </is>
      </c>
      <c r="S106" s="48" t="inlineStr">
        <is>
          <t>San Francisco, CA</t>
        </is>
      </c>
      <c r="T106" s="49" t="inlineStr">
        <is>
          <t>www.zenreach.com</t>
        </is>
      </c>
      <c r="U106" s="132">
        <f>HYPERLINK("https://my.pitchbook.com?c=55549-09", "View company online")</f>
      </c>
    </row>
    <row r="107">
      <c r="A107" s="9" t="inlineStr">
        <is>
          <t>61363-18</t>
        </is>
      </c>
      <c r="B107" s="10" t="inlineStr">
        <is>
          <t>Zenput</t>
        </is>
      </c>
      <c r="C107" s="11" t="inlineStr">
        <is>
          <t/>
        </is>
      </c>
      <c r="D107" s="12" t="n">
        <v>0.22467984597889862</v>
      </c>
      <c r="E107" s="13" t="n">
        <v>1.229025364452778</v>
      </c>
      <c r="F107" s="14" t="n">
        <v>42635.0</v>
      </c>
      <c r="G107" s="15" t="inlineStr">
        <is>
          <t>Early Stage VC</t>
        </is>
      </c>
      <c r="H107" s="16" t="inlineStr">
        <is>
          <t/>
        </is>
      </c>
      <c r="I107" s="17" t="n">
        <v>4.33</v>
      </c>
      <c r="J107" s="18" t="n">
        <v>13.59</v>
      </c>
      <c r="K107" s="19" t="inlineStr">
        <is>
          <t>Completed</t>
        </is>
      </c>
      <c r="L107" s="20" t="inlineStr">
        <is>
          <t>Privately Held (backing)</t>
        </is>
      </c>
      <c r="M107" s="21" t="inlineStr">
        <is>
          <t>Venture Capital-Backed</t>
        </is>
      </c>
      <c r="N107" s="22" t="inlineStr">
        <is>
          <t>The company raised $4.33 million through a combination of Series A1 and A2 venture funding from undisclosed investors on September 22, 2016, putting the pre-money valuation at $9.26 million. As a part of this round, all previous Series A shares were re-classed into shares of seed preferred.</t>
        </is>
      </c>
      <c r="O107" s="23" t="inlineStr">
        <is>
          <t>MHS Capital, Version One Ventures</t>
        </is>
      </c>
      <c r="P107" s="24" t="inlineStr">
        <is>
          <t/>
        </is>
      </c>
      <c r="Q107" s="25" t="inlineStr">
        <is>
          <t>Application Software</t>
        </is>
      </c>
      <c r="R107" s="26" t="inlineStr">
        <is>
          <t>Developer of a data aggregation application. The company develops a mobile application that allows enterprises and individuals to collect and aggregate product data.</t>
        </is>
      </c>
      <c r="S107" s="27" t="inlineStr">
        <is>
          <t>San Francisco, CA</t>
        </is>
      </c>
      <c r="T107" s="28" t="inlineStr">
        <is>
          <t>www.zenput.com</t>
        </is>
      </c>
      <c r="U107" s="131">
        <f>HYPERLINK("https://my.pitchbook.com?c=61363-18", "View company online")</f>
      </c>
    </row>
    <row r="108">
      <c r="A108" s="30" t="inlineStr">
        <is>
          <t>155953-72</t>
        </is>
      </c>
      <c r="B108" s="31" t="inlineStr">
        <is>
          <t>Zenprospect</t>
        </is>
      </c>
      <c r="C108" s="32" t="inlineStr">
        <is>
          <t/>
        </is>
      </c>
      <c r="D108" s="33" t="n">
        <v>0.9679517809219113</v>
      </c>
      <c r="E108" s="34" t="n">
        <v>2.5361525253013832</v>
      </c>
      <c r="F108" s="35" t="n">
        <v>42491.0</v>
      </c>
      <c r="G108" s="36" t="inlineStr">
        <is>
          <t>Seed Round</t>
        </is>
      </c>
      <c r="H108" s="37" t="inlineStr">
        <is>
          <t>Seed</t>
        </is>
      </c>
      <c r="I108" s="38" t="n">
        <v>2.2</v>
      </c>
      <c r="J108" s="39" t="inlineStr">
        <is>
          <t/>
        </is>
      </c>
      <c r="K108" s="40" t="inlineStr">
        <is>
          <t>Completed</t>
        </is>
      </c>
      <c r="L108" s="41" t="inlineStr">
        <is>
          <t>Privately Held (backing)</t>
        </is>
      </c>
      <c r="M108" s="42" t="inlineStr">
        <is>
          <t>Venture Capital-Backed</t>
        </is>
      </c>
      <c r="N108" s="43" t="inlineStr">
        <is>
          <t>The company raised $2.2 million of seed funding from Struck Captial, SC Angel, Nexus Venture Partners on May, 2016. Social Capital, ChinaRock Capital and Zhenfund also participated.</t>
        </is>
      </c>
      <c r="O108" s="44" t="inlineStr">
        <is>
          <t>ChinaRock Capital Management, Nexus Venture Partners, Social Capital, Struck Capital, SV Angel, Transmedia Capital, Y Combinator, ZhenFund</t>
        </is>
      </c>
      <c r="P108" s="45" t="inlineStr">
        <is>
          <t/>
        </is>
      </c>
      <c r="Q108" s="46" t="inlineStr">
        <is>
          <t>Business/Productivity Software</t>
        </is>
      </c>
      <c r="R108" s="47" t="inlineStr">
        <is>
          <t>Developer of a sales force integration software. The company develops a software that enables business to identify, acquire and manage outbound email marketing campaigns.</t>
        </is>
      </c>
      <c r="S108" s="48" t="inlineStr">
        <is>
          <t>San Francisco, CA</t>
        </is>
      </c>
      <c r="T108" s="49" t="inlineStr">
        <is>
          <t>www.zenprospect.com</t>
        </is>
      </c>
      <c r="U108" s="132">
        <f>HYPERLINK("https://my.pitchbook.com?c=155953-72", "View company online")</f>
      </c>
    </row>
    <row r="109">
      <c r="A109" s="9" t="inlineStr">
        <is>
          <t>171336-07</t>
        </is>
      </c>
      <c r="B109" s="10" t="inlineStr">
        <is>
          <t>Zenplace</t>
        </is>
      </c>
      <c r="C109" s="11" t="inlineStr">
        <is>
          <t/>
        </is>
      </c>
      <c r="D109" s="12" t="n">
        <v>-1.3004432666043042</v>
      </c>
      <c r="E109" s="13" t="n">
        <v>13.365237592577312</v>
      </c>
      <c r="F109" s="14" t="inlineStr">
        <is>
          <t/>
        </is>
      </c>
      <c r="G109" s="15" t="inlineStr">
        <is>
          <t>Early Stage VC</t>
        </is>
      </c>
      <c r="H109" s="16" t="inlineStr">
        <is>
          <t/>
        </is>
      </c>
      <c r="I109" s="17" t="inlineStr">
        <is>
          <t/>
        </is>
      </c>
      <c r="J109" s="18" t="inlineStr">
        <is>
          <t/>
        </is>
      </c>
      <c r="K109" s="19" t="inlineStr">
        <is>
          <t>Completed</t>
        </is>
      </c>
      <c r="L109" s="20" t="inlineStr">
        <is>
          <t>Privately Held (backing)</t>
        </is>
      </c>
      <c r="M109" s="21" t="inlineStr">
        <is>
          <t>Venture Capital-Backed</t>
        </is>
      </c>
      <c r="N109" s="22" t="inlineStr">
        <is>
          <t>The company raised venture funding from Darling Ventures on an undisclosed date.</t>
        </is>
      </c>
      <c r="O109" s="23" t="inlineStr">
        <is>
          <t>Darling Ventures, Plug and Play Tech Center</t>
        </is>
      </c>
      <c r="P109" s="24" t="inlineStr">
        <is>
          <t/>
        </is>
      </c>
      <c r="Q109" s="25" t="inlineStr">
        <is>
          <t>Real Estate Services (B2C)</t>
        </is>
      </c>
      <c r="R109" s="26" t="inlineStr">
        <is>
          <t>Provider of an online platform intended to offer property management services to property owners, institutional property portfolios and property managers. The company's online platform uses technologies such as artificial intelligence and machine learning to provide a proactive approach to property management, enabling tenants to pay rent easily, extend their lease and report issues with the property.</t>
        </is>
      </c>
      <c r="S109" s="27" t="inlineStr">
        <is>
          <t>Sunnyvale, CA</t>
        </is>
      </c>
      <c r="T109" s="28" t="inlineStr">
        <is>
          <t>www.zenplace.co</t>
        </is>
      </c>
      <c r="U109" s="131">
        <f>HYPERLINK("https://my.pitchbook.com?c=171336-07", "View company online")</f>
      </c>
    </row>
    <row r="110">
      <c r="A110" s="30" t="inlineStr">
        <is>
          <t>12031-66</t>
        </is>
      </c>
      <c r="B110" s="31" t="inlineStr">
        <is>
          <t>Zenoss</t>
        </is>
      </c>
      <c r="C110" s="32" t="n">
        <v>22.43</v>
      </c>
      <c r="D110" s="33" t="n">
        <v>-0.25015700280639136</v>
      </c>
      <c r="E110" s="34" t="n">
        <v>32.65107939289958</v>
      </c>
      <c r="F110" s="35" t="n">
        <v>41176.0</v>
      </c>
      <c r="G110" s="36" t="inlineStr">
        <is>
          <t>Later Stage VC</t>
        </is>
      </c>
      <c r="H110" s="37" t="inlineStr">
        <is>
          <t>Series C</t>
        </is>
      </c>
      <c r="I110" s="38" t="n">
        <v>25.52</v>
      </c>
      <c r="J110" s="39" t="n">
        <v>120.52</v>
      </c>
      <c r="K110" s="40" t="inlineStr">
        <is>
          <t>Completed</t>
        </is>
      </c>
      <c r="L110" s="41" t="inlineStr">
        <is>
          <t>Privately Held (backing)</t>
        </is>
      </c>
      <c r="M110" s="42" t="inlineStr">
        <is>
          <t>Venture Capital-Backed</t>
        </is>
      </c>
      <c r="N110" s="43" t="inlineStr">
        <is>
          <t>The company raised $25.52 million of Series C funding in a deal led by Summit Partners on September 24, 2012, putting the company's pre-money valuation at $95 million. Grotech Ventures, Industry Ventures, Amplifier Ventures, Intersouth Partners, Maryland Venture Fund and Boulder Ventures also participated in the round.</t>
        </is>
      </c>
      <c r="O110" s="44" t="inlineStr">
        <is>
          <t>Amplifier Ventures, Boulder Ventures, Grotech Ventures, Individual Investor, Industry Ventures, Intersouth Partners, Maryland Department of Commerce, Maryland Venture Fund, Silicon Valley Bank, Summit Partners</t>
        </is>
      </c>
      <c r="P110" s="45" t="inlineStr">
        <is>
          <t/>
        </is>
      </c>
      <c r="Q110" s="46" t="inlineStr">
        <is>
          <t>Business/Productivity Software</t>
        </is>
      </c>
      <c r="R110" s="47" t="inlineStr">
        <is>
          <t>Provider of monitoring and analytic software designed to provide complete visibility for cloud, virtual and physical IT environments. The company's monitoring and analytic software helps to manage their networks, servers, virtual devices, storage and cloud infrastructure, gaining complete visibility and predictability into their IT operations, enabling enterprise customers and service providers to transform their businesses.</t>
        </is>
      </c>
      <c r="S110" s="48" t="inlineStr">
        <is>
          <t>Austin, TX</t>
        </is>
      </c>
      <c r="T110" s="49" t="inlineStr">
        <is>
          <t>www.zenoss.com</t>
        </is>
      </c>
      <c r="U110" s="132">
        <f>HYPERLINK("https://my.pitchbook.com?c=12031-66", "View company online")</f>
      </c>
    </row>
    <row r="111">
      <c r="A111" s="9" t="inlineStr">
        <is>
          <t>172945-18</t>
        </is>
      </c>
      <c r="B111" s="10" t="inlineStr">
        <is>
          <t>Zenlayer</t>
        </is>
      </c>
      <c r="C111" s="11" t="inlineStr">
        <is>
          <t/>
        </is>
      </c>
      <c r="D111" s="12" t="n">
        <v>6.158984150394575</v>
      </c>
      <c r="E111" s="13" t="n">
        <v>1.8786162175439995</v>
      </c>
      <c r="F111" s="14" t="n">
        <v>42886.0</v>
      </c>
      <c r="G111" s="15" t="inlineStr">
        <is>
          <t>Early Stage VC</t>
        </is>
      </c>
      <c r="H111" s="16" t="inlineStr">
        <is>
          <t>Series A</t>
        </is>
      </c>
      <c r="I111" s="17" t="n">
        <v>10.0</v>
      </c>
      <c r="J111" s="18" t="inlineStr">
        <is>
          <t/>
        </is>
      </c>
      <c r="K111" s="19" t="inlineStr">
        <is>
          <t>Completed</t>
        </is>
      </c>
      <c r="L111" s="20" t="inlineStr">
        <is>
          <t>Privately Held (backing)</t>
        </is>
      </c>
      <c r="M111" s="21" t="inlineStr">
        <is>
          <t>Venture Capital-Backed</t>
        </is>
      </c>
      <c r="N111" s="22" t="inlineStr">
        <is>
          <t>The company raised $10 million of Series A venture funding led by F&amp;G Venture on May 31, 2017. NSFOCUS and other undisclosed investors also participated in this round. The company will use the capital to accelerate development of its software defined global connection platform and expand its current base of 60+ global data centers.</t>
        </is>
      </c>
      <c r="O111" s="23" t="inlineStr">
        <is>
          <t>F&amp;G Ventures, NSFOCUS Information Technology Co</t>
        </is>
      </c>
      <c r="P111" s="24" t="inlineStr">
        <is>
          <t/>
        </is>
      </c>
      <c r="Q111" s="25" t="inlineStr">
        <is>
          <t>Systems and Information Management</t>
        </is>
      </c>
      <c r="R111" s="26" t="inlineStr">
        <is>
          <t>Provider of global software defined network and services created to offer cloud, businesses and users via on-demand SDN platforms. The company's global connection platform consists of bare metal cloud, SD-WAN and edge computing services, enabling clients to deploy and manage IT resources worldwide to globalize their business within minutes.</t>
        </is>
      </c>
      <c r="S111" s="27" t="inlineStr">
        <is>
          <t>Diamond Bar, CA</t>
        </is>
      </c>
      <c r="T111" s="28" t="inlineStr">
        <is>
          <t>www.zenlayer.com</t>
        </is>
      </c>
      <c r="U111" s="131">
        <f>HYPERLINK("https://my.pitchbook.com?c=172945-18", "View company online")</f>
      </c>
    </row>
    <row r="112">
      <c r="A112" s="30" t="inlineStr">
        <is>
          <t>56559-88</t>
        </is>
      </c>
      <c r="B112" s="31" t="inlineStr">
        <is>
          <t>Zenith Capital</t>
        </is>
      </c>
      <c r="C112" s="32" t="inlineStr">
        <is>
          <t/>
        </is>
      </c>
      <c r="D112" s="33" t="n">
        <v>0.0</v>
      </c>
      <c r="E112" s="34" t="n">
        <v>1.5675675675675675</v>
      </c>
      <c r="F112" s="35" t="n">
        <v>42506.0</v>
      </c>
      <c r="G112" s="36" t="inlineStr">
        <is>
          <t>Early Stage VC</t>
        </is>
      </c>
      <c r="H112" s="37" t="inlineStr">
        <is>
          <t/>
        </is>
      </c>
      <c r="I112" s="38" t="n">
        <v>24.6</v>
      </c>
      <c r="J112" s="39" t="inlineStr">
        <is>
          <t/>
        </is>
      </c>
      <c r="K112" s="40" t="inlineStr">
        <is>
          <t>Completed</t>
        </is>
      </c>
      <c r="L112" s="41" t="inlineStr">
        <is>
          <t>Privately Held (backing)</t>
        </is>
      </c>
      <c r="M112" s="42" t="inlineStr">
        <is>
          <t>Venture Capital-Backed</t>
        </is>
      </c>
      <c r="N112" s="43" t="inlineStr">
        <is>
          <t>The company raised $24.6 million of venture funding from Eastern Capital on May 16, 2016.</t>
        </is>
      </c>
      <c r="O112" s="44" t="inlineStr">
        <is>
          <t>Citibank, Eastern Capital, NGN Capital, Yorkville Advisors</t>
        </is>
      </c>
      <c r="P112" s="45" t="inlineStr">
        <is>
          <t/>
        </is>
      </c>
      <c r="Q112" s="46" t="inlineStr">
        <is>
          <t>Drug Discovery</t>
        </is>
      </c>
      <c r="R112" s="47" t="inlineStr">
        <is>
          <t>Operator of a clinical stage biotechnology company developing epigenetics drugs. The company develops bromodomain (BET) inhibitors for the treatment of cancer and other disorders.</t>
        </is>
      </c>
      <c r="S112" s="48" t="inlineStr">
        <is>
          <t>Calgary, Canada</t>
        </is>
      </c>
      <c r="T112" s="49" t="inlineStr">
        <is>
          <t>www.zenithepigenetics.com</t>
        </is>
      </c>
      <c r="U112" s="132">
        <f>HYPERLINK("https://my.pitchbook.com?c=56559-88", "View company online")</f>
      </c>
    </row>
    <row r="113">
      <c r="A113" s="9" t="inlineStr">
        <is>
          <t>168347-80</t>
        </is>
      </c>
      <c r="B113" s="10" t="inlineStr">
        <is>
          <t>ZenIQ</t>
        </is>
      </c>
      <c r="C113" s="11" t="inlineStr">
        <is>
          <t/>
        </is>
      </c>
      <c r="D113" s="12" t="n">
        <v>0.0</v>
      </c>
      <c r="E113" s="13" t="n">
        <v>0.7202833109981231</v>
      </c>
      <c r="F113" s="14" t="n">
        <v>42394.0</v>
      </c>
      <c r="G113" s="15" t="inlineStr">
        <is>
          <t>Seed Round</t>
        </is>
      </c>
      <c r="H113" s="16" t="inlineStr">
        <is>
          <t>Seed</t>
        </is>
      </c>
      <c r="I113" s="17" t="n">
        <v>1.6</v>
      </c>
      <c r="J113" s="18" t="n">
        <v>8.6</v>
      </c>
      <c r="K113" s="19" t="inlineStr">
        <is>
          <t>Completed</t>
        </is>
      </c>
      <c r="L113" s="20" t="inlineStr">
        <is>
          <t>Privately Held (backing)</t>
        </is>
      </c>
      <c r="M113" s="21" t="inlineStr">
        <is>
          <t>Venture Capital-Backed</t>
        </is>
      </c>
      <c r="N113" s="22" t="inlineStr">
        <is>
          <t>The company raised an estimated $1.6 million of seed venture funding from Costanoa Venture Capital on January 25, 2016, putting the pre-money valuation at $7 million.</t>
        </is>
      </c>
      <c r="O113" s="23" t="inlineStr">
        <is>
          <t>Costanoa Venture Capital</t>
        </is>
      </c>
      <c r="P113" s="24" t="inlineStr">
        <is>
          <t/>
        </is>
      </c>
      <c r="Q113" s="25" t="inlineStr">
        <is>
          <t>Business/Productivity Software</t>
        </is>
      </c>
      <c r="R113" s="26" t="inlineStr">
        <is>
          <t>Provider of an Account-Based Marketing platform. The company provides a marketing system which enables their clients to connect account-centric marketing activities and response from across the enterprise.</t>
        </is>
      </c>
      <c r="S113" s="27" t="inlineStr">
        <is>
          <t>Palo Alto, CA</t>
        </is>
      </c>
      <c r="T113" s="28" t="inlineStr">
        <is>
          <t>www.zeniq.io</t>
        </is>
      </c>
      <c r="U113" s="131">
        <f>HYPERLINK("https://my.pitchbook.com?c=168347-80", "View company online")</f>
      </c>
    </row>
    <row r="114">
      <c r="A114" s="30" t="inlineStr">
        <is>
          <t>64270-90</t>
        </is>
      </c>
      <c r="B114" s="31" t="inlineStr">
        <is>
          <t>Zengularity</t>
        </is>
      </c>
      <c r="C114" s="32" t="n">
        <v>5.14</v>
      </c>
      <c r="D114" s="33" t="n">
        <v>0.3137699816055866</v>
      </c>
      <c r="E114" s="34" t="n">
        <v>1.3489860952646509</v>
      </c>
      <c r="F114" s="35" t="n">
        <v>41337.0</v>
      </c>
      <c r="G114" s="36" t="inlineStr">
        <is>
          <t>Later Stage VC</t>
        </is>
      </c>
      <c r="H114" s="37" t="inlineStr">
        <is>
          <t/>
        </is>
      </c>
      <c r="I114" s="38" t="n">
        <v>4.54</v>
      </c>
      <c r="J114" s="39" t="inlineStr">
        <is>
          <t/>
        </is>
      </c>
      <c r="K114" s="40" t="inlineStr">
        <is>
          <t>Completed</t>
        </is>
      </c>
      <c r="L114" s="41" t="inlineStr">
        <is>
          <t>Privately Held (backing)</t>
        </is>
      </c>
      <c r="M114" s="42" t="inlineStr">
        <is>
          <t>Venture Capital-Backed</t>
        </is>
      </c>
      <c r="N114" s="43" t="inlineStr">
        <is>
          <t>The company raised EUR 3.5 million of venture funding from Entrepreneur Venture and BNP Paribas Capital Partners on March 4, 2013.</t>
        </is>
      </c>
      <c r="O114" s="44" t="inlineStr">
        <is>
          <t>BNP Paribas Capital Partners, Entrepreneur Venture, Paris Incubateurs</t>
        </is>
      </c>
      <c r="P114" s="45" t="inlineStr">
        <is>
          <t/>
        </is>
      </c>
      <c r="Q114" s="46" t="inlineStr">
        <is>
          <t>Software Development Applications</t>
        </is>
      </c>
      <c r="R114" s="47" t="inlineStr">
        <is>
          <t>Developer of enterprise applications and digital platforms designed to accelerate the transition to the digital enterprise. The company's enterprise applications and digital platforms use engaging user experiences, infinite scalability and rigorous security, enabling enterprises to connect digital innovation to their existing heritage.</t>
        </is>
      </c>
      <c r="S114" s="48" t="inlineStr">
        <is>
          <t>Paris, France</t>
        </is>
      </c>
      <c r="T114" s="49" t="inlineStr">
        <is>
          <t>www.zengularity.com</t>
        </is>
      </c>
      <c r="U114" s="132">
        <f>HYPERLINK("https://my.pitchbook.com?c=64270-90", "View company online")</f>
      </c>
    </row>
    <row r="115">
      <c r="A115" s="9" t="inlineStr">
        <is>
          <t>117512-11</t>
        </is>
      </c>
      <c r="B115" s="10" t="inlineStr">
        <is>
          <t>Zengaming</t>
        </is>
      </c>
      <c r="C115" s="11" t="inlineStr">
        <is>
          <t/>
        </is>
      </c>
      <c r="D115" s="12" t="n">
        <v>0.9769691764733149</v>
      </c>
      <c r="E115" s="13" t="n">
        <v>267.12396217145664</v>
      </c>
      <c r="F115" s="14" t="n">
        <v>42473.0</v>
      </c>
      <c r="G115" s="15" t="inlineStr">
        <is>
          <t>Early Stage VC</t>
        </is>
      </c>
      <c r="H115" s="16" t="inlineStr">
        <is>
          <t/>
        </is>
      </c>
      <c r="I115" s="17" t="n">
        <v>2.8</v>
      </c>
      <c r="J115" s="18" t="inlineStr">
        <is>
          <t/>
        </is>
      </c>
      <c r="K115" s="19" t="inlineStr">
        <is>
          <t>Completed</t>
        </is>
      </c>
      <c r="L115" s="20" t="inlineStr">
        <is>
          <t>Privately Held (backing)</t>
        </is>
      </c>
      <c r="M115" s="21" t="inlineStr">
        <is>
          <t>Venture Capital-Backed</t>
        </is>
      </c>
      <c r="N115" s="22" t="inlineStr">
        <is>
          <t>The company raised $2.8 million of venture funding in a deal led by Crown Resorts on April 13, 2016. NFX Guild, 500 Startups, Foundation Capital, iAngels, Shmueli Ahdut and Barak Rabinowitz also participated in the round. The funding will allow the company to expand its operations, recruit more staff and add support services. Previously, the company raised $310,000 of seed funding from 500 Startups, NFX Guild, iAngels and Barak Rabinowitz on September 18, 2015.</t>
        </is>
      </c>
      <c r="O115" s="23" t="inlineStr">
        <is>
          <t>500 Startups, 8200 EISP, Barak Rabinowitz, Crown Resorts, Foundation Capital, iAngels, NFX Guild, Shmueli Ahdut, The Junction</t>
        </is>
      </c>
      <c r="P115" s="24" t="inlineStr">
        <is>
          <t/>
        </is>
      </c>
      <c r="Q115" s="25" t="inlineStr">
        <is>
          <t>Social/Platform Software</t>
        </is>
      </c>
      <c r="R115" s="26" t="inlineStr">
        <is>
          <t>Developer of a social network for e-sports gamers. The company develops a online platform and e-sports discovery network enabling players to connect with teams, sponsors and other sports enthusiasts and also create their professional profile and compete with each other.</t>
        </is>
      </c>
      <c r="S115" s="27" t="inlineStr">
        <is>
          <t>Tel Aviv, Israel</t>
        </is>
      </c>
      <c r="T115" s="28" t="inlineStr">
        <is>
          <t>www.zengaming.com</t>
        </is>
      </c>
      <c r="U115" s="131">
        <f>HYPERLINK("https://my.pitchbook.com?c=117512-11", "View company online")</f>
      </c>
    </row>
    <row r="116">
      <c r="A116" s="30" t="inlineStr">
        <is>
          <t>103227-31</t>
        </is>
      </c>
      <c r="B116" s="31" t="inlineStr">
        <is>
          <t>Zenflow</t>
        </is>
      </c>
      <c r="C116" s="32" t="inlineStr">
        <is>
          <t/>
        </is>
      </c>
      <c r="D116" s="33" t="n">
        <v>0.0</v>
      </c>
      <c r="E116" s="34" t="n">
        <v>0.3894722204044238</v>
      </c>
      <c r="F116" s="35" t="n">
        <v>42156.0</v>
      </c>
      <c r="G116" s="36" t="inlineStr">
        <is>
          <t>Accelerator/Incubator</t>
        </is>
      </c>
      <c r="H116" s="37" t="inlineStr">
        <is>
          <t/>
        </is>
      </c>
      <c r="I116" s="38" t="n">
        <v>0.12</v>
      </c>
      <c r="J116" s="39" t="n">
        <v>1.71</v>
      </c>
      <c r="K116" s="40" t="inlineStr">
        <is>
          <t>Completed</t>
        </is>
      </c>
      <c r="L116" s="41" t="inlineStr">
        <is>
          <t>Privately Held (backing)</t>
        </is>
      </c>
      <c r="M116" s="42" t="inlineStr">
        <is>
          <t>Venture Capital-Backed</t>
        </is>
      </c>
      <c r="N116" s="43" t="inlineStr">
        <is>
          <t>The company joined Y Combinator as part of the winter 2015 class on March 24, 2015, and received $120,000 of funding. On the same day, the company raised $2.14 million of venture funding via crowdfunding platform Helathfundr on February 23, 2015. Stanford Biodesign, IDrive Ventures, Varsity Ventures, StartX Fund, Dorm Room Fund and several undisclosed individual investors also participated in this round. Previously, it has also raised $1.5 in angel funding from Astia group, and other investors on Jan 1, 2015.</t>
        </is>
      </c>
      <c r="O116" s="44" t="inlineStr">
        <is>
          <t>Astia, David Zhao, Dorm Room Fund, Farzad Nazem, Golden Seeds, IDrive Ventures, Joyo Wijaya, MedTech Innovator, National Collegiate Inventors and Innovators Alliance, National Science Foundation, NewDo Venture, Nicholas Mourlas, Paul Buchheit, Roger Bamford, Stanford Biodesign, StartX, SV Tech Ventures, Varsity Ventures, Vijay Mani, Vikas Gupta, Vincent Lo, Wei Guo, Y Combinator</t>
        </is>
      </c>
      <c r="P116" s="45" t="inlineStr">
        <is>
          <t/>
        </is>
      </c>
      <c r="Q116" s="46" t="inlineStr">
        <is>
          <t>Therapeutic Devices</t>
        </is>
      </c>
      <c r="R116" s="47" t="inlineStr">
        <is>
          <t>Developer of a medical device to treat enlarged prostate. The company engages in the development and sale a medical device which can be used by doctors to treat of benign prostatic hyperplasia.</t>
        </is>
      </c>
      <c r="S116" s="48" t="inlineStr">
        <is>
          <t>San Francisco, CA</t>
        </is>
      </c>
      <c r="T116" s="49" t="inlineStr">
        <is>
          <t>www.zenflow.com</t>
        </is>
      </c>
      <c r="U116" s="132">
        <f>HYPERLINK("https://my.pitchbook.com?c=103227-31", "View company online")</f>
      </c>
    </row>
    <row r="117">
      <c r="A117" s="9" t="inlineStr">
        <is>
          <t>56149-21</t>
        </is>
      </c>
      <c r="B117" s="10" t="inlineStr">
        <is>
          <t>Zenefits</t>
        </is>
      </c>
      <c r="C117" s="11" t="n">
        <v>70.6</v>
      </c>
      <c r="D117" s="12" t="n">
        <v>-0.06751827531516294</v>
      </c>
      <c r="E117" s="13" t="n">
        <v>35.70502798303093</v>
      </c>
      <c r="F117" s="14" t="n">
        <v>42137.0</v>
      </c>
      <c r="G117" s="15" t="inlineStr">
        <is>
          <t>Later Stage VC</t>
        </is>
      </c>
      <c r="H117" s="16" t="inlineStr">
        <is>
          <t>Series C</t>
        </is>
      </c>
      <c r="I117" s="17" t="n">
        <v>512.57</v>
      </c>
      <c r="J117" s="18" t="n">
        <v>4500.0</v>
      </c>
      <c r="K117" s="19" t="inlineStr">
        <is>
          <t>Completed</t>
        </is>
      </c>
      <c r="L117" s="20" t="inlineStr">
        <is>
          <t>Privately Held (backing)</t>
        </is>
      </c>
      <c r="M117" s="21" t="inlineStr">
        <is>
          <t>Venture Capital-Backed</t>
        </is>
      </c>
      <c r="N117" s="22" t="inlineStr">
        <is>
          <t>As of March 31, 2016, the company was valued at $5.31 per share by Fidelity Investments, representing a 64.36% markdown from the Series C investment. Due to the repricing of existing stock, the company's value dropped from $4.5 billion to $2 billion. Per terms of the agreement, investors who participated in the company's $500 million Series C round in May 2015 will have their ownership stake increased from around 11% to around 25%. Those that invested in the Series A and Series B rounds will receive small adjustments to offset their dilution. Previously, the company raised $512.57 million of Series C venture funding from lead investor Fidelity Investment and TPG Growth on May 13, 2015, putting the company's pre-money valuation at $3.99 billion. Comcast Ventures, Founders Fund, Khosla Ventures, Insight Venture Partners, Panorama Point Partners, Sound Ventures, Andreessen Horowitz, Institutional Venture Partners, Otter Rock Capital, Peregrine Ventures (California), Team in Residence, Tao Capital Partners and Jared Leto also participated.</t>
        </is>
      </c>
      <c r="O117" s="23" t="inlineStr">
        <is>
          <t>Aaron Levie, Adam Jackson, Alexis Ohanian, Alvin Tse, Andreessen Horowitz, Benjamin (Ben) Narasin, Benjamin Ling, Benjamin Narasin, Bradley Gessler, Brendan Wallace, Charles Cheever, Charles MacInnis, Comcast Ventures, David Petersen, David Sacks, Elad Gil, EPIC Ventures, Fidelity Investments, Foresite Capital Management, Founders Fund, Garry Tan, General Catalyst Partners, Harj Taggar, Hydrazine Capital, Initialized Capital, Insight Venture Partners, IVP, Jared Leto, John Rusenko, Jules Maltz, Justin Kan, Justin Mateen, Khosla Ventures, Link Ventures, Mark Hager, Matt Cutts, Maverick Capital, Otter Rock Capital, Panorama Point Partners, Paul Buchheit, Peregrine Ventures (California), Sohail Prasad, Sound Ventures, SV Angel, Tao Capital Partners, Team in Residence, TPG Growth, Venrock, Y Combinator, Yuri Milner</t>
        </is>
      </c>
      <c r="P117" s="24" t="inlineStr">
        <is>
          <t/>
        </is>
      </c>
      <c r="Q117" s="25" t="inlineStr">
        <is>
          <t>Human Capital Services</t>
        </is>
      </c>
      <c r="R117" s="26" t="inlineStr">
        <is>
          <t>Provider of a connected ecosystem of applications designed to integrate all human resources needs for small businesses.The company's platform allows to manage benefits, employee on-boarding and off-boarding, tracking, selection and management of benefits and insurance plans, payroll, direct deposits and taxes, enabling small businesses to simplify and integrate all of their human resources needs and aspects into one dashboard.</t>
        </is>
      </c>
      <c r="S117" s="27" t="inlineStr">
        <is>
          <t>San Francisco, CA</t>
        </is>
      </c>
      <c r="T117" s="28" t="inlineStr">
        <is>
          <t>www.zenefits.com</t>
        </is>
      </c>
      <c r="U117" s="131">
        <f>HYPERLINK("https://my.pitchbook.com?c=56149-21", "View company online")</f>
      </c>
    </row>
    <row r="118">
      <c r="A118" s="30" t="inlineStr">
        <is>
          <t>98150-68</t>
        </is>
      </c>
      <c r="B118" s="31" t="inlineStr">
        <is>
          <t>Zenedge</t>
        </is>
      </c>
      <c r="C118" s="32" t="inlineStr">
        <is>
          <t/>
        </is>
      </c>
      <c r="D118" s="33" t="n">
        <v>0.6348517499179006</v>
      </c>
      <c r="E118" s="34" t="n">
        <v>6.774982501714263</v>
      </c>
      <c r="F118" s="35" t="n">
        <v>42620.0</v>
      </c>
      <c r="G118" s="36" t="inlineStr">
        <is>
          <t>Later Stage VC</t>
        </is>
      </c>
      <c r="H118" s="37" t="inlineStr">
        <is>
          <t>Series C</t>
        </is>
      </c>
      <c r="I118" s="38" t="n">
        <v>6.2</v>
      </c>
      <c r="J118" s="39" t="n">
        <v>32.5</v>
      </c>
      <c r="K118" s="40" t="inlineStr">
        <is>
          <t>Completed</t>
        </is>
      </c>
      <c r="L118" s="41" t="inlineStr">
        <is>
          <t>Privately Held (backing)</t>
        </is>
      </c>
      <c r="M118" s="42" t="inlineStr">
        <is>
          <t>Venture Capital-Backed</t>
        </is>
      </c>
      <c r="N118" s="43" t="inlineStr">
        <is>
          <t>The company raised $6.2 million of Series C venture funding led by Pilot Growth Equity on September 7, 2016, putting the pre-money valuation at $26.29 million. Zoho, Telus Ventures, Yehuda Neuberger and other undisclosed investors also participated. The company plans to leverage the new capital to accelerate global expansion efforts, sales and marketing activities and additional investment in its patent-pending technology.</t>
        </is>
      </c>
      <c r="O118" s="44" t="inlineStr">
        <is>
          <t>Andrew Malik, Fred Sorkin, Individual Investor, Pilot Growth Equity, TELUS Ventures, Yehuda Neuberger, Zoho</t>
        </is>
      </c>
      <c r="P118" s="45" t="inlineStr">
        <is>
          <t/>
        </is>
      </c>
      <c r="Q118" s="46" t="inlineStr">
        <is>
          <t>Network Management Software</t>
        </is>
      </c>
      <c r="R118" s="47" t="inlineStr">
        <is>
          <t>Provider of web application security and distributed denial-of-service mitigation. The company provides a security platform that helps to secure web sites, web applications and networks against vulnerabilities and Distributed Denial of Service (DDoS) attacks.</t>
        </is>
      </c>
      <c r="S118" s="48" t="inlineStr">
        <is>
          <t>Aventura, FL</t>
        </is>
      </c>
      <c r="T118" s="49" t="inlineStr">
        <is>
          <t>www.zenedge.com</t>
        </is>
      </c>
      <c r="U118" s="132">
        <f>HYPERLINK("https://my.pitchbook.com?c=98150-68", "View company online")</f>
      </c>
    </row>
    <row r="119">
      <c r="A119" s="9" t="inlineStr">
        <is>
          <t>121074-85</t>
        </is>
      </c>
      <c r="B119" s="10" t="inlineStr">
        <is>
          <t>ZendyHealth</t>
        </is>
      </c>
      <c r="C119" s="11" t="inlineStr">
        <is>
          <t/>
        </is>
      </c>
      <c r="D119" s="12" t="n">
        <v>0.5998207138983918</v>
      </c>
      <c r="E119" s="13" t="n">
        <v>6.384859667542055</v>
      </c>
      <c r="F119" s="14" t="n">
        <v>42464.0</v>
      </c>
      <c r="G119" s="15" t="inlineStr">
        <is>
          <t>Accelerator/Incubator</t>
        </is>
      </c>
      <c r="H119" s="16" t="inlineStr">
        <is>
          <t/>
        </is>
      </c>
      <c r="I119" s="17" t="n">
        <v>0.12</v>
      </c>
      <c r="J119" s="18" t="n">
        <v>0.33</v>
      </c>
      <c r="K119" s="19" t="inlineStr">
        <is>
          <t>Completed</t>
        </is>
      </c>
      <c r="L119" s="20" t="inlineStr">
        <is>
          <t>Privately Held (backing)</t>
        </is>
      </c>
      <c r="M119" s="21" t="inlineStr">
        <is>
          <t>Venture Capital-Backed</t>
        </is>
      </c>
      <c r="N119" s="22" t="inlineStr">
        <is>
          <t>The company joined Techstars as part of the Healthcare 2016 Spring Class and received $120,000 in funding on April 4, 2016. As per the deal $100,000 was raised as convertible debt.</t>
        </is>
      </c>
      <c r="O119" s="23" t="inlineStr">
        <is>
          <t>500 Startups, Ali Rowghani, Miramar Ventures, StartX, Techstars</t>
        </is>
      </c>
      <c r="P119" s="24" t="inlineStr">
        <is>
          <t/>
        </is>
      </c>
      <c r="Q119" s="25" t="inlineStr">
        <is>
          <t>Other Healthcare Services</t>
        </is>
      </c>
      <c r="R119" s="26" t="inlineStr">
        <is>
          <t>Provider of an online marketplace for cosmetic, dental and medical procedures. The company offers a platform to find and book popular cosmetic, dental and medical procedures, such as Botox, laser teeth whitening, and CT / MRI scans.</t>
        </is>
      </c>
      <c r="S119" s="27" t="inlineStr">
        <is>
          <t>Los Angeles, CA</t>
        </is>
      </c>
      <c r="T119" s="28" t="inlineStr">
        <is>
          <t>www.zendyhealth.com</t>
        </is>
      </c>
      <c r="U119" s="131">
        <f>HYPERLINK("https://my.pitchbook.com?c=121074-85", "View company online")</f>
      </c>
    </row>
    <row r="120">
      <c r="A120" s="30" t="inlineStr">
        <is>
          <t>58683-16</t>
        </is>
      </c>
      <c r="B120" s="31" t="inlineStr">
        <is>
          <t>Zendrive</t>
        </is>
      </c>
      <c r="C120" s="32" t="inlineStr">
        <is>
          <t/>
        </is>
      </c>
      <c r="D120" s="33" t="n">
        <v>1.040358591126321</v>
      </c>
      <c r="E120" s="34" t="n">
        <v>6.196560899250656</v>
      </c>
      <c r="F120" s="35" t="n">
        <v>42405.0</v>
      </c>
      <c r="G120" s="36" t="inlineStr">
        <is>
          <t>Early Stage VC</t>
        </is>
      </c>
      <c r="H120" s="37" t="inlineStr">
        <is>
          <t>Series A</t>
        </is>
      </c>
      <c r="I120" s="38" t="n">
        <v>15.12</v>
      </c>
      <c r="J120" s="39" t="n">
        <v>43.76</v>
      </c>
      <c r="K120" s="40" t="inlineStr">
        <is>
          <t>Completed</t>
        </is>
      </c>
      <c r="L120" s="41" t="inlineStr">
        <is>
          <t>Privately Held (backing)</t>
        </is>
      </c>
      <c r="M120" s="42" t="inlineStr">
        <is>
          <t>Venture Capital-Backed</t>
        </is>
      </c>
      <c r="N120" s="43" t="inlineStr">
        <is>
          <t>The company raised $15.12 million of Series A venture funding from lead investor Shervin Pishevar of Sherpa Capital on February 5, 2016, putting the company's pre-money valuation at $28.64 million. Collaborative Fund, Nyca Partners, Thomvest Ventures, BMW i Ventures, First Round Capital, IT-Farm Corporation, Fontinalis Partners, Trucks Venture Capital and Tad Montross also participated. The company will use funds to grow its team and continue developing its road safety technology. Previously, the company joined TechLab at Mcity as part of the 2016 batch and received an undisclosed amount in funding.</t>
        </is>
      </c>
      <c r="O120" s="44" t="inlineStr">
        <is>
          <t>Adrian Aoun, AME Cloud Ventures, Amitt Mahajan, Bill Trenchard, BMW i Ventures, Chris Hulls, Collaborative Fund, Expansion Venture Capital, First Round Capital, Fontinalis Partners, Franklin Montross, Individual Investor, IT-Farm Corporation, Jerry Yang, Konstantin Othmer, Lars Rasmussen, Lee Linden, Loïc Le Meur, Max Levchin, Nick Hammerschlag, Nyca Partners, Othman Laraki, Ryan Melohn, Samuel Lessin, Sherpa Capital, TechLab at Mcity, Thomvest Ventures, Timothy Ferriss, Trucks Venture Capital, Tuspark Ventures, William Tai</t>
        </is>
      </c>
      <c r="P120" s="45" t="inlineStr">
        <is>
          <t/>
        </is>
      </c>
      <c r="Q120" s="46" t="inlineStr">
        <is>
          <t>Application Software</t>
        </is>
      </c>
      <c r="R120" s="47" t="inlineStr">
        <is>
          <t>Provider of driving data utilizing smartphone sensors. The company has developed an application which tracks location, direction, acceleration and speed with the help of smartphone sensors.</t>
        </is>
      </c>
      <c r="S120" s="48" t="inlineStr">
        <is>
          <t>San Francisco, CA</t>
        </is>
      </c>
      <c r="T120" s="49" t="inlineStr">
        <is>
          <t>www.zendrive.com</t>
        </is>
      </c>
      <c r="U120" s="132">
        <f>HYPERLINK("https://my.pitchbook.com?c=58683-16", "View company online")</f>
      </c>
    </row>
    <row r="121">
      <c r="A121" s="9" t="inlineStr">
        <is>
          <t>107075-44</t>
        </is>
      </c>
      <c r="B121" s="10" t="inlineStr">
        <is>
          <t>Zenbox</t>
        </is>
      </c>
      <c r="C121" s="11" t="inlineStr">
        <is>
          <t/>
        </is>
      </c>
      <c r="D121" s="12" t="n">
        <v>-0.10138396575116089</v>
      </c>
      <c r="E121" s="13" t="n">
        <v>0.6963658573828065</v>
      </c>
      <c r="F121" s="14" t="n">
        <v>41791.0</v>
      </c>
      <c r="G121" s="15" t="inlineStr">
        <is>
          <t>Early Stage VC</t>
        </is>
      </c>
      <c r="H121" s="16" t="inlineStr">
        <is>
          <t/>
        </is>
      </c>
      <c r="I121" s="17" t="inlineStr">
        <is>
          <t/>
        </is>
      </c>
      <c r="J121" s="18" t="inlineStr">
        <is>
          <t/>
        </is>
      </c>
      <c r="K121" s="19" t="inlineStr">
        <is>
          <t>Completed</t>
        </is>
      </c>
      <c r="L121" s="20" t="inlineStr">
        <is>
          <t>Privately Held (backing)</t>
        </is>
      </c>
      <c r="M121" s="21" t="inlineStr">
        <is>
          <t>Venture Capital-Backed</t>
        </is>
      </c>
      <c r="N121" s="22" t="inlineStr">
        <is>
          <t>The company raised an undisclosed amount of venture funding from Blockchain Capital in June 2014.</t>
        </is>
      </c>
      <c r="O121" s="23" t="inlineStr">
        <is>
          <t>Blockchain Capital, Resolute Ventures</t>
        </is>
      </c>
      <c r="P121" s="24" t="inlineStr">
        <is>
          <t/>
        </is>
      </c>
      <c r="Q121" s="25" t="inlineStr">
        <is>
          <t>Other Financial Services</t>
        </is>
      </c>
      <c r="R121" s="26" t="inlineStr">
        <is>
          <t>Provider of bitcoin kiosks. The company offers a machine which acts as an exchange platform for digital currencies by providing access points for anyone to buy and sell bitcoin, pay bills, buy gift cards and buy phone cards.</t>
        </is>
      </c>
      <c r="S121" s="27" t="inlineStr">
        <is>
          <t>Santa Monica, CA</t>
        </is>
      </c>
      <c r="T121" s="28" t="inlineStr">
        <is>
          <t>www.zenbox.us</t>
        </is>
      </c>
      <c r="U121" s="131">
        <f>HYPERLINK("https://my.pitchbook.com?c=107075-44", "View company online")</f>
      </c>
    </row>
    <row r="122">
      <c r="A122" s="30" t="inlineStr">
        <is>
          <t>52923-97</t>
        </is>
      </c>
      <c r="B122" s="31" t="inlineStr">
        <is>
          <t>Zemanta</t>
        </is>
      </c>
      <c r="C122" s="32" t="n">
        <v>1.14</v>
      </c>
      <c r="D122" s="33" t="n">
        <v>-0.5423368416384304</v>
      </c>
      <c r="E122" s="34" t="n">
        <v>264.32298800537563</v>
      </c>
      <c r="F122" s="35" t="n">
        <v>42391.0</v>
      </c>
      <c r="G122" s="36" t="inlineStr">
        <is>
          <t>Later Stage VC</t>
        </is>
      </c>
      <c r="H122" s="37" t="inlineStr">
        <is>
          <t/>
        </is>
      </c>
      <c r="I122" s="38" t="n">
        <v>3.23</v>
      </c>
      <c r="J122" s="39" t="inlineStr">
        <is>
          <t/>
        </is>
      </c>
      <c r="K122" s="40" t="inlineStr">
        <is>
          <t>Completed</t>
        </is>
      </c>
      <c r="L122" s="41" t="inlineStr">
        <is>
          <t>Privately Held (backing)</t>
        </is>
      </c>
      <c r="M122" s="42" t="inlineStr">
        <is>
          <t>Venture Capital-Backed</t>
        </is>
      </c>
      <c r="N122" s="43" t="inlineStr">
        <is>
          <t>The company raised $3.23 million of venture funding from undisclosed investors on January 22, 2016.</t>
        </is>
      </c>
      <c r="O122" s="44" t="inlineStr">
        <is>
          <t>Eden Ventures, LocalGlobe, Mike Edelhart, Robin Klein, Saul Klein, Seedcamp, Social Starts, The Acceleration Group, Union Square Ventures, William Lohse</t>
        </is>
      </c>
      <c r="P122" s="45" t="inlineStr">
        <is>
          <t/>
        </is>
      </c>
      <c r="Q122" s="46" t="inlineStr">
        <is>
          <t>Social/Platform Software</t>
        </is>
      </c>
      <c r="R122" s="47" t="inlineStr">
        <is>
          <t>Provider of online content creation and discovery tools for bloggers. The company offers tools that enable users to discover and find content on the Internet, as well as bring photos, links, tags, reblogs and documents to their blogs.</t>
        </is>
      </c>
      <c r="S122" s="48" t="inlineStr">
        <is>
          <t>New York, NY</t>
        </is>
      </c>
      <c r="T122" s="49" t="inlineStr">
        <is>
          <t>www.zemanta.com</t>
        </is>
      </c>
      <c r="U122" s="132">
        <f>HYPERLINK("https://my.pitchbook.com?c=52923-97", "View company online")</f>
      </c>
    </row>
    <row r="123">
      <c r="A123" s="9" t="inlineStr">
        <is>
          <t>58423-60</t>
        </is>
      </c>
      <c r="B123" s="10" t="inlineStr">
        <is>
          <t>Zelgor</t>
        </is>
      </c>
      <c r="C123" s="11" t="inlineStr">
        <is>
          <t/>
        </is>
      </c>
      <c r="D123" s="12" t="n">
        <v>0.3464063184354178</v>
      </c>
      <c r="E123" s="13" t="n">
        <v>0.25939501455345226</v>
      </c>
      <c r="F123" s="14" t="inlineStr">
        <is>
          <t/>
        </is>
      </c>
      <c r="G123" s="15" t="inlineStr">
        <is>
          <t/>
        </is>
      </c>
      <c r="H123" s="16" t="inlineStr">
        <is>
          <t/>
        </is>
      </c>
      <c r="I123" s="17" t="inlineStr">
        <is>
          <t/>
        </is>
      </c>
      <c r="J123" s="18" t="inlineStr">
        <is>
          <t/>
        </is>
      </c>
      <c r="K123" s="19" t="inlineStr">
        <is>
          <t/>
        </is>
      </c>
      <c r="L123" s="20" t="inlineStr">
        <is>
          <t>Privately Held (backing)</t>
        </is>
      </c>
      <c r="M123" s="21" t="inlineStr">
        <is>
          <t>Venture Capital-Backed</t>
        </is>
      </c>
      <c r="N123" s="22" t="inlineStr">
        <is>
          <t>The company raised $250,000 of seed funding from Timothy Draper, Larry Sonsini and NetCapital Systems on August 1, 2012.</t>
        </is>
      </c>
      <c r="O123" s="23" t="inlineStr">
        <is>
          <t/>
        </is>
      </c>
      <c r="P123" s="24" t="inlineStr">
        <is>
          <t/>
        </is>
      </c>
      <c r="Q123" s="25" t="inlineStr">
        <is>
          <t>Entertainment Software</t>
        </is>
      </c>
      <c r="R123" s="26" t="inlineStr">
        <is>
          <t>Operator of an online gaming platform. The company provides a location-based gaming application that enables users to find friends and virtually capture them.</t>
        </is>
      </c>
      <c r="S123" s="27" t="inlineStr">
        <is>
          <t>Cambridge, MA</t>
        </is>
      </c>
      <c r="T123" s="28" t="inlineStr">
        <is>
          <t>www.zelgor.com</t>
        </is>
      </c>
      <c r="U123" s="131">
        <f>HYPERLINK("https://my.pitchbook.com?c=58423-60", "View company online")</f>
      </c>
    </row>
    <row r="124">
      <c r="A124" s="30" t="inlineStr">
        <is>
          <t>115406-29</t>
        </is>
      </c>
      <c r="B124" s="31" t="inlineStr">
        <is>
          <t>Zelegent</t>
        </is>
      </c>
      <c r="C124" s="32" t="inlineStr">
        <is>
          <t/>
        </is>
      </c>
      <c r="D124" s="33" t="n">
        <v>0.0</v>
      </c>
      <c r="E124" s="34" t="n">
        <v>0.07768003554665309</v>
      </c>
      <c r="F124" s="35" t="n">
        <v>42327.0</v>
      </c>
      <c r="G124" s="36" t="inlineStr">
        <is>
          <t>Early Stage VC</t>
        </is>
      </c>
      <c r="H124" s="37" t="inlineStr">
        <is>
          <t>Series A</t>
        </is>
      </c>
      <c r="I124" s="38" t="n">
        <v>2.5</v>
      </c>
      <c r="J124" s="39" t="n">
        <v>5.5</v>
      </c>
      <c r="K124" s="40" t="inlineStr">
        <is>
          <t>Completed</t>
        </is>
      </c>
      <c r="L124" s="41" t="inlineStr">
        <is>
          <t>Privately Held (backing)</t>
        </is>
      </c>
      <c r="M124" s="42" t="inlineStr">
        <is>
          <t>Venture Capital-Backed</t>
        </is>
      </c>
      <c r="N124" s="43" t="inlineStr">
        <is>
          <t>The company raised $2.5 million of Series A venture funding in a deal led by Alphaeon on November 19 2015, putting the company's pre-money valuation at $3 million. Other undisclosed investors also participated in this round. Prior to that, the company joined EvoNexus in May 2015.</t>
        </is>
      </c>
      <c r="O124" s="44" t="inlineStr">
        <is>
          <t>Alphaeon, EvoNexus</t>
        </is>
      </c>
      <c r="P124" s="45" t="inlineStr">
        <is>
          <t/>
        </is>
      </c>
      <c r="Q124" s="46" t="inlineStr">
        <is>
          <t>Diagnostic Equipment</t>
        </is>
      </c>
      <c r="R124" s="47" t="inlineStr">
        <is>
          <t>Developer of medical tools for physicians for the treatment of sleep disorders. The company works to develop, manufacture, and commercialize a novel, minimally-invasive, advanced medical device to be used by sleep specialist otolaryngologists to treat snoring. The device is intended to shorten, suspend, and stiffen the patient's soft palate to treat snoring. The clinical technique, Elevoplasty™, is an office-based procedure designed to be less invasive than today's surgical options.</t>
        </is>
      </c>
      <c r="S124" s="48" t="inlineStr">
        <is>
          <t>Irvine, CA</t>
        </is>
      </c>
      <c r="T124" s="49" t="inlineStr">
        <is>
          <t>www.zelegent.com</t>
        </is>
      </c>
      <c r="U124" s="132">
        <f>HYPERLINK("https://my.pitchbook.com?c=115406-29", "View company online")</f>
      </c>
    </row>
    <row r="125">
      <c r="A125" s="9" t="inlineStr">
        <is>
          <t>150765-13</t>
        </is>
      </c>
      <c r="B125" s="10" t="inlineStr">
        <is>
          <t>Zekira</t>
        </is>
      </c>
      <c r="C125" s="11" t="inlineStr">
        <is>
          <t/>
        </is>
      </c>
      <c r="D125" s="12" t="n">
        <v>0.0</v>
      </c>
      <c r="E125" s="13" t="n">
        <v>0.40738406318730563</v>
      </c>
      <c r="F125" s="14" t="n">
        <v>41234.0</v>
      </c>
      <c r="G125" s="15" t="inlineStr">
        <is>
          <t>Early Stage VC</t>
        </is>
      </c>
      <c r="H125" s="16" t="inlineStr">
        <is>
          <t/>
        </is>
      </c>
      <c r="I125" s="17" t="inlineStr">
        <is>
          <t/>
        </is>
      </c>
      <c r="J125" s="18" t="inlineStr">
        <is>
          <t/>
        </is>
      </c>
      <c r="K125" s="19" t="inlineStr">
        <is>
          <t>Completed</t>
        </is>
      </c>
      <c r="L125" s="20" t="inlineStr">
        <is>
          <t>Privately Held (backing)</t>
        </is>
      </c>
      <c r="M125" s="21" t="inlineStr">
        <is>
          <t>Venture Capital-Backed</t>
        </is>
      </c>
      <c r="N125" s="22" t="inlineStr">
        <is>
          <t>The company raised venture funding from Klein Venture Partners on November 21, 2012.</t>
        </is>
      </c>
      <c r="O125" s="23" t="inlineStr">
        <is>
          <t>Klein Venture Partners</t>
        </is>
      </c>
      <c r="P125" s="24" t="inlineStr">
        <is>
          <t/>
        </is>
      </c>
      <c r="Q125" s="25" t="inlineStr">
        <is>
          <t>Automation/Workflow Software</t>
        </is>
      </c>
      <c r="R125" s="26" t="inlineStr">
        <is>
          <t>Developer of a file indexing software. The company develops Zekira, a computer file indexing software. The software helps a client to find half-remembered information buried in client’s archives; runs on Macs and PCs; and provides content analysis to identify related documents.</t>
        </is>
      </c>
      <c r="S125" s="27" t="inlineStr">
        <is>
          <t>San Jose, CA</t>
        </is>
      </c>
      <c r="T125" s="28" t="inlineStr">
        <is>
          <t>zekira.com</t>
        </is>
      </c>
      <c r="U125" s="131">
        <f>HYPERLINK("https://my.pitchbook.com?c=150765-13", "View company online")</f>
      </c>
    </row>
    <row r="126">
      <c r="A126" s="30" t="inlineStr">
        <is>
          <t>51251-68</t>
        </is>
      </c>
      <c r="B126" s="31" t="inlineStr">
        <is>
          <t>Zefr</t>
        </is>
      </c>
      <c r="C126" s="32" t="inlineStr">
        <is>
          <t/>
        </is>
      </c>
      <c r="D126" s="33" t="n">
        <v>0.09243470373897343</v>
      </c>
      <c r="E126" s="34" t="n">
        <v>6.325074379569589</v>
      </c>
      <c r="F126" s="35" t="n">
        <v>42437.0</v>
      </c>
      <c r="G126" s="36" t="inlineStr">
        <is>
          <t>Later Stage VC</t>
        </is>
      </c>
      <c r="H126" s="37" t="inlineStr">
        <is>
          <t/>
        </is>
      </c>
      <c r="I126" s="38" t="n">
        <v>5.0</v>
      </c>
      <c r="J126" s="39" t="inlineStr">
        <is>
          <t/>
        </is>
      </c>
      <c r="K126" s="40" t="inlineStr">
        <is>
          <t>Completed</t>
        </is>
      </c>
      <c r="L126" s="41" t="inlineStr">
        <is>
          <t>Privately Held (backing)</t>
        </is>
      </c>
      <c r="M126" s="42" t="inlineStr">
        <is>
          <t>Venture Capital-Backed</t>
        </is>
      </c>
      <c r="N126" s="43" t="inlineStr">
        <is>
          <t>The company received $5 million of bridge financing from MK Capital, US Venture Partners, Broadway Video Ventures and undisclosed investors on March 8, 2016.</t>
        </is>
      </c>
      <c r="O126" s="44" t="inlineStr">
        <is>
          <t>Broadway Video, CNF Investments, Felicis Ventures, First Round Capital, Gordon Rubenstein, Individual Investor, IVP, Jeff Kearl, Launchpad LA, MK Capital, Naval Ravikant, Richmond Park Partners, Shasta Ventures, SoftTech VC, Third Wave Digital, Thomas McInerney, US Venture Partners</t>
        </is>
      </c>
      <c r="P126" s="45" t="inlineStr">
        <is>
          <t/>
        </is>
      </c>
      <c r="Q126" s="46" t="inlineStr">
        <is>
          <t>Media and Information Services (B2B)</t>
        </is>
      </c>
      <c r="R126" s="47" t="inlineStr">
        <is>
          <t>Provider of content rights management to movie studios on YouTube. The company allows its users to search, find, watch, discuss and share clips from movies. It also offers a website that offers a collection of movie clips on YouTube.</t>
        </is>
      </c>
      <c r="S126" s="48" t="inlineStr">
        <is>
          <t>Los Angeles, CA</t>
        </is>
      </c>
      <c r="T126" s="49" t="inlineStr">
        <is>
          <t>www.zefr.com</t>
        </is>
      </c>
      <c r="U126" s="132">
        <f>HYPERLINK("https://my.pitchbook.com?c=51251-68", "View company online")</f>
      </c>
    </row>
    <row r="127">
      <c r="A127" s="9" t="inlineStr">
        <is>
          <t>125099-65</t>
        </is>
      </c>
      <c r="B127" s="10" t="inlineStr">
        <is>
          <t>ZeeMee</t>
        </is>
      </c>
      <c r="C127" s="11" t="inlineStr">
        <is>
          <t/>
        </is>
      </c>
      <c r="D127" s="12" t="n">
        <v>0.9688221197224107</v>
      </c>
      <c r="E127" s="13" t="n">
        <v>7.791270181119113</v>
      </c>
      <c r="F127" s="14" t="n">
        <v>42277.0</v>
      </c>
      <c r="G127" s="15" t="inlineStr">
        <is>
          <t>Early Stage VC</t>
        </is>
      </c>
      <c r="H127" s="16" t="inlineStr">
        <is>
          <t>Series A</t>
        </is>
      </c>
      <c r="I127" s="17" t="n">
        <v>5.8</v>
      </c>
      <c r="J127" s="18" t="n">
        <v>23.52</v>
      </c>
      <c r="K127" s="19" t="inlineStr">
        <is>
          <t>Completed</t>
        </is>
      </c>
      <c r="L127" s="20" t="inlineStr">
        <is>
          <t>Privately Held (backing)</t>
        </is>
      </c>
      <c r="M127" s="21" t="inlineStr">
        <is>
          <t>Venture Capital-Backed</t>
        </is>
      </c>
      <c r="N127" s="22" t="inlineStr">
        <is>
          <t>The company raised $5.8 million of Series A venture funding in a deal led by BlueRun Ventures on September 30, 2015, putting the company's pre-money valuation at $17.72 million. Malaysia Venture Capital Management and Elixir Capital also participated in the round. The funding will be utilized to hire people.</t>
        </is>
      </c>
      <c r="O127" s="23" t="inlineStr">
        <is>
          <t>BlueRun Ventures, Elixir Capital, Malaysia Venture Capital Management</t>
        </is>
      </c>
      <c r="P127" s="24" t="inlineStr">
        <is>
          <t/>
        </is>
      </c>
      <c r="Q127" s="25" t="inlineStr">
        <is>
          <t>Application Software</t>
        </is>
      </c>
      <c r="R127" s="26" t="inlineStr">
        <is>
          <t>Provider of a social media platform that focuses on helping students transition from high school to college by empowering them to share their unique story through video in the application process and connect them through exclusive communities prior to and during their college experience. ZeeMee is the first and only professional social media platform to be exclusively requested by over 200 colleges/universities in their application. ZeeMee offers the opportunity for students to engage with peers once they decide on a school, find roommates, meet others in the programs and use a school-specific chat function. ZeeMee's vision is to provide all students utility services on our platform throughout their college career and beyond.</t>
        </is>
      </c>
      <c r="S127" s="27" t="inlineStr">
        <is>
          <t>Redwood City, CA</t>
        </is>
      </c>
      <c r="T127" s="28" t="inlineStr">
        <is>
          <t>www.zeemee.com</t>
        </is>
      </c>
      <c r="U127" s="131">
        <f>HYPERLINK("https://my.pitchbook.com?c=125099-65", "View company online")</f>
      </c>
    </row>
    <row r="128">
      <c r="A128" s="30" t="inlineStr">
        <is>
          <t>56235-52</t>
        </is>
      </c>
      <c r="B128" s="31" t="inlineStr">
        <is>
          <t>Zedo</t>
        </is>
      </c>
      <c r="C128" s="32" t="inlineStr">
        <is>
          <t/>
        </is>
      </c>
      <c r="D128" s="33" t="n">
        <v>0.45543635520150605</v>
      </c>
      <c r="E128" s="34" t="n">
        <v>17.659149991132303</v>
      </c>
      <c r="F128" s="35" t="inlineStr">
        <is>
          <t/>
        </is>
      </c>
      <c r="G128" s="36" t="inlineStr">
        <is>
          <t>Early Stage VC</t>
        </is>
      </c>
      <c r="H128" s="37" t="inlineStr">
        <is>
          <t/>
        </is>
      </c>
      <c r="I128" s="38" t="inlineStr">
        <is>
          <t/>
        </is>
      </c>
      <c r="J128" s="39" t="inlineStr">
        <is>
          <t/>
        </is>
      </c>
      <c r="K128" s="40" t="inlineStr">
        <is>
          <t>Completed</t>
        </is>
      </c>
      <c r="L128" s="41" t="inlineStr">
        <is>
          <t>Privately Held (backing)</t>
        </is>
      </c>
      <c r="M128" s="42" t="inlineStr">
        <is>
          <t>Venture Capital-Backed</t>
        </is>
      </c>
      <c r="N128" s="43" t="inlineStr">
        <is>
          <t>The company raised venture funding from Vencore Capital, Anthelion Capital and Russian Hill Ventures on an undisclosed date. WS Investments, D.A.Consortium, Ramesh Haridas and Esther Dyson also participated.</t>
        </is>
      </c>
      <c r="O128" s="44" t="inlineStr">
        <is>
          <t>Anthelion Capital, D.A.Consortium, Esther Dyson, Ramesh Haridas, Russian Hill Ventures, Vencore Capital, WS Investments</t>
        </is>
      </c>
      <c r="P128" s="45" t="inlineStr">
        <is>
          <t/>
        </is>
      </c>
      <c r="Q128" s="46" t="inlineStr">
        <is>
          <t>Media and Information Services (B2B)</t>
        </is>
      </c>
      <c r="R128" s="47" t="inlineStr">
        <is>
          <t>Provider of digital advertising services. The company's platform offers services like, advertising network optimization, media formatting for publishers, advertisement serving and behavioral targeting data which is built into the advertising server.</t>
        </is>
      </c>
      <c r="S128" s="48" t="inlineStr">
        <is>
          <t>San Francisco, CA</t>
        </is>
      </c>
      <c r="T128" s="49" t="inlineStr">
        <is>
          <t>www.zedo.com</t>
        </is>
      </c>
      <c r="U128" s="132">
        <f>HYPERLINK("https://my.pitchbook.com?c=56235-52", "View company online")</f>
      </c>
    </row>
    <row r="129">
      <c r="A129" s="9" t="inlineStr">
        <is>
          <t>103794-31</t>
        </is>
      </c>
      <c r="B129" s="10" t="inlineStr">
        <is>
          <t>Zeconomy</t>
        </is>
      </c>
      <c r="C129" s="11" t="inlineStr">
        <is>
          <t/>
        </is>
      </c>
      <c r="D129" s="12" t="n">
        <v>0.0</v>
      </c>
      <c r="E129" s="13" t="n">
        <v>0.08108108108108109</v>
      </c>
      <c r="F129" s="14" t="n">
        <v>42583.0</v>
      </c>
      <c r="G129" s="15" t="inlineStr">
        <is>
          <t>Angel (individual)</t>
        </is>
      </c>
      <c r="H129" s="16" t="inlineStr">
        <is>
          <t>Angel</t>
        </is>
      </c>
      <c r="I129" s="17" t="n">
        <v>1.0</v>
      </c>
      <c r="J129" s="18" t="inlineStr">
        <is>
          <t/>
        </is>
      </c>
      <c r="K129" s="19" t="inlineStr">
        <is>
          <t>Announced/In Progress</t>
        </is>
      </c>
      <c r="L129" s="20" t="inlineStr">
        <is>
          <t>Privately Held (backing)</t>
        </is>
      </c>
      <c r="M129" s="21" t="inlineStr">
        <is>
          <t>Venture Capital-Backed</t>
        </is>
      </c>
      <c r="N129" s="22" t="inlineStr">
        <is>
          <t>Th company received $995,000 of bridge financing from Three Fields Capital and other undisclosed investors on August 1, 2016. It previously raised $1.6 million of convertible debt financing from New Ground Ventutes on May 27, 2014. Other undisclosed investors also participated in the round. The company is being actively tracked by PitchBook.</t>
        </is>
      </c>
      <c r="O129" s="23" t="inlineStr">
        <is>
          <t>New Ground Ventures</t>
        </is>
      </c>
      <c r="P129" s="24" t="inlineStr">
        <is>
          <t/>
        </is>
      </c>
      <c r="Q129" s="25" t="inlineStr">
        <is>
          <t>Financial Software</t>
        </is>
      </c>
      <c r="R129" s="26" t="inlineStr">
        <is>
          <t>Provider of business-to-business online payment services. The company offers a liquidity marketplace that mimics the capabilities of a business-to-business payment and credit network.</t>
        </is>
      </c>
      <c r="S129" s="27" t="inlineStr">
        <is>
          <t>Sherman Oaks, CA</t>
        </is>
      </c>
      <c r="T129" s="28" t="inlineStr">
        <is>
          <t>www.zeconomy.com</t>
        </is>
      </c>
      <c r="U129" s="131">
        <f>HYPERLINK("https://my.pitchbook.com?c=103794-31", "View company online")</f>
      </c>
    </row>
    <row r="130">
      <c r="A130" s="30" t="inlineStr">
        <is>
          <t>61490-35</t>
        </is>
      </c>
      <c r="B130" s="31" t="inlineStr">
        <is>
          <t>Zebrafish Labs</t>
        </is>
      </c>
      <c r="C130" s="32" t="inlineStr">
        <is>
          <t/>
        </is>
      </c>
      <c r="D130" s="33" t="n">
        <v>0.38221819217837516</v>
      </c>
      <c r="E130" s="34" t="n">
        <v>7.7197273254937215</v>
      </c>
      <c r="F130" s="35" t="n">
        <v>42663.0</v>
      </c>
      <c r="G130" s="36" t="inlineStr">
        <is>
          <t>Early Stage VC</t>
        </is>
      </c>
      <c r="H130" s="37" t="inlineStr">
        <is>
          <t>Series A1</t>
        </is>
      </c>
      <c r="I130" s="38" t="n">
        <v>4.0</v>
      </c>
      <c r="J130" s="39" t="n">
        <v>26.37</v>
      </c>
      <c r="K130" s="40" t="inlineStr">
        <is>
          <t>Completed</t>
        </is>
      </c>
      <c r="L130" s="41" t="inlineStr">
        <is>
          <t>Privately Held (backing)</t>
        </is>
      </c>
      <c r="M130" s="42" t="inlineStr">
        <is>
          <t>Venture Capital-Backed</t>
        </is>
      </c>
      <c r="N130" s="43" t="inlineStr">
        <is>
          <t>The company raised $3.99 million of Series A1 and A2 venture funding from Sociedad de Desarrollo de Navarra and undisclosed investors on October 20, 2016, putting the company's pre-money valuation at $22.37 million.</t>
        </is>
      </c>
      <c r="O130" s="44" t="inlineStr">
        <is>
          <t>Aaron Iba, Christina Brodbeck, CrunchFund, Cuong Do, Dwipal Desai, Hank Vigil, Individual Investor, Jake Lodwick, Kevin Rose, Micah Schaffer, RRE Ventures, Sociedad de Desarrollo de Navarra, Start Fund, SV Angel, Third Kind Venture Capital, Vijay Karunamurthy, Y Combinator</t>
        </is>
      </c>
      <c r="P130" s="45" t="inlineStr">
        <is>
          <t/>
        </is>
      </c>
      <c r="Q130" s="46" t="inlineStr">
        <is>
          <t>Social/Platform Software</t>
        </is>
      </c>
      <c r="R130" s="47" t="inlineStr">
        <is>
          <t>Provider of image processing and delivery services. The company has developed an online platform for users to cache their image archives and manipulate size, cropping and other parameters.</t>
        </is>
      </c>
      <c r="S130" s="48" t="inlineStr">
        <is>
          <t>San Francisco, CA</t>
        </is>
      </c>
      <c r="T130" s="49" t="inlineStr">
        <is>
          <t>www.imgix.com</t>
        </is>
      </c>
      <c r="U130" s="132">
        <f>HYPERLINK("https://my.pitchbook.com?c=61490-35", "View company online")</f>
      </c>
    </row>
    <row r="131">
      <c r="A131" s="9" t="inlineStr">
        <is>
          <t>104524-30</t>
        </is>
      </c>
      <c r="B131" s="10" t="inlineStr">
        <is>
          <t>Zebra Medical Technologies</t>
        </is>
      </c>
      <c r="C131" s="11" t="inlineStr">
        <is>
          <t/>
        </is>
      </c>
      <c r="D131" s="12" t="n">
        <v>0.0</v>
      </c>
      <c r="E131" s="13" t="n">
        <v>0.40540540540540543</v>
      </c>
      <c r="F131" s="14" t="n">
        <v>42052.0</v>
      </c>
      <c r="G131" s="15" t="inlineStr">
        <is>
          <t>Seed Round</t>
        </is>
      </c>
      <c r="H131" s="16" t="inlineStr">
        <is>
          <t>Seed</t>
        </is>
      </c>
      <c r="I131" s="17" t="n">
        <v>0.7</v>
      </c>
      <c r="J131" s="18" t="n">
        <v>5.98</v>
      </c>
      <c r="K131" s="19" t="inlineStr">
        <is>
          <t>Completed</t>
        </is>
      </c>
      <c r="L131" s="20" t="inlineStr">
        <is>
          <t>Privately Held (backing)</t>
        </is>
      </c>
      <c r="M131" s="21" t="inlineStr">
        <is>
          <t>Venture Capital-Backed</t>
        </is>
      </c>
      <c r="N131" s="22" t="inlineStr">
        <is>
          <t>The company raised $700,000 of seed funding from Konica Minolta Business Innovation Center and other undisclosed investors on February 17, 2015, putting the pre-money valuation at $5.28 million.</t>
        </is>
      </c>
      <c r="O131" s="23" t="inlineStr">
        <is>
          <t>Konica Minolta Business Innovation Center</t>
        </is>
      </c>
      <c r="P131" s="24" t="inlineStr">
        <is>
          <t/>
        </is>
      </c>
      <c r="Q131" s="25" t="inlineStr">
        <is>
          <t>Diagnostic Equipment</t>
        </is>
      </c>
      <c r="R131" s="26" t="inlineStr">
        <is>
          <t>Developer of a specialized endoscopic system. The company's product, the Zebrascope, is a microendoscopic system that enables in vivo visualization of cellular structure in muscle and connective tissues with broad applications ranging from noninvasive imaging of the skin to improving the treatment of amytrophic lateral sclerosis (ALS).</t>
        </is>
      </c>
      <c r="S131" s="27" t="inlineStr">
        <is>
          <t>Mountain View, CA</t>
        </is>
      </c>
      <c r="T131" s="28" t="inlineStr">
        <is>
          <t>www.zebramedtech.com</t>
        </is>
      </c>
      <c r="U131" s="131">
        <f>HYPERLINK("https://my.pitchbook.com?c=104524-30", "View company online")</f>
      </c>
    </row>
    <row r="132">
      <c r="A132" s="30" t="inlineStr">
        <is>
          <t>173888-65</t>
        </is>
      </c>
      <c r="B132" s="31" t="inlineStr">
        <is>
          <t>Zebit</t>
        </is>
      </c>
      <c r="C132" s="32" t="inlineStr">
        <is>
          <t/>
        </is>
      </c>
      <c r="D132" s="33" t="n">
        <v>1.0394026061782005</v>
      </c>
      <c r="E132" s="34" t="n">
        <v>5.359331660326502</v>
      </c>
      <c r="F132" s="35" t="n">
        <v>42681.0</v>
      </c>
      <c r="G132" s="36" t="inlineStr">
        <is>
          <t>Early Stage VC</t>
        </is>
      </c>
      <c r="H132" s="37" t="inlineStr">
        <is>
          <t>Series A</t>
        </is>
      </c>
      <c r="I132" s="38" t="n">
        <v>15.0</v>
      </c>
      <c r="J132" s="39" t="n">
        <v>24.5</v>
      </c>
      <c r="K132" s="40" t="inlineStr">
        <is>
          <t>Completed</t>
        </is>
      </c>
      <c r="L132" s="41" t="inlineStr">
        <is>
          <t>Privately Held (backing)</t>
        </is>
      </c>
      <c r="M132" s="42" t="inlineStr">
        <is>
          <t>Venture Capital-Backed</t>
        </is>
      </c>
      <c r="N132" s="43" t="inlineStr">
        <is>
          <t>The company raised $15 million of Series A venture funding in a deal led by Crosslink Capital on November 7, 2016, putting the company's pre-money valuation at $9.5 million. Wildcat Venture Partners, Leapfrog Ventures, Ulu Ventures and Correlation Ventures also participated in this round. The funds will be used for financing working capital for receivables, operations, and the expansion of its payment and eCommerce platforms.</t>
        </is>
      </c>
      <c r="O132" s="44" t="inlineStr">
        <is>
          <t>Correlation Ventures, Crosslink Capital, Leapfrog Ventures, Ulu Ventures, Wildcat Venture Partners</t>
        </is>
      </c>
      <c r="P132" s="45" t="inlineStr">
        <is>
          <t/>
        </is>
      </c>
      <c r="Q132" s="46" t="inlineStr">
        <is>
          <t>Consumer Finance</t>
        </is>
      </c>
      <c r="R132" s="47" t="inlineStr">
        <is>
          <t>Operator of a financial resources marketplace created to provide better financial options for working Americans. The company's platform offers a no-cost, no-interest and no-penalties financing option for working Americans and military personnel as well as gives access to the Zebit Market, an e-commerce site featuring more than 20,000 name brand items they can buy at competitive prices, enabling its members to pay off their purchases over time, without any interest or hidden fees.</t>
        </is>
      </c>
      <c r="S132" s="48" t="inlineStr">
        <is>
          <t>San Diego, CA</t>
        </is>
      </c>
      <c r="T132" s="49" t="inlineStr">
        <is>
          <t>www.zebit.com</t>
        </is>
      </c>
      <c r="U132" s="132">
        <f>HYPERLINK("https://my.pitchbook.com?c=173888-65", "View company online")</f>
      </c>
    </row>
    <row r="133">
      <c r="A133" s="9" t="inlineStr">
        <is>
          <t>65716-21</t>
        </is>
      </c>
      <c r="B133" s="10" t="inlineStr">
        <is>
          <t>Zealot Networks</t>
        </is>
      </c>
      <c r="C133" s="11" t="n">
        <v>150.0</v>
      </c>
      <c r="D133" s="12" t="n">
        <v>0.0</v>
      </c>
      <c r="E133" s="13" t="n">
        <v>2.189189189189189</v>
      </c>
      <c r="F133" s="14" t="n">
        <v>42688.0</v>
      </c>
      <c r="G133" s="15" t="inlineStr">
        <is>
          <t>Merger/Acquisition</t>
        </is>
      </c>
      <c r="H133" s="16" t="inlineStr">
        <is>
          <t/>
        </is>
      </c>
      <c r="I133" s="17" t="inlineStr">
        <is>
          <t/>
        </is>
      </c>
      <c r="J133" s="18" t="inlineStr">
        <is>
          <t/>
        </is>
      </c>
      <c r="K133" s="19" t="inlineStr">
        <is>
          <t>Failed/Cancelled</t>
        </is>
      </c>
      <c r="L133" s="20" t="inlineStr">
        <is>
          <t>Privately Held (backing)</t>
        </is>
      </c>
      <c r="M133" s="21" t="inlineStr">
        <is>
          <t>Venture Capital-Backed</t>
        </is>
      </c>
      <c r="N133" s="22" t="inlineStr">
        <is>
          <t>The company is in talks to be acquired by undisclosed investors on November 14, 2016. Previously, the company raised an estimated $7 million of Series A venture funding from ITV and Amasia on July 6, 2015, putting the estimated pre-money valuation at $133 million. The company is being actively tracked by PitchBook.</t>
        </is>
      </c>
      <c r="O133" s="23" t="inlineStr">
        <is>
          <t>Amasia, Breakwater Investment Management, Dave Dickman, ITV, Sway Ventures, Venture51</t>
        </is>
      </c>
      <c r="P133" s="24" t="inlineStr">
        <is>
          <t/>
        </is>
      </c>
      <c r="Q133" s="25" t="inlineStr">
        <is>
          <t>Media and Information Services (B2B)</t>
        </is>
      </c>
      <c r="R133" s="26" t="inlineStr">
        <is>
          <t>Provider of a digital media platform. The company is a digital-first media company and growth accelerator that delivers multi-platform revenue, distribution and development opportunities to content creators.</t>
        </is>
      </c>
      <c r="S133" s="27" t="inlineStr">
        <is>
          <t>Los Angeles, CA</t>
        </is>
      </c>
      <c r="T133" s="28" t="inlineStr">
        <is>
          <t>www.zealotnetworks.com</t>
        </is>
      </c>
      <c r="U133" s="131">
        <f>HYPERLINK("https://my.pitchbook.com?c=65716-21", "View company online")</f>
      </c>
    </row>
    <row r="134">
      <c r="A134" s="30" t="inlineStr">
        <is>
          <t>159095-44</t>
        </is>
      </c>
      <c r="B134" s="31" t="inlineStr">
        <is>
          <t>Zeality</t>
        </is>
      </c>
      <c r="C134" s="32" t="inlineStr">
        <is>
          <t/>
        </is>
      </c>
      <c r="D134" s="33" t="n">
        <v>0.15631816510101082</v>
      </c>
      <c r="E134" s="34" t="n">
        <v>2.092571384944266</v>
      </c>
      <c r="F134" s="35" t="n">
        <v>42506.0</v>
      </c>
      <c r="G134" s="36" t="inlineStr">
        <is>
          <t>Early Stage VC</t>
        </is>
      </c>
      <c r="H134" s="37" t="inlineStr">
        <is>
          <t/>
        </is>
      </c>
      <c r="I134" s="38" t="inlineStr">
        <is>
          <t/>
        </is>
      </c>
      <c r="J134" s="39" t="inlineStr">
        <is>
          <t/>
        </is>
      </c>
      <c r="K134" s="40" t="inlineStr">
        <is>
          <t>Completed</t>
        </is>
      </c>
      <c r="L134" s="41" t="inlineStr">
        <is>
          <t>Privately Held (backing)</t>
        </is>
      </c>
      <c r="M134" s="42" t="inlineStr">
        <is>
          <t>Venture Capital-Backed</t>
        </is>
      </c>
      <c r="N134" s="43" t="inlineStr">
        <is>
          <t>The company raised an undisclosed amount of venture funding led by Rothenberg Ventures on May 16, 2016. Paraag Marathe and Jason Khalipa also participated. The company will use the funds to continue to expand operations.</t>
        </is>
      </c>
      <c r="O134" s="44" t="inlineStr">
        <is>
          <t>Dean Robinson, Jason Khalipa, Paraag Marathe, Rothenberg Ventures, The San Francisco 49ers</t>
        </is>
      </c>
      <c r="P134" s="45" t="inlineStr">
        <is>
          <t/>
        </is>
      </c>
      <c r="Q134" s="46" t="inlineStr">
        <is>
          <t>Social Content</t>
        </is>
      </c>
      <c r="R134" s="47" t="inlineStr">
        <is>
          <t>Provider of social engagement and delivery platform of virtual reality and 360° video content. The company provides network delivery platform to distribute and manage premium exclusive content, increase audience engagement and generate brand activation and awareness.</t>
        </is>
      </c>
      <c r="S134" s="48" t="inlineStr">
        <is>
          <t>Pleasanton, CA</t>
        </is>
      </c>
      <c r="T134" s="49" t="inlineStr">
        <is>
          <t>www.zeality.co</t>
        </is>
      </c>
      <c r="U134" s="132">
        <f>HYPERLINK("https://my.pitchbook.com?c=159095-44", "View company online")</f>
      </c>
    </row>
    <row r="135">
      <c r="A135" s="9" t="inlineStr">
        <is>
          <t>117236-53</t>
        </is>
      </c>
      <c r="B135" s="10" t="inlineStr">
        <is>
          <t>Zeal Learning</t>
        </is>
      </c>
      <c r="C135" s="11" t="inlineStr">
        <is>
          <t/>
        </is>
      </c>
      <c r="D135" s="12" t="n">
        <v>-0.10125553725458303</v>
      </c>
      <c r="E135" s="13" t="n">
        <v>22.987174278183858</v>
      </c>
      <c r="F135" s="14" t="n">
        <v>42033.0</v>
      </c>
      <c r="G135" s="15" t="inlineStr">
        <is>
          <t>Seed Round</t>
        </is>
      </c>
      <c r="H135" s="16" t="inlineStr">
        <is>
          <t>Seed</t>
        </is>
      </c>
      <c r="I135" s="17" t="n">
        <v>3.0</v>
      </c>
      <c r="J135" s="18" t="inlineStr">
        <is>
          <t/>
        </is>
      </c>
      <c r="K135" s="19" t="inlineStr">
        <is>
          <t>Completed</t>
        </is>
      </c>
      <c r="L135" s="20" t="inlineStr">
        <is>
          <t>Privately Held (backing)</t>
        </is>
      </c>
      <c r="M135" s="21" t="inlineStr">
        <is>
          <t>Venture Capital-Backed</t>
        </is>
      </c>
      <c r="N135" s="22" t="inlineStr">
        <is>
          <t>The company raised $3 million of seed funding from Reach Capital, Foundation Capital and Kapor Capital on January 29, 2015. Chicago Ventures and 6 other angel investors also participated in the transaction.</t>
        </is>
      </c>
      <c r="O135" s="23" t="inlineStr">
        <is>
          <t>Adam Foroughi, Chicago Ventures, Dave Goldberg, Foundation Capital, Geoff Ralston, John Krystynak, Kapor Capital, Manuel Bronstein, Pat Ryan, Reach Capital, Shawn Carolan, Tim Brady, Tim Ranzetta</t>
        </is>
      </c>
      <c r="P135" s="24" t="inlineStr">
        <is>
          <t/>
        </is>
      </c>
      <c r="Q135" s="25" t="inlineStr">
        <is>
          <t>Educational Software</t>
        </is>
      </c>
      <c r="R135" s="26" t="inlineStr">
        <is>
          <t>Operator of a social learning application. The company helps teachers to teach students through a mobile application instead of students having to go to a place to learn.</t>
        </is>
      </c>
      <c r="S135" s="27" t="inlineStr">
        <is>
          <t>San Francisco, CA</t>
        </is>
      </c>
      <c r="T135" s="28" t="inlineStr">
        <is>
          <t>www.zeal.com</t>
        </is>
      </c>
      <c r="U135" s="131">
        <f>HYPERLINK("https://my.pitchbook.com?c=117236-53", "View company online")</f>
      </c>
    </row>
    <row r="136">
      <c r="A136" s="30" t="inlineStr">
        <is>
          <t>56049-40</t>
        </is>
      </c>
      <c r="B136" s="31" t="inlineStr">
        <is>
          <t>ZeaKal</t>
        </is>
      </c>
      <c r="C136" s="32" t="inlineStr">
        <is>
          <t/>
        </is>
      </c>
      <c r="D136" s="33" t="n">
        <v>0.0</v>
      </c>
      <c r="E136" s="34" t="n">
        <v>0.8918918918918919</v>
      </c>
      <c r="F136" s="35" t="n">
        <v>42417.0</v>
      </c>
      <c r="G136" s="36" t="inlineStr">
        <is>
          <t>Later Stage VC</t>
        </is>
      </c>
      <c r="H136" s="37" t="inlineStr">
        <is>
          <t>Series B</t>
        </is>
      </c>
      <c r="I136" s="38" t="n">
        <v>5.3</v>
      </c>
      <c r="J136" s="39" t="n">
        <v>31.0</v>
      </c>
      <c r="K136" s="40" t="inlineStr">
        <is>
          <t>Completed</t>
        </is>
      </c>
      <c r="L136" s="41" t="inlineStr">
        <is>
          <t>Privately Held (backing)</t>
        </is>
      </c>
      <c r="M136" s="42" t="inlineStr">
        <is>
          <t>Venture Capital-Backed</t>
        </is>
      </c>
      <c r="N136" s="43" t="inlineStr">
        <is>
          <t>The company raised $5.3 million of Series B venture funding from lead investor Finistere Ventures on February 17, 2016, putting the pre-money valuation at $25.69 million. Middleland Capital and other undisclosed investors also participated. The company will use the funding to expand its PhotoSeed product development pipeline and bring its lead soybean product into field trials this May.</t>
        </is>
      </c>
      <c r="O136" s="44" t="inlineStr">
        <is>
          <t>Finistere Ventures, Individual Investor, Kapyon Ventures, Middleland Capital, Missouri Soybean Merchandising Council, Two Oceans</t>
        </is>
      </c>
      <c r="P136" s="45" t="inlineStr">
        <is>
          <t/>
        </is>
      </c>
      <c r="Q136" s="46" t="inlineStr">
        <is>
          <t>Horticulture</t>
        </is>
      </c>
      <c r="R136" s="47" t="inlineStr">
        <is>
          <t>Provider of genetically improved row crops such as corn, soybeans and canola. The company's first generation biotech has vastly improved yields from lower pesticide use.</t>
        </is>
      </c>
      <c r="S136" s="48" t="inlineStr">
        <is>
          <t>San Diego, CA</t>
        </is>
      </c>
      <c r="T136" s="49" t="inlineStr">
        <is>
          <t>www.zeakal.com</t>
        </is>
      </c>
      <c r="U136" s="132">
        <f>HYPERLINK("https://my.pitchbook.com?c=56049-40", "View company online")</f>
      </c>
    </row>
    <row r="137">
      <c r="A137" s="9" t="inlineStr">
        <is>
          <t>51158-08</t>
        </is>
      </c>
      <c r="B137" s="10" t="inlineStr">
        <is>
          <t>ZeaChem</t>
        </is>
      </c>
      <c r="C137" s="11" t="inlineStr">
        <is>
          <t/>
        </is>
      </c>
      <c r="D137" s="12" t="n">
        <v>0.13885738697594646</v>
      </c>
      <c r="E137" s="13" t="n">
        <v>3.7483203542525576</v>
      </c>
      <c r="F137" s="14" t="n">
        <v>42429.0</v>
      </c>
      <c r="G137" s="15" t="inlineStr">
        <is>
          <t>Corporate</t>
        </is>
      </c>
      <c r="H137" s="16" t="inlineStr">
        <is>
          <t>Corporate</t>
        </is>
      </c>
      <c r="I137" s="17" t="n">
        <v>0.39</v>
      </c>
      <c r="J137" s="18" t="inlineStr">
        <is>
          <t/>
        </is>
      </c>
      <c r="K137" s="19" t="inlineStr">
        <is>
          <t>Completed</t>
        </is>
      </c>
      <c r="L137" s="20" t="inlineStr">
        <is>
          <t>Privately Held (backing)</t>
        </is>
      </c>
      <c r="M137" s="21" t="inlineStr">
        <is>
          <t>Venture Capital-Backed</t>
        </is>
      </c>
      <c r="N137" s="22" t="inlineStr">
        <is>
          <t>The company received AUD 550,000 of financing from Leaf Resources(Aus) on February 29, 2016.</t>
        </is>
      </c>
      <c r="O137" s="23" t="inlineStr">
        <is>
          <t>Birchmere Ventures, Firelake Capital Management, Globespan Capital Partners, ITOCHU, Leaf Resources(Aus), Macquarie Asset Management, McGowan Capital Group, Mohr Davidow Ventures, Pinnacle Ventures, PrairieGold Venture Partners, Spring Ventures, Sustainable Conversion Ventures, U.S. Department of Energy, Ullas Naik, United States Department of Agriculture, Valero Energy, Western Technology Investment</t>
        </is>
      </c>
      <c r="P137" s="24" t="inlineStr">
        <is>
          <t/>
        </is>
      </c>
      <c r="Q137" s="25" t="inlineStr">
        <is>
          <t>Industrial Chemicals</t>
        </is>
      </c>
      <c r="R137" s="26" t="inlineStr">
        <is>
          <t>Developer of a cellulose-based bio-refinery platform designed to produce advanced ethanol, fuels and chemicals. The company's cellulose-based bio-refinery platform develops acetic acid and ethyl acetate which are intermediate chemicals for applications in paints, lacquers and consumer goods, enabling businesses to avail high quality chemicals at a reasonable rate.</t>
        </is>
      </c>
      <c r="S137" s="27" t="inlineStr">
        <is>
          <t>Irrigon, OR</t>
        </is>
      </c>
      <c r="T137" s="28" t="inlineStr">
        <is>
          <t>www.zeachem.com</t>
        </is>
      </c>
      <c r="U137" s="131">
        <f>HYPERLINK("https://my.pitchbook.com?c=51158-08", "View company online")</f>
      </c>
    </row>
    <row r="138">
      <c r="A138" s="30" t="inlineStr">
        <is>
          <t>148294-72</t>
        </is>
      </c>
      <c r="B138" s="31" t="inlineStr">
        <is>
          <t>ZCash</t>
        </is>
      </c>
      <c r="C138" s="32" t="inlineStr">
        <is>
          <t/>
        </is>
      </c>
      <c r="D138" s="33" t="n">
        <v>2.765587353946693</v>
      </c>
      <c r="E138" s="34" t="n">
        <v>12.145574024387585</v>
      </c>
      <c r="F138" s="35" t="n">
        <v>42636.0</v>
      </c>
      <c r="G138" s="36" t="inlineStr">
        <is>
          <t>Early Stage VC</t>
        </is>
      </c>
      <c r="H138" s="37" t="inlineStr">
        <is>
          <t/>
        </is>
      </c>
      <c r="I138" s="38" t="n">
        <v>2.0</v>
      </c>
      <c r="J138" s="39" t="n">
        <v>32.0</v>
      </c>
      <c r="K138" s="40" t="inlineStr">
        <is>
          <t>Completed</t>
        </is>
      </c>
      <c r="L138" s="41" t="inlineStr">
        <is>
          <t>Privately Held (backing)</t>
        </is>
      </c>
      <c r="M138" s="42" t="inlineStr">
        <is>
          <t>Venture Capital-Backed</t>
        </is>
      </c>
      <c r="N138" s="43" t="inlineStr">
        <is>
          <t>The company raised $2 million of venture funding from Maple Ventures, Fenbushi Capital and Shapeshift on September 23, 2016, putting the company's pre-money valuation at $3 million. Digital Currency Group and 12 other individual investors also participated in the round.</t>
        </is>
      </c>
      <c r="O138" s="44" t="inlineStr">
        <is>
          <t>Aaron Grieshaber, Adam Ludwin, Alan Fairless, Barry Silbert, Ben Davenport, Branson Bollinger, Brian Cartmell, Charles Songhurst, Charles Songhurst, David Chuen, David Dacus, Devon Gundry, Digital Currency Group, Erik Voorhees, Evolve VC, Fenbushi Capital, Fred Ehrsam, James Nicholas, Jonathan Perlow, London Trust Media, Maple Ventures, Naval Ravikant, Niraj Mehta, Pantera Capital, Paul Veradittakit, Roger Ver, Rop Gonggrijp, Ryan Smith, Sebastian Serrano, ShapeShift, Vlad Zamfir, Xiaolai Li</t>
        </is>
      </c>
      <c r="P138" s="45" t="inlineStr">
        <is>
          <t/>
        </is>
      </c>
      <c r="Q138" s="46" t="inlineStr">
        <is>
          <t>Financial Software</t>
        </is>
      </c>
      <c r="R138" s="47" t="inlineStr">
        <is>
          <t>Developer of bitcoin technologies designed to set a new standard for privacy through the use of groundbreaking cryptography. The company's bitcoin technologies are used to develop cryptocurrency for anonymous transactions of electronic cash and private payments, enabling consumers for safer transactions.</t>
        </is>
      </c>
      <c r="S138" s="48" t="inlineStr">
        <is>
          <t>Oakland, CA</t>
        </is>
      </c>
      <c r="T138" s="49" t="inlineStr">
        <is>
          <t>www.zerocoin.org</t>
        </is>
      </c>
      <c r="U138" s="132">
        <f>HYPERLINK("https://my.pitchbook.com?c=148294-72", "View company online")</f>
      </c>
    </row>
    <row r="139">
      <c r="A139" s="9" t="inlineStr">
        <is>
          <t>42212-98</t>
        </is>
      </c>
      <c r="B139" s="10" t="inlineStr">
        <is>
          <t>Zazzle</t>
        </is>
      </c>
      <c r="C139" s="11" t="n">
        <v>250.0</v>
      </c>
      <c r="D139" s="12" t="n">
        <v>-0.186247308407066</v>
      </c>
      <c r="E139" s="13" t="n">
        <v>1028.1954908008336</v>
      </c>
      <c r="F139" s="14" t="n">
        <v>39826.0</v>
      </c>
      <c r="G139" s="15" t="inlineStr">
        <is>
          <t>Later Stage VC</t>
        </is>
      </c>
      <c r="H139" s="16" t="inlineStr">
        <is>
          <t>Series C</t>
        </is>
      </c>
      <c r="I139" s="17" t="n">
        <v>23.37</v>
      </c>
      <c r="J139" s="18" t="n">
        <v>161.67</v>
      </c>
      <c r="K139" s="19" t="inlineStr">
        <is>
          <t>Completed</t>
        </is>
      </c>
      <c r="L139" s="20" t="inlineStr">
        <is>
          <t>Privately Held (backing)</t>
        </is>
      </c>
      <c r="M139" s="21" t="inlineStr">
        <is>
          <t>Venture Capital-Backed</t>
        </is>
      </c>
      <c r="N139" s="22" t="inlineStr">
        <is>
          <t>The company raised $23.37 million of Series C venture funding from Saints Capital and Recruit Strategic Partners on January 13, 2009, putting the pre-money valuation at $138.3 million.</t>
        </is>
      </c>
      <c r="O139" s="23" t="inlineStr">
        <is>
          <t>Andreessen Horowitz, Kleiner Perkins Caufield &amp; Byers, Northgate Capital, Pinnacle Ventures, Recruit Strategic Partners, Saints Capital, Sherpalo Ventures, Trans Cosmos USA</t>
        </is>
      </c>
      <c r="P139" s="24" t="inlineStr">
        <is>
          <t/>
        </is>
      </c>
      <c r="Q139" s="25" t="inlineStr">
        <is>
          <t>Internet Retail</t>
        </is>
      </c>
      <c r="R139" s="26" t="inlineStr">
        <is>
          <t>Provider a platform for marketplace custom products. The company's proprietary technology enables individuals, professional artists and brands to create and offer a range of products for customers in various categories, including accessories, art and posters, cards and postage, clothing and miscellaneous products.</t>
        </is>
      </c>
      <c r="S139" s="27" t="inlineStr">
        <is>
          <t>Redwood City, CA</t>
        </is>
      </c>
      <c r="T139" s="28" t="inlineStr">
        <is>
          <t>www.zazzle.com</t>
        </is>
      </c>
      <c r="U139" s="131">
        <f>HYPERLINK("https://my.pitchbook.com?c=42212-98", "View company online")</f>
      </c>
    </row>
    <row r="140">
      <c r="A140" s="30" t="inlineStr">
        <is>
          <t>118617-40</t>
        </is>
      </c>
      <c r="B140" s="31" t="inlineStr">
        <is>
          <t>Zavante Therapeutics</t>
        </is>
      </c>
      <c r="C140" s="32" t="inlineStr">
        <is>
          <t/>
        </is>
      </c>
      <c r="D140" s="33" t="n">
        <v>0.044283646127753394</v>
      </c>
      <c r="E140" s="34" t="n">
        <v>0.9322033898305084</v>
      </c>
      <c r="F140" s="35" t="n">
        <v>42614.0</v>
      </c>
      <c r="G140" s="36" t="inlineStr">
        <is>
          <t>Debt - General</t>
        </is>
      </c>
      <c r="H140" s="37" t="inlineStr">
        <is>
          <t/>
        </is>
      </c>
      <c r="I140" s="38" t="inlineStr">
        <is>
          <t/>
        </is>
      </c>
      <c r="J140" s="39" t="inlineStr">
        <is>
          <t/>
        </is>
      </c>
      <c r="K140" s="40" t="inlineStr">
        <is>
          <t>Completed</t>
        </is>
      </c>
      <c r="L140" s="41" t="inlineStr">
        <is>
          <t>Privately Held (backing)</t>
        </is>
      </c>
      <c r="M140" s="42" t="inlineStr">
        <is>
          <t>Venture Capital-Backed</t>
        </is>
      </c>
      <c r="N140" s="43" t="inlineStr">
        <is>
          <t>The company received $10 million of credit facility from Square 1 Bank on September 1, 2016. The company plans to use the funds to file a New Drug Application for ZTI-01 with the U.S. Food and Drug Administration in the second half of 2017 and preparing for commercialization. Previously, it raised $45.73 million of Series A venture funding from lead investors Frazier Healthcare Partners and Longitude Capital on April 4, 2016, putting the company's pre-money valuation at $20.39 million.</t>
        </is>
      </c>
      <c r="O140" s="44" t="inlineStr">
        <is>
          <t>Aisling Capital, Frazier Healthcare Partners, Longitude Capital</t>
        </is>
      </c>
      <c r="P140" s="45" t="inlineStr">
        <is>
          <t/>
        </is>
      </c>
      <c r="Q140" s="46" t="inlineStr">
        <is>
          <t>Biotechnology</t>
        </is>
      </c>
      <c r="R140" s="47" t="inlineStr">
        <is>
          <t>Developer of biopharmaceutical therapies to treat multi-drug resistant bacteria. The company is developing and plans to commercialize injectable antibiotics to combat life threatening diseases caused by drug resistant bacteria with minimal medical options available.</t>
        </is>
      </c>
      <c r="S140" s="48" t="inlineStr">
        <is>
          <t>San Diego, CA</t>
        </is>
      </c>
      <c r="T140" s="49" t="inlineStr">
        <is>
          <t>www.zavante.com</t>
        </is>
      </c>
      <c r="U140" s="132">
        <f>HYPERLINK("https://my.pitchbook.com?c=118617-40", "View company online")</f>
      </c>
    </row>
    <row r="141">
      <c r="A141" s="9" t="inlineStr">
        <is>
          <t>158710-33</t>
        </is>
      </c>
      <c r="B141" s="10" t="inlineStr">
        <is>
          <t>Zarget</t>
        </is>
      </c>
      <c r="C141" s="11" t="inlineStr">
        <is>
          <t/>
        </is>
      </c>
      <c r="D141" s="12" t="n">
        <v>0.29388132991113247</v>
      </c>
      <c r="E141" s="13" t="n">
        <v>6.995284117152207</v>
      </c>
      <c r="F141" s="14" t="n">
        <v>42676.0</v>
      </c>
      <c r="G141" s="15" t="inlineStr">
        <is>
          <t>Early Stage VC</t>
        </is>
      </c>
      <c r="H141" s="16" t="inlineStr">
        <is>
          <t>Series A</t>
        </is>
      </c>
      <c r="I141" s="17" t="n">
        <v>6.0</v>
      </c>
      <c r="J141" s="18" t="n">
        <v>21.85</v>
      </c>
      <c r="K141" s="19" t="inlineStr">
        <is>
          <t>Completed</t>
        </is>
      </c>
      <c r="L141" s="20" t="inlineStr">
        <is>
          <t>Privately Held (backing)</t>
        </is>
      </c>
      <c r="M141" s="21" t="inlineStr">
        <is>
          <t>Venture Capital-Backed</t>
        </is>
      </c>
      <c r="N141" s="22" t="inlineStr">
        <is>
          <t>The company raised $6 million of Series A venture funding from lead investor Sequoia Capital India on November 2, 2016, putting the pre-money valuation at $15.85 million. Accel Partners and Matrix Partners also participated in this round.The company intends to use the funds to scale its marketing automation products.</t>
        </is>
      </c>
      <c r="O141" s="23" t="inlineStr">
        <is>
          <t>Accel, Girish Mathrubootham, Matrix Partners India, Sequoia Capital India</t>
        </is>
      </c>
      <c r="P141" s="24" t="inlineStr">
        <is>
          <t/>
        </is>
      </c>
      <c r="Q141" s="25" t="inlineStr">
        <is>
          <t>Business/Productivity Software</t>
        </is>
      </c>
      <c r="R141" s="26" t="inlineStr">
        <is>
          <t>Developer of conversion rate-optimization software. The company provides a conversion rate optimization tool that can be used by marketers, product managers and Web designers for heat-mapping, funnel analysis, A/B testing, split URL testing, live data reporting, and website optimization.</t>
        </is>
      </c>
      <c r="S141" s="27" t="inlineStr">
        <is>
          <t>Walnut, CA</t>
        </is>
      </c>
      <c r="T141" s="28" t="inlineStr">
        <is>
          <t>www.zarget.com</t>
        </is>
      </c>
      <c r="U141" s="131">
        <f>HYPERLINK("https://my.pitchbook.com?c=158710-33", "View company online")</f>
      </c>
    </row>
    <row r="142">
      <c r="A142" s="30" t="inlineStr">
        <is>
          <t>104831-74</t>
        </is>
      </c>
      <c r="B142" s="31" t="inlineStr">
        <is>
          <t>Zapty</t>
        </is>
      </c>
      <c r="C142" s="32" t="inlineStr">
        <is>
          <t/>
        </is>
      </c>
      <c r="D142" s="33" t="n">
        <v>-3.3006062393653056E-4</v>
      </c>
      <c r="E142" s="34" t="n">
        <v>2.07658302580926</v>
      </c>
      <c r="F142" s="35" t="n">
        <v>42865.0</v>
      </c>
      <c r="G142" s="36" t="inlineStr">
        <is>
          <t>Seed Round</t>
        </is>
      </c>
      <c r="H142" s="37" t="inlineStr">
        <is>
          <t>Seed</t>
        </is>
      </c>
      <c r="I142" s="38" t="n">
        <v>0.5</v>
      </c>
      <c r="J142" s="39" t="n">
        <v>2.9</v>
      </c>
      <c r="K142" s="40" t="inlineStr">
        <is>
          <t>Completed</t>
        </is>
      </c>
      <c r="L142" s="41" t="inlineStr">
        <is>
          <t>Privately Held (backing)</t>
        </is>
      </c>
      <c r="M142" s="42" t="inlineStr">
        <is>
          <t>Venture Capital-Backed</t>
        </is>
      </c>
      <c r="N142" s="43" t="inlineStr">
        <is>
          <t>The company joined Kyron Global Accelerator on an undisclosed date.</t>
        </is>
      </c>
      <c r="O142" s="44" t="inlineStr">
        <is>
          <t>Ideaspring Capital, Kyron Global Accelerator, Manav Garg</t>
        </is>
      </c>
      <c r="P142" s="45" t="inlineStr">
        <is>
          <t/>
        </is>
      </c>
      <c r="Q142" s="46" t="inlineStr">
        <is>
          <t>Automation/Workflow Software</t>
        </is>
      </c>
      <c r="R142" s="47" t="inlineStr">
        <is>
          <t>Developer of an online teamwork and project collaboration tool designed to offer seamless collaboration, discussion and document sharing facilities. The company's online teamwork and project collaboration tool helps to maintain personal to-dos, workflows, combines conversations and task management such that users are able to collaborate in real-time including Hangouts for video conferencing, along with central inbox where all activities and feeds are collected and shown, enabling users to organize and track the completion of tasks and projects.</t>
        </is>
      </c>
      <c r="S142" s="48" t="inlineStr">
        <is>
          <t>San Francisco, CA</t>
        </is>
      </c>
      <c r="T142" s="49" t="inlineStr">
        <is>
          <t>www.zapty.com</t>
        </is>
      </c>
      <c r="U142" s="132">
        <f>HYPERLINK("https://my.pitchbook.com?c=104831-74", "View company online")</f>
      </c>
    </row>
    <row r="143">
      <c r="A143" s="9" t="inlineStr">
        <is>
          <t>57243-79</t>
        </is>
      </c>
      <c r="B143" s="10" t="inlineStr">
        <is>
          <t>Zappar</t>
        </is>
      </c>
      <c r="C143" s="11" t="n">
        <v>0.54</v>
      </c>
      <c r="D143" s="12" t="n">
        <v>0.30268033546034656</v>
      </c>
      <c r="E143" s="13" t="n">
        <v>15.76768467330369</v>
      </c>
      <c r="F143" s="14" t="n">
        <v>42789.0</v>
      </c>
      <c r="G143" s="15" t="inlineStr">
        <is>
          <t>Early Stage VC</t>
        </is>
      </c>
      <c r="H143" s="16" t="inlineStr">
        <is>
          <t>Series A</t>
        </is>
      </c>
      <c r="I143" s="17" t="n">
        <v>3.75</v>
      </c>
      <c r="J143" s="18" t="inlineStr">
        <is>
          <t/>
        </is>
      </c>
      <c r="K143" s="19" t="inlineStr">
        <is>
          <t>Completed</t>
        </is>
      </c>
      <c r="L143" s="20" t="inlineStr">
        <is>
          <t>Privately Held (backing)</t>
        </is>
      </c>
      <c r="M143" s="21" t="inlineStr">
        <is>
          <t>Venture Capital-Backed</t>
        </is>
      </c>
      <c r="N143" s="22" t="inlineStr">
        <is>
          <t>The company raised $3.75 million of Series A venture funding in a deal led by Hargreave Hale on February 23, 2017. You &amp; Mr Jones and iDreamSky also participated in the round. The funds will be used to accelerate the development of several new products along with its international expansion.</t>
        </is>
      </c>
      <c r="O143" s="23" t="inlineStr">
        <is>
          <t>Chrysalis VCT, Hargreave Hale, iDreamSky Technology, Milamber Ventures, You &amp; Mr Jones Brandtech Ventures</t>
        </is>
      </c>
      <c r="P143" s="24" t="inlineStr">
        <is>
          <t/>
        </is>
      </c>
      <c r="Q143" s="25" t="inlineStr">
        <is>
          <t>Application Software</t>
        </is>
      </c>
      <c r="R143" s="26" t="inlineStr">
        <is>
          <t>Developer of an augmented reality application created to empower businesses and creatives to build best-in-class augmented reality experiences. The company's online self-service system, ZapWorks offers a set of augmented reality (AR) tools to suit different skill levels, enabling users to design and curate their own AR experiences in a matter of minutes.</t>
        </is>
      </c>
      <c r="S143" s="27" t="inlineStr">
        <is>
          <t>London, United Kingdom</t>
        </is>
      </c>
      <c r="T143" s="28" t="inlineStr">
        <is>
          <t>www.zappar.com</t>
        </is>
      </c>
      <c r="U143" s="131">
        <f>HYPERLINK("https://my.pitchbook.com?c=57243-79", "View company online")</f>
      </c>
    </row>
    <row r="144">
      <c r="A144" s="30" t="inlineStr">
        <is>
          <t>55509-31</t>
        </is>
      </c>
      <c r="B144" s="31" t="inlineStr">
        <is>
          <t>Zapier</t>
        </is>
      </c>
      <c r="C144" s="32" t="inlineStr">
        <is>
          <t/>
        </is>
      </c>
      <c r="D144" s="33" t="n">
        <v>0.5931645158762237</v>
      </c>
      <c r="E144" s="34" t="n">
        <v>39.83311401200126</v>
      </c>
      <c r="F144" s="35" t="n">
        <v>41968.0</v>
      </c>
      <c r="G144" s="36" t="inlineStr">
        <is>
          <t>Early Stage VC</t>
        </is>
      </c>
      <c r="H144" s="37" t="inlineStr">
        <is>
          <t/>
        </is>
      </c>
      <c r="I144" s="38" t="n">
        <v>1.36</v>
      </c>
      <c r="J144" s="39" t="inlineStr">
        <is>
          <t/>
        </is>
      </c>
      <c r="K144" s="40" t="inlineStr">
        <is>
          <t>Completed</t>
        </is>
      </c>
      <c r="L144" s="41" t="inlineStr">
        <is>
          <t>Privately Held (backing)</t>
        </is>
      </c>
      <c r="M144" s="42" t="inlineStr">
        <is>
          <t>Venture Capital-Backed</t>
        </is>
      </c>
      <c r="N144" s="43" t="inlineStr">
        <is>
          <t>The company raised $1.362 million of venture funding from undisclosed investors on November 25, 2014.</t>
        </is>
      </c>
      <c r="O144" s="44" t="inlineStr">
        <is>
          <t>Adventur.es, Bessemer Venture Partners, Draper Fisher Jurvetson, Individual Investor, Kevin Hale, Michael Liou, Y Combinator</t>
        </is>
      </c>
      <c r="P144" s="45" t="inlineStr">
        <is>
          <t/>
        </is>
      </c>
      <c r="Q144" s="46" t="inlineStr">
        <is>
          <t>Business/Productivity Software</t>
        </is>
      </c>
      <c r="R144" s="47" t="inlineStr">
        <is>
          <t>Provider of web interface for non technical users to create custom integrations between web applications. The company develops a platform which helps to sync data between web applications.</t>
        </is>
      </c>
      <c r="S144" s="48" t="inlineStr">
        <is>
          <t>Sunnyvale, CA</t>
        </is>
      </c>
      <c r="T144" s="49" t="inlineStr">
        <is>
          <t>www.zapier.com</t>
        </is>
      </c>
      <c r="U144" s="132">
        <f>HYPERLINK("https://my.pitchbook.com?c=55509-31", "View company online")</f>
      </c>
    </row>
    <row r="145">
      <c r="A145" s="9" t="inlineStr">
        <is>
          <t>172260-91</t>
        </is>
      </c>
      <c r="B145" s="10" t="inlineStr">
        <is>
          <t>ZapFraud</t>
        </is>
      </c>
      <c r="C145" s="11" t="inlineStr">
        <is>
          <t/>
        </is>
      </c>
      <c r="D145" s="12" t="n">
        <v>0.01220703125</v>
      </c>
      <c r="E145" s="13" t="n">
        <v>0.8084427806056399</v>
      </c>
      <c r="F145" s="14" t="inlineStr">
        <is>
          <t/>
        </is>
      </c>
      <c r="G145" s="15" t="inlineStr">
        <is>
          <t>Early Stage VC</t>
        </is>
      </c>
      <c r="H145" s="16" t="inlineStr">
        <is>
          <t/>
        </is>
      </c>
      <c r="I145" s="17" t="inlineStr">
        <is>
          <t/>
        </is>
      </c>
      <c r="J145" s="18" t="inlineStr">
        <is>
          <t/>
        </is>
      </c>
      <c r="K145" s="19" t="inlineStr">
        <is>
          <t>Completed</t>
        </is>
      </c>
      <c r="L145" s="20" t="inlineStr">
        <is>
          <t>Privately Held (backing)</t>
        </is>
      </c>
      <c r="M145" s="21" t="inlineStr">
        <is>
          <t>Venture Capital-Backed</t>
        </is>
      </c>
      <c r="N145" s="22" t="inlineStr">
        <is>
          <t>The company raised venture funding from SV Tech Ventures on an undisclosed date.</t>
        </is>
      </c>
      <c r="O145" s="23" t="inlineStr">
        <is>
          <t>SV Tech Ventures</t>
        </is>
      </c>
      <c r="P145" s="24" t="inlineStr">
        <is>
          <t/>
        </is>
      </c>
      <c r="Q145" s="25" t="inlineStr">
        <is>
          <t>Network Management Software</t>
        </is>
      </c>
      <c r="R145" s="26" t="inlineStr">
        <is>
          <t>Provider of structural deception analysis tools designed to identify likely spoof, automatically verifying high-risk emails with senders. The company's structural deception analysis tools detects and defends the user's business email from fraud attacks, protects business assets from deception and fraud, enabling the client to provide defense for employee emails against social engineering fraud.</t>
        </is>
      </c>
      <c r="S145" s="27" t="inlineStr">
        <is>
          <t>Portola Valley, CA</t>
        </is>
      </c>
      <c r="T145" s="28" t="inlineStr">
        <is>
          <t>www.zapfraud.com</t>
        </is>
      </c>
      <c r="U145" s="131">
        <f>HYPERLINK("https://my.pitchbook.com?c=172260-91", "View company online")</f>
      </c>
    </row>
    <row r="146">
      <c r="A146" s="30" t="inlineStr">
        <is>
          <t>173074-51</t>
        </is>
      </c>
      <c r="B146" s="31" t="inlineStr">
        <is>
          <t>Zapflow</t>
        </is>
      </c>
      <c r="C146" s="32" t="inlineStr">
        <is>
          <t/>
        </is>
      </c>
      <c r="D146" s="33" t="n">
        <v>2.7062314893335118</v>
      </c>
      <c r="E146" s="34" t="n">
        <v>0.43857840891739197</v>
      </c>
      <c r="F146" s="35" t="n">
        <v>42702.0</v>
      </c>
      <c r="G146" s="36" t="inlineStr">
        <is>
          <t>Early Stage VC</t>
        </is>
      </c>
      <c r="H146" s="37" t="inlineStr">
        <is>
          <t/>
        </is>
      </c>
      <c r="I146" s="38" t="n">
        <v>0.7</v>
      </c>
      <c r="J146" s="39" t="inlineStr">
        <is>
          <t/>
        </is>
      </c>
      <c r="K146" s="40" t="inlineStr">
        <is>
          <t>Completed</t>
        </is>
      </c>
      <c r="L146" s="41" t="inlineStr">
        <is>
          <t>Privately Held (backing)</t>
        </is>
      </c>
      <c r="M146" s="42" t="inlineStr">
        <is>
          <t>Venture Capital-Backed</t>
        </is>
      </c>
      <c r="N146" s="43" t="inlineStr">
        <is>
          <t>The company raised $700,000 of venture funding from Gorilla Ventures, Winter Backwoods and other undisclosed investors on November 28, 2016. The company will use the funding to accelerate it's growth.</t>
        </is>
      </c>
      <c r="O146" s="44" t="inlineStr">
        <is>
          <t>Gorilla Ventures, Winter Backwoods</t>
        </is>
      </c>
      <c r="P146" s="45" t="inlineStr">
        <is>
          <t/>
        </is>
      </c>
      <c r="Q146" s="46" t="inlineStr">
        <is>
          <t>Database Software</t>
        </is>
      </c>
      <c r="R146" s="47" t="inlineStr">
        <is>
          <t>Provider of an online deal flow management platform intended to keep track of incoming deals of its various clients. The company's online platform supports decision making with a shared dashboard and forwards further information for potential investment targets through a cloud database, enabling investment professionals to save time and make optimal decisions about funding.</t>
        </is>
      </c>
      <c r="S146" s="48" t="inlineStr">
        <is>
          <t>Espoo, Finland</t>
        </is>
      </c>
      <c r="T146" s="49" t="inlineStr">
        <is>
          <t>www.zapflow.com</t>
        </is>
      </c>
      <c r="U146" s="132">
        <f>HYPERLINK("https://my.pitchbook.com?c=173074-51", "View company online")</f>
      </c>
    </row>
    <row r="147">
      <c r="A147" s="9" t="inlineStr">
        <is>
          <t>54093-61</t>
        </is>
      </c>
      <c r="B147" s="10" t="inlineStr">
        <is>
          <t>Zanbato</t>
        </is>
      </c>
      <c r="C147" s="11" t="inlineStr">
        <is>
          <t/>
        </is>
      </c>
      <c r="D147" s="12" t="n">
        <v>0.32267602273046053</v>
      </c>
      <c r="E147" s="13" t="n">
        <v>0.7056074181350526</v>
      </c>
      <c r="F147" s="14" t="n">
        <v>42275.0</v>
      </c>
      <c r="G147" s="15" t="inlineStr">
        <is>
          <t>Later Stage VC</t>
        </is>
      </c>
      <c r="H147" s="16" t="inlineStr">
        <is>
          <t>Series B</t>
        </is>
      </c>
      <c r="I147" s="17" t="n">
        <v>15.06</v>
      </c>
      <c r="J147" s="18" t="inlineStr">
        <is>
          <t/>
        </is>
      </c>
      <c r="K147" s="19" t="inlineStr">
        <is>
          <t>Completed</t>
        </is>
      </c>
      <c r="L147" s="20" t="inlineStr">
        <is>
          <t>Privately Held (backing)</t>
        </is>
      </c>
      <c r="M147" s="21" t="inlineStr">
        <is>
          <t>Venture Capital-Backed</t>
        </is>
      </c>
      <c r="N147" s="22" t="inlineStr">
        <is>
          <t>The company raised $15.06 million of Series B venture funding from Accelerate-IT Ventures, Euromoney Institutional Investor and Formation 8 on September 28, 2015.</t>
        </is>
      </c>
      <c r="O147" s="23" t="inlineStr">
        <is>
          <t>Alberta Investment Management, Apartment Investment and Management (17 Multifamily Properties), Blumberg Capital, Euromoney Institutional Investor, Formation 8, Individual Investor, Silicon Valley Association of Startup Entrepreneurs, SparkLabs Global Ventures, Sway Ventures, Webb Investment Network</t>
        </is>
      </c>
      <c r="P147" s="24" t="inlineStr">
        <is>
          <t/>
        </is>
      </c>
      <c r="Q147" s="25" t="inlineStr">
        <is>
          <t>Information Services (B2C)</t>
        </is>
      </c>
      <c r="R147" s="26" t="inlineStr">
        <is>
          <t>Provider of an online marketplace designed to connect buyers and sellers of infrastructure investments and projects. The company's marketplace offers an integrated solution for private placement origination, distribution, due diligence, execution, and compliance, enabling investors to access a selection of fund managers rigorously screened for relevance to peer-identified criteria.</t>
        </is>
      </c>
      <c r="S147" s="27" t="inlineStr">
        <is>
          <t>Mountain View, CA</t>
        </is>
      </c>
      <c r="T147" s="28" t="inlineStr">
        <is>
          <t>www.zanbato.com</t>
        </is>
      </c>
      <c r="U147" s="131">
        <f>HYPERLINK("https://my.pitchbook.com?c=54093-61", "View company online")</f>
      </c>
    </row>
    <row r="148">
      <c r="A148" s="30" t="inlineStr">
        <is>
          <t>112695-67</t>
        </is>
      </c>
      <c r="B148" s="31" t="inlineStr">
        <is>
          <t>Zami Life</t>
        </is>
      </c>
      <c r="C148" s="32" t="inlineStr">
        <is>
          <t/>
        </is>
      </c>
      <c r="D148" s="33" t="n">
        <v>-0.053512262657826604</v>
      </c>
      <c r="E148" s="34" t="n">
        <v>1.3681096350587876</v>
      </c>
      <c r="F148" s="35" t="n">
        <v>42174.0</v>
      </c>
      <c r="G148" s="36" t="inlineStr">
        <is>
          <t>Seed Round</t>
        </is>
      </c>
      <c r="H148" s="37" t="inlineStr">
        <is>
          <t>Seed</t>
        </is>
      </c>
      <c r="I148" s="38" t="inlineStr">
        <is>
          <t/>
        </is>
      </c>
      <c r="J148" s="39" t="inlineStr">
        <is>
          <t/>
        </is>
      </c>
      <c r="K148" s="40" t="inlineStr">
        <is>
          <t>Completed</t>
        </is>
      </c>
      <c r="L148" s="41" t="inlineStr">
        <is>
          <t>Privately Held (backing)</t>
        </is>
      </c>
      <c r="M148" s="42" t="inlineStr">
        <is>
          <t>Venture Capital-Backed</t>
        </is>
      </c>
      <c r="N148" s="43" t="inlineStr">
        <is>
          <t>The company raised an undisclosed amount of seed funding from All Mobile Fund on June 19, 2015. Earlier, the company raised $116,395 of product crowdfunding via Indiegogo on July 6, 2015.</t>
        </is>
      </c>
      <c r="O148" s="44" t="inlineStr">
        <is>
          <t>AllMobile Fund</t>
        </is>
      </c>
      <c r="P148" s="45" t="inlineStr">
        <is>
          <t/>
        </is>
      </c>
      <c r="Q148" s="46" t="inlineStr">
        <is>
          <t>Other Healthcare</t>
        </is>
      </c>
      <c r="R148" s="47" t="inlineStr">
        <is>
          <t>Developer of designed stools created to offer better posture. The company's designed stools gives optimal curve for spine, enabling users to enhance posture, core stability and circulation.</t>
        </is>
      </c>
      <c r="S148" s="48" t="inlineStr">
        <is>
          <t>San Francisco, CA</t>
        </is>
      </c>
      <c r="T148" s="49" t="inlineStr">
        <is>
          <t>www.zamilife.com</t>
        </is>
      </c>
      <c r="U148" s="132">
        <f>HYPERLINK("https://my.pitchbook.com?c=112695-67", "View company online")</f>
      </c>
    </row>
    <row r="149">
      <c r="A149" s="9" t="inlineStr">
        <is>
          <t>103738-42</t>
        </is>
      </c>
      <c r="B149" s="10" t="inlineStr">
        <is>
          <t>Zaloni</t>
        </is>
      </c>
      <c r="C149" s="11" t="inlineStr">
        <is>
          <t/>
        </is>
      </c>
      <c r="D149" s="12" t="n">
        <v>0.9935064510493563</v>
      </c>
      <c r="E149" s="13" t="n">
        <v>3.72120780376123</v>
      </c>
      <c r="F149" s="14" t="n">
        <v>42436.0</v>
      </c>
      <c r="G149" s="15" t="inlineStr">
        <is>
          <t>Later Stage VC</t>
        </is>
      </c>
      <c r="H149" s="16" t="inlineStr">
        <is>
          <t>Series A</t>
        </is>
      </c>
      <c r="I149" s="17" t="n">
        <v>7.5</v>
      </c>
      <c r="J149" s="18" t="n">
        <v>27.69</v>
      </c>
      <c r="K149" s="19" t="inlineStr">
        <is>
          <t>Completed</t>
        </is>
      </c>
      <c r="L149" s="20" t="inlineStr">
        <is>
          <t>Privately Held (backing)</t>
        </is>
      </c>
      <c r="M149" s="21" t="inlineStr">
        <is>
          <t>Venture Capital-Backed</t>
        </is>
      </c>
      <c r="N149" s="22" t="inlineStr">
        <is>
          <t>The company raised $7.5 million of Series A venture funding from lead investor Sierra Ventures on March 7, 2016, putting the company's pre-money valuation at $20.19 million. Baird Capital also participated. The company will use the funding for further expansion of the company's software suite, sales and marketing, research and development &amp; international expansion.</t>
        </is>
      </c>
      <c r="O149" s="23" t="inlineStr">
        <is>
          <t>Baird Capital, Sierra Ventures</t>
        </is>
      </c>
      <c r="P149" s="24" t="inlineStr">
        <is>
          <t/>
        </is>
      </c>
      <c r="Q149" s="25" t="inlineStr">
        <is>
          <t>Other IT Services</t>
        </is>
      </c>
      <c r="R149" s="26" t="inlineStr">
        <is>
          <t>Provider of enterprise data lake management software and services. The company provides big data and Hadoop based software platforms Bedrock and Mica that helps businesses to mange their data and improves the data visibility, governance and reliability.</t>
        </is>
      </c>
      <c r="S149" s="27" t="inlineStr">
        <is>
          <t>Durham, NC</t>
        </is>
      </c>
      <c r="T149" s="28" t="inlineStr">
        <is>
          <t>www.zaloni.com</t>
        </is>
      </c>
      <c r="U149" s="131">
        <f>HYPERLINK("https://my.pitchbook.com?c=103738-42", "View company online")</f>
      </c>
    </row>
    <row r="150">
      <c r="A150" s="30" t="inlineStr">
        <is>
          <t>54388-54</t>
        </is>
      </c>
      <c r="B150" s="31" t="inlineStr">
        <is>
          <t>Zagster</t>
        </is>
      </c>
      <c r="C150" s="32" t="inlineStr">
        <is>
          <t/>
        </is>
      </c>
      <c r="D150" s="33" t="n">
        <v>0.8343288063776826</v>
      </c>
      <c r="E150" s="34" t="n">
        <v>9.734586262755016</v>
      </c>
      <c r="F150" s="35" t="n">
        <v>42738.0</v>
      </c>
      <c r="G150" s="36" t="inlineStr">
        <is>
          <t>Later Stage VC</t>
        </is>
      </c>
      <c r="H150" s="37" t="inlineStr">
        <is>
          <t>Series B</t>
        </is>
      </c>
      <c r="I150" s="38" t="n">
        <v>10.0</v>
      </c>
      <c r="J150" s="39" t="n">
        <v>33.0</v>
      </c>
      <c r="K150" s="40" t="inlineStr">
        <is>
          <t>Completed</t>
        </is>
      </c>
      <c r="L150" s="41" t="inlineStr">
        <is>
          <t>Privately Held (backing)</t>
        </is>
      </c>
      <c r="M150" s="42" t="inlineStr">
        <is>
          <t>Venture Capital-Backed</t>
        </is>
      </c>
      <c r="N150" s="43" t="inlineStr">
        <is>
          <t>The company raised $10 million of Series B venture funding led by Edison Partners and Launchpad Venture Group on January 3, 2017, putting the company's pre-money valuation at $23 million. The company will use the funds for the growth and technology development fuel and also to enhance its product roadmap, expand its staff and grow its business.</t>
        </is>
      </c>
      <c r="O150" s="44" t="inlineStr">
        <is>
          <t>Baiada Institute of Entrepreneurship, Bantam Group, Ben Franklin Technology Partners of Southeastern Pennsylvania, Bob Mason, Clean Energy Venture Group, Daniel Gilmartin, David Chang, Doug Hurd, Edison Partners, Fontinalis Partners, Green D Ventures, Investors' Circle, J. Adam Pegues, Jason Henrichs, Jay Batson, Jean Hammond, Joe Caruso, John Landry, Joshua Summers, Katie Rae, Launch Angels, LaunchCapital, Launchpad Venture Group, New Dominion Angels, Otter Consulting, Right Side Capital Management, Semyon Dukach, Stephen Killeen, Steve Kaufmann, Techstars, Walter Doyle, William Herman</t>
        </is>
      </c>
      <c r="P150" s="45" t="inlineStr">
        <is>
          <t/>
        </is>
      </c>
      <c r="Q150" s="46" t="inlineStr">
        <is>
          <t>Other Transportation</t>
        </is>
      </c>
      <c r="R150" s="47" t="inlineStr">
        <is>
          <t>Provider of software tools to develop and launch bike-sharing deployments. The company offers fleet-management software, carbon offset credit software and a mobile application that monitors carbon footprints from various forms of transportation.</t>
        </is>
      </c>
      <c r="S150" s="48" t="inlineStr">
        <is>
          <t>Cambridge, MA</t>
        </is>
      </c>
      <c r="T150" s="49" t="inlineStr">
        <is>
          <t>www.zagster.com</t>
        </is>
      </c>
      <c r="U150" s="132">
        <f>HYPERLINK("https://my.pitchbook.com?c=54388-54", "View company online")</f>
      </c>
    </row>
    <row r="151">
      <c r="A151" s="9" t="inlineStr">
        <is>
          <t>55436-50</t>
        </is>
      </c>
      <c r="B151" s="10" t="inlineStr">
        <is>
          <t>Zadara Storage</t>
        </is>
      </c>
      <c r="C151" s="11" t="inlineStr">
        <is>
          <t/>
        </is>
      </c>
      <c r="D151" s="12" t="n">
        <v>0.8958629329533441</v>
      </c>
      <c r="E151" s="13" t="n">
        <v>9.273133302794319</v>
      </c>
      <c r="F151" s="14" t="n">
        <v>41486.0</v>
      </c>
      <c r="G151" s="15" t="inlineStr">
        <is>
          <t>Corporate</t>
        </is>
      </c>
      <c r="H151" s="16" t="inlineStr">
        <is>
          <t>Corporate</t>
        </is>
      </c>
      <c r="I151" s="17" t="n">
        <v>13.0</v>
      </c>
      <c r="J151" s="18" t="inlineStr">
        <is>
          <t/>
        </is>
      </c>
      <c r="K151" s="19" t="inlineStr">
        <is>
          <t>Completed</t>
        </is>
      </c>
      <c r="L151" s="20" t="inlineStr">
        <is>
          <t>Privately Held (backing)</t>
        </is>
      </c>
      <c r="M151" s="21" t="inlineStr">
        <is>
          <t>Venture Capital-Backed</t>
        </is>
      </c>
      <c r="N151" s="22" t="inlineStr">
        <is>
          <t>The company raised $13 million of funding from Toshiba on July 31, 2013.</t>
        </is>
      </c>
      <c r="O151" s="23" t="inlineStr">
        <is>
          <t>Genesis Partners, Platinum Partners, Toshiba</t>
        </is>
      </c>
      <c r="P151" s="24" t="inlineStr">
        <is>
          <t/>
        </is>
      </c>
      <c r="Q151" s="25" t="inlineStr">
        <is>
          <t>Network Management Software</t>
        </is>
      </c>
      <c r="R151" s="26" t="inlineStr">
        <is>
          <t>Provider of an enterprise class storage platform designed to offer scalable, elastic, cost-effective enterprise storage-as-a-service for public and private cloud. The company's enterprise class storage platform offers Virtual Private Storage Arrays (VSPA), a commodity server and software combo, that combines innovative software with standard hardware to create truly private Cloud storage along with personalized drives, CPUs and memory, enabling businesses to float secure and elastic private cloud storage, with pay per use.</t>
        </is>
      </c>
      <c r="S151" s="27" t="inlineStr">
        <is>
          <t>Irvine, CA</t>
        </is>
      </c>
      <c r="T151" s="28" t="inlineStr">
        <is>
          <t>www.zadarastorage.com</t>
        </is>
      </c>
      <c r="U151" s="131">
        <f>HYPERLINK("https://my.pitchbook.com?c=55436-50", "View company online")</f>
      </c>
    </row>
    <row r="152">
      <c r="A152" s="30" t="inlineStr">
        <is>
          <t>113038-93</t>
        </is>
      </c>
      <c r="B152" s="31" t="inlineStr">
        <is>
          <t>Yup (Mobile Tutoring Service)</t>
        </is>
      </c>
      <c r="C152" s="32" t="inlineStr">
        <is>
          <t/>
        </is>
      </c>
      <c r="D152" s="33" t="n">
        <v>0.1770148987778416</v>
      </c>
      <c r="E152" s="34" t="n">
        <v>5.491788324802326</v>
      </c>
      <c r="F152" s="35" t="n">
        <v>42474.0</v>
      </c>
      <c r="G152" s="36" t="inlineStr">
        <is>
          <t>Seed Round</t>
        </is>
      </c>
      <c r="H152" s="37" t="inlineStr">
        <is>
          <t>Seed</t>
        </is>
      </c>
      <c r="I152" s="38" t="n">
        <v>4.0</v>
      </c>
      <c r="J152" s="39" t="inlineStr">
        <is>
          <t/>
        </is>
      </c>
      <c r="K152" s="40" t="inlineStr">
        <is>
          <t>Completed</t>
        </is>
      </c>
      <c r="L152" s="41" t="inlineStr">
        <is>
          <t>Privately Held (backing)</t>
        </is>
      </c>
      <c r="M152" s="42" t="inlineStr">
        <is>
          <t>Venture Capital-Backed</t>
        </is>
      </c>
      <c r="N152" s="43" t="inlineStr">
        <is>
          <t>The company raised $4 million of seed funding led by Sesame Ventures on April 14, 2016. StartX, HOF Capital (New York), Soma Capital, Slow Ventures, FLOODGATE Fund, Index Ventures, SherpaVentures, Rising Tide Fund, Formation 8 and also participated in the round. The company will use the funding to grow its user base and further develop its Personalized Inquiry Learning™ framework to combat the growing cheating problem among online tutoring services. Previously, the company joined StartX on September 23, 2015, and received an undisclosed amount in funding. It also raised $3.5 million of seed funding from Index Ventures, FLOODGATE Fund, Formation 8, Slow Ventures and SherpaVentures on May 12, 2015.</t>
        </is>
      </c>
      <c r="O152" s="44" t="inlineStr">
        <is>
          <t>Collaborative Fund, Floodgate Fund, Formation 8, HOF Capital (New York), Index Ventures (UK), Rising Tide Fund, Sesame Ventures, Sherpa Capital, Slow Ventures, Soma Capital, StartX</t>
        </is>
      </c>
      <c r="P152" s="45" t="inlineStr">
        <is>
          <t/>
        </is>
      </c>
      <c r="Q152" s="46" t="inlineStr">
        <is>
          <t>Educational Software</t>
        </is>
      </c>
      <c r="R152" s="47" t="inlineStr">
        <is>
          <t>Provider of mobile tutoring services for high school and college students. The company offers a mobile marketplace enabling students seeking help with their math problems to be matched with tutors who can guide them through the process and teach users how to solve them.</t>
        </is>
      </c>
      <c r="S152" s="48" t="inlineStr">
        <is>
          <t>San Francisco, CA</t>
        </is>
      </c>
      <c r="T152" s="49" t="inlineStr">
        <is>
          <t>www.yup.com</t>
        </is>
      </c>
      <c r="U152" s="132">
        <f>HYPERLINK("https://my.pitchbook.com?c=113038-93", "View company online")</f>
      </c>
    </row>
    <row r="153">
      <c r="A153" s="9" t="inlineStr">
        <is>
          <t>117642-97</t>
        </is>
      </c>
      <c r="B153" s="10" t="inlineStr">
        <is>
          <t>Yuneec</t>
        </is>
      </c>
      <c r="C153" s="11" t="inlineStr">
        <is>
          <t/>
        </is>
      </c>
      <c r="D153" s="12" t="n">
        <v>0.08429956763399254</v>
      </c>
      <c r="E153" s="13" t="n">
        <v>150.91581043618626</v>
      </c>
      <c r="F153" s="14" t="n">
        <v>42242.0</v>
      </c>
      <c r="G153" s="15" t="inlineStr">
        <is>
          <t>Later Stage VC</t>
        </is>
      </c>
      <c r="H153" s="16" t="inlineStr">
        <is>
          <t/>
        </is>
      </c>
      <c r="I153" s="17" t="n">
        <v>60.0</v>
      </c>
      <c r="J153" s="18" t="inlineStr">
        <is>
          <t/>
        </is>
      </c>
      <c r="K153" s="19" t="inlineStr">
        <is>
          <t>Completed</t>
        </is>
      </c>
      <c r="L153" s="20" t="inlineStr">
        <is>
          <t>Privately Held (backing)</t>
        </is>
      </c>
      <c r="M153" s="21" t="inlineStr">
        <is>
          <t>Venture Capital-Backed</t>
        </is>
      </c>
      <c r="N153" s="22" t="inlineStr">
        <is>
          <t>The company raised $60 million of venture funding from Intel Capital on August 26, 2015.</t>
        </is>
      </c>
      <c r="O153" s="23" t="inlineStr">
        <is>
          <t>Intel Capital</t>
        </is>
      </c>
      <c r="P153" s="24" t="inlineStr">
        <is>
          <t/>
        </is>
      </c>
      <c r="Q153" s="25" t="inlineStr">
        <is>
          <t>Electronics (B2C)</t>
        </is>
      </c>
      <c r="R153" s="26" t="inlineStr">
        <is>
          <t>Manufacturer of remote-controlled aircraft designed to conduct aerial photography. The company's remote-controlled aircraft range from manned aircraft, electric drones and audio controlled helicopters to micro-copters, enabling people to capture a broader picture and see live video of places from above.</t>
        </is>
      </c>
      <c r="S153" s="27" t="inlineStr">
        <is>
          <t>Kaltenkirchen, Germany</t>
        </is>
      </c>
      <c r="T153" s="28" t="inlineStr">
        <is>
          <t>us.yuneec.com</t>
        </is>
      </c>
      <c r="U153" s="131">
        <f>HYPERLINK("https://my.pitchbook.com?c=117642-97", "View company online")</f>
      </c>
    </row>
    <row r="154">
      <c r="A154" s="30" t="inlineStr">
        <is>
          <t>51547-24</t>
        </is>
      </c>
      <c r="B154" s="31" t="inlineStr">
        <is>
          <t>Yummly</t>
        </is>
      </c>
      <c r="C154" s="32" t="inlineStr">
        <is>
          <t/>
        </is>
      </c>
      <c r="D154" s="33" t="n">
        <v>-0.40932764234238683</v>
      </c>
      <c r="E154" s="34" t="n">
        <v>331.1804954338484</v>
      </c>
      <c r="F154" s="35" t="n">
        <v>42857.0</v>
      </c>
      <c r="G154" s="36" t="inlineStr">
        <is>
          <t>Merger/Acquisition</t>
        </is>
      </c>
      <c r="H154" s="37" t="inlineStr">
        <is>
          <t/>
        </is>
      </c>
      <c r="I154" s="38" t="inlineStr">
        <is>
          <t/>
        </is>
      </c>
      <c r="J154" s="39" t="inlineStr">
        <is>
          <t/>
        </is>
      </c>
      <c r="K154" s="40" t="inlineStr">
        <is>
          <t>Announced/In Progress</t>
        </is>
      </c>
      <c r="L154" s="41" t="inlineStr">
        <is>
          <t>Privately Held (backing)</t>
        </is>
      </c>
      <c r="M154" s="42" t="inlineStr">
        <is>
          <t>Venture Capital-Backed</t>
        </is>
      </c>
      <c r="N154" s="43" t="inlineStr">
        <is>
          <t>The company reached a definitive agreement to be acquired by Whirlpool (NYSE: WHR) for an undisclosed amount on May 2, 2017. The acquisition will strengthen Whirlpool's ability to bring purposeful, consumer-relevant innovations to market in the emerging IoT space. Previously, the company raised $15 million of Series B venture funding in a deal led by Bauer Venture Partners on September 1, 2015, putting the company's pre-money valuation at $85 million. Bessemer Venture Partners also participated in the round. The company is being actively tracked by PitchBook.</t>
        </is>
      </c>
      <c r="O154" s="44" t="inlineStr">
        <is>
          <t>Bauer Venture Partners, Bessemer Venture Partners, First Round Capital, Harrison Metal Capital, Individual Investor, Intel Capital, Jeffrey Jordan, Joshua Kopelman, Marcia Hooper, Physic Ventures, The Harvard Common Press, Unilever Ventures, William C. Cobb</t>
        </is>
      </c>
      <c r="P154" s="45" t="inlineStr">
        <is>
          <t/>
        </is>
      </c>
      <c r="Q154" s="46" t="inlineStr">
        <is>
          <t>Social/Platform Software</t>
        </is>
      </c>
      <c r="R154" s="47" t="inlineStr">
        <is>
          <t>Provider of a digital recipe platform designed to make it easier for foodies to find and share recipes. The company's digital recipe platform uses patented technology and proprietary data to understand food and taste and provides recipe recommendations to handy tools and helpful videos, enabling users to improve life in the kitchen by finding the perfect recipes for every occasion.</t>
        </is>
      </c>
      <c r="S154" s="48" t="inlineStr">
        <is>
          <t>Redwood City, CA</t>
        </is>
      </c>
      <c r="T154" s="49" t="inlineStr">
        <is>
          <t>www.yummly.com</t>
        </is>
      </c>
      <c r="U154" s="132">
        <f>HYPERLINK("https://my.pitchbook.com?c=51547-24", "View company online")</f>
      </c>
    </row>
    <row r="155">
      <c r="A155" s="9" t="inlineStr">
        <is>
          <t>51687-91</t>
        </is>
      </c>
      <c r="B155" s="10" t="inlineStr">
        <is>
          <t>Yulex</t>
        </is>
      </c>
      <c r="C155" s="11" t="inlineStr">
        <is>
          <t/>
        </is>
      </c>
      <c r="D155" s="12" t="n">
        <v>-0.04305589333137248</v>
      </c>
      <c r="E155" s="13" t="n">
        <v>3.188618432096693</v>
      </c>
      <c r="F155" s="14" t="inlineStr">
        <is>
          <t/>
        </is>
      </c>
      <c r="G155" s="15" t="inlineStr">
        <is>
          <t>Grant</t>
        </is>
      </c>
      <c r="H155" s="16" t="inlineStr">
        <is>
          <t/>
        </is>
      </c>
      <c r="I155" s="17" t="inlineStr">
        <is>
          <t/>
        </is>
      </c>
      <c r="J155" s="18" t="inlineStr">
        <is>
          <t/>
        </is>
      </c>
      <c r="K155" s="19" t="inlineStr">
        <is>
          <t>Completed</t>
        </is>
      </c>
      <c r="L155" s="20" t="inlineStr">
        <is>
          <t>Privately Held (backing)</t>
        </is>
      </c>
      <c r="M155" s="21" t="inlineStr">
        <is>
          <t>Venture Capital-Backed</t>
        </is>
      </c>
      <c r="N155" s="22" t="inlineStr">
        <is>
          <t>The company received grant funding from the USDA and the U.S. Department of Energy (DOE) on an undisclosed date.</t>
        </is>
      </c>
      <c r="O155" s="23" t="inlineStr">
        <is>
          <t>Ansell, Argonaut Private Equity, U.S. Department of Energy, United States Department of Agriculture</t>
        </is>
      </c>
      <c r="P155" s="24" t="inlineStr">
        <is>
          <t/>
        </is>
      </c>
      <c r="Q155" s="25" t="inlineStr">
        <is>
          <t>Industrial Chemicals</t>
        </is>
      </c>
      <c r="R155" s="26" t="inlineStr">
        <is>
          <t>Developer of guayule-based natural rubber emulsions for a range of markets and applications. The company offers industrial products, such as green energy for electrical power and biofuels and biomaterials, such as rubber and resin, renewable construction materials, and specialty chemicals. Its products have applications in apparel, consumer, dental, energy, industrial, inks and paints, medical and sexual health, personal care and sealants and adhesives markets.</t>
        </is>
      </c>
      <c r="S155" s="27" t="inlineStr">
        <is>
          <t>Phoenix, AZ</t>
        </is>
      </c>
      <c r="T155" s="28" t="inlineStr">
        <is>
          <t>www.yulex.com</t>
        </is>
      </c>
      <c r="U155" s="131">
        <f>HYPERLINK("https://my.pitchbook.com?c=51687-91", "View company online")</f>
      </c>
    </row>
    <row r="156">
      <c r="A156" s="30" t="inlineStr">
        <is>
          <t>161125-75</t>
        </is>
      </c>
      <c r="B156" s="31" t="inlineStr">
        <is>
          <t>YugaByte</t>
        </is>
      </c>
      <c r="C156" s="32" t="inlineStr">
        <is>
          <t/>
        </is>
      </c>
      <c r="D156" s="33" t="inlineStr">
        <is>
          <t/>
        </is>
      </c>
      <c r="E156" s="34" t="inlineStr">
        <is>
          <t/>
        </is>
      </c>
      <c r="F156" s="35" t="inlineStr">
        <is>
          <t/>
        </is>
      </c>
      <c r="G156" s="36" t="inlineStr">
        <is>
          <t>Early Stage VC</t>
        </is>
      </c>
      <c r="H156" s="37" t="inlineStr">
        <is>
          <t/>
        </is>
      </c>
      <c r="I156" s="38" t="inlineStr">
        <is>
          <t/>
        </is>
      </c>
      <c r="J156" s="39" t="inlineStr">
        <is>
          <t/>
        </is>
      </c>
      <c r="K156" s="40" t="inlineStr">
        <is>
          <t>Completed</t>
        </is>
      </c>
      <c r="L156" s="41" t="inlineStr">
        <is>
          <t>Privately Held (backing)</t>
        </is>
      </c>
      <c r="M156" s="42" t="inlineStr">
        <is>
          <t>Venture Capital-Backed</t>
        </is>
      </c>
      <c r="N156" s="43" t="inlineStr">
        <is>
          <t>The company raised an undisclosed amount of venture funding.</t>
        </is>
      </c>
      <c r="O156" s="44" t="inlineStr">
        <is>
          <t/>
        </is>
      </c>
      <c r="P156" s="45" t="inlineStr">
        <is>
          <t/>
        </is>
      </c>
      <c r="Q156" s="46" t="inlineStr">
        <is>
          <t>Application Software</t>
        </is>
      </c>
      <c r="R156" s="47" t="inlineStr">
        <is>
          <t>Developer and provider of cloud infrastructure services. The company is currently operating under stealth mode and focuses on distributed systems, cloud and devops.</t>
        </is>
      </c>
      <c r="S156" s="48" t="inlineStr">
        <is>
          <t>Los Altos, CA</t>
        </is>
      </c>
      <c r="T156" s="49" t="inlineStr">
        <is>
          <t>www.yugabyte.com</t>
        </is>
      </c>
      <c r="U156" s="132">
        <f>HYPERLINK("https://my.pitchbook.com?c=161125-75", "View company online")</f>
      </c>
    </row>
    <row r="157">
      <c r="A157" s="9" t="inlineStr">
        <is>
          <t>57124-90</t>
        </is>
      </c>
      <c r="B157" s="10" t="inlineStr">
        <is>
          <t>Yubico</t>
        </is>
      </c>
      <c r="C157" s="11" t="n">
        <v>3.16</v>
      </c>
      <c r="D157" s="12" t="n">
        <v>0.9588743046988965</v>
      </c>
      <c r="E157" s="13" t="n">
        <v>90.4768262235285</v>
      </c>
      <c r="F157" s="14" t="n">
        <v>42893.0</v>
      </c>
      <c r="G157" s="15" t="inlineStr">
        <is>
          <t>Later Stage VC</t>
        </is>
      </c>
      <c r="H157" s="16" t="inlineStr">
        <is>
          <t/>
        </is>
      </c>
      <c r="I157" s="17" t="n">
        <v>30.0</v>
      </c>
      <c r="J157" s="18" t="inlineStr">
        <is>
          <t/>
        </is>
      </c>
      <c r="K157" s="19" t="inlineStr">
        <is>
          <t>Completed</t>
        </is>
      </c>
      <c r="L157" s="20" t="inlineStr">
        <is>
          <t>Privately Held (backing)</t>
        </is>
      </c>
      <c r="M157" s="21" t="inlineStr">
        <is>
          <t>Venture Capital-Backed</t>
        </is>
      </c>
      <c r="N157" s="22" t="inlineStr">
        <is>
          <t>The company raised $30 million of venture funding from New Enterprise Associates, The Valley Fund and Bure Equity on June 7, 2017. The funds will be used to grow its team across four continents and for new product development.</t>
        </is>
      </c>
      <c r="O157" s="23" t="inlineStr">
        <is>
          <t>Bure Equity, David Cheriton, Marc Benioff, New Enterprise Associates, Ori Eisen, Provider Venture Partners, Sherpalo Ventures, Simon Josefsson, Stockholm Innovation &amp; Growth, The Valley Fund, Veckans Affärer</t>
        </is>
      </c>
      <c r="P157" s="24" t="inlineStr">
        <is>
          <t/>
        </is>
      </c>
      <c r="Q157" s="25" t="inlineStr">
        <is>
          <t>Network Management Software</t>
        </is>
      </c>
      <c r="R157" s="26" t="inlineStr">
        <is>
          <t>Provider of authentication and encryption hardware designed to make secure online identities truly ubiquitous. The company's products deliver strong hardware protection, with a simple touch, across any number of IT systems and online services as well as provides ultra-portable hardware security module that protects sensitive data inside standard servers, enabling internet users to have one single and secure key for securing access across from any device to any number of services.</t>
        </is>
      </c>
      <c r="S157" s="27" t="inlineStr">
        <is>
          <t>Palo Alto, CA</t>
        </is>
      </c>
      <c r="T157" s="28" t="inlineStr">
        <is>
          <t>www.yubico.com</t>
        </is>
      </c>
      <c r="U157" s="131">
        <f>HYPERLINK("https://my.pitchbook.com?c=57124-90", "View company online")</f>
      </c>
    </row>
    <row r="158">
      <c r="A158" s="30" t="inlineStr">
        <is>
          <t>117357-58</t>
        </is>
      </c>
      <c r="B158" s="31" t="inlineStr">
        <is>
          <t>Yttro</t>
        </is>
      </c>
      <c r="C158" s="32" t="inlineStr">
        <is>
          <t/>
        </is>
      </c>
      <c r="D158" s="33" t="n">
        <v>-0.03141699704961399</v>
      </c>
      <c r="E158" s="34" t="n">
        <v>1.2294036404021667</v>
      </c>
      <c r="F158" s="35" t="inlineStr">
        <is>
          <t/>
        </is>
      </c>
      <c r="G158" s="36" t="inlineStr">
        <is>
          <t>Early Stage VC</t>
        </is>
      </c>
      <c r="H158" s="37" t="inlineStr">
        <is>
          <t/>
        </is>
      </c>
      <c r="I158" s="38" t="inlineStr">
        <is>
          <t/>
        </is>
      </c>
      <c r="J158" s="39" t="inlineStr">
        <is>
          <t/>
        </is>
      </c>
      <c r="K158" s="40" t="inlineStr">
        <is>
          <t>Completed</t>
        </is>
      </c>
      <c r="L158" s="41" t="inlineStr">
        <is>
          <t>Privately Held (backing)</t>
        </is>
      </c>
      <c r="M158" s="42" t="inlineStr">
        <is>
          <t>Venture Capital-Backed</t>
        </is>
      </c>
      <c r="N158" s="43" t="inlineStr">
        <is>
          <t>The company raised venture funding from Amino Capital on an undisclosed date.</t>
        </is>
      </c>
      <c r="O158" s="44" t="inlineStr">
        <is>
          <t>Amino Capital</t>
        </is>
      </c>
      <c r="P158" s="45" t="inlineStr">
        <is>
          <t/>
        </is>
      </c>
      <c r="Q158" s="46" t="inlineStr">
        <is>
          <t>Application Software</t>
        </is>
      </c>
      <c r="R158" s="47" t="inlineStr">
        <is>
          <t>Developer of a mobile game discovery platform designed to offer mobile expedition. The company's mobile game discovery platform offers application exposure without the drawbacks of advertising, enabling consumers to explore and discover game applications by upgrading their online browsing into an exploratory mobile expedition.</t>
        </is>
      </c>
      <c r="S158" s="48" t="inlineStr">
        <is>
          <t>Mountain View, CA</t>
        </is>
      </c>
      <c r="T158" s="49" t="inlineStr">
        <is>
          <t>www.yttromobile.com</t>
        </is>
      </c>
      <c r="U158" s="132">
        <f>HYPERLINK("https://my.pitchbook.com?c=117357-58", "View company online")</f>
      </c>
    </row>
    <row r="159">
      <c r="A159" s="9" t="inlineStr">
        <is>
          <t>124659-46</t>
        </is>
      </c>
      <c r="B159" s="10" t="inlineStr">
        <is>
          <t>Ysance</t>
        </is>
      </c>
      <c r="C159" s="11" t="n">
        <v>6.66</v>
      </c>
      <c r="D159" s="12" t="n">
        <v>0.7242307862047688</v>
      </c>
      <c r="E159" s="13" t="n">
        <v>3.7153790014880657</v>
      </c>
      <c r="F159" s="14" t="n">
        <v>42271.0</v>
      </c>
      <c r="G159" s="15" t="inlineStr">
        <is>
          <t>Later Stage VC</t>
        </is>
      </c>
      <c r="H159" s="16" t="inlineStr">
        <is>
          <t>Series A</t>
        </is>
      </c>
      <c r="I159" s="17" t="n">
        <v>5.62</v>
      </c>
      <c r="J159" s="18" t="inlineStr">
        <is>
          <t/>
        </is>
      </c>
      <c r="K159" s="19" t="inlineStr">
        <is>
          <t>Completed</t>
        </is>
      </c>
      <c r="L159" s="20" t="inlineStr">
        <is>
          <t>Privately Held (backing)</t>
        </is>
      </c>
      <c r="M159" s="21" t="inlineStr">
        <is>
          <t>Venture Capital-Backed</t>
        </is>
      </c>
      <c r="N159" s="22" t="inlineStr">
        <is>
          <t>The company raised EUR 5 million of Series A venture funding from Creadev on September 24, 2015. The funding will support the company's research and development efforts as well as expansion of its sales team in Europe.</t>
        </is>
      </c>
      <c r="O159" s="23" t="inlineStr">
        <is>
          <t>Creadev</t>
        </is>
      </c>
      <c r="P159" s="24" t="inlineStr">
        <is>
          <t/>
        </is>
      </c>
      <c r="Q159" s="25" t="inlineStr">
        <is>
          <t>Automation/Workflow Software</t>
        </is>
      </c>
      <c r="R159" s="26" t="inlineStr">
        <is>
          <t>Owner and operator of a cloud and big data consulting firm. The company offers a a digital platform that helps enterprises in their digital transformation including design, implementation and operation of various digital platforms.</t>
        </is>
      </c>
      <c r="S159" s="27" t="inlineStr">
        <is>
          <t>San Francisco, CA</t>
        </is>
      </c>
      <c r="T159" s="28" t="inlineStr">
        <is>
          <t>www.ysance.com</t>
        </is>
      </c>
      <c r="U159" s="131">
        <f>HYPERLINK("https://my.pitchbook.com?c=124659-46", "View company online")</f>
      </c>
    </row>
    <row r="160">
      <c r="A160" s="30" t="inlineStr">
        <is>
          <t>56146-33</t>
        </is>
      </c>
      <c r="B160" s="31" t="inlineStr">
        <is>
          <t>Yozio</t>
        </is>
      </c>
      <c r="C160" s="32" t="inlineStr">
        <is>
          <t/>
        </is>
      </c>
      <c r="D160" s="33" t="n">
        <v>2.795955920303579</v>
      </c>
      <c r="E160" s="34" t="n">
        <v>4.244717627934283</v>
      </c>
      <c r="F160" s="35" t="n">
        <v>42213.0</v>
      </c>
      <c r="G160" s="36" t="inlineStr">
        <is>
          <t>Early Stage VC</t>
        </is>
      </c>
      <c r="H160" s="37" t="inlineStr">
        <is>
          <t>Series A</t>
        </is>
      </c>
      <c r="I160" s="38" t="n">
        <v>7.0</v>
      </c>
      <c r="J160" s="39" t="n">
        <v>22.79</v>
      </c>
      <c r="K160" s="40" t="inlineStr">
        <is>
          <t>Completed</t>
        </is>
      </c>
      <c r="L160" s="41" t="inlineStr">
        <is>
          <t>Privately Held (backing)</t>
        </is>
      </c>
      <c r="M160" s="42" t="inlineStr">
        <is>
          <t>Venture Capital-Backed</t>
        </is>
      </c>
      <c r="N160" s="43" t="inlineStr">
        <is>
          <t>The company raised $7 million of Series A venture funding in a deal led by Foundation Capital on July 28, 2015, putting the company's pre-money valuation at $15.79 million. Illuminate Ventures, Webb Investment Network, AME Cloud Ventures and other undisclosed investors also participated in the round. The company will use the funding to accelerate development of its mobile growth platform and expand engineering, sales, marketing and business development.</t>
        </is>
      </c>
      <c r="O160" s="44" t="inlineStr">
        <is>
          <t>AME Cloud Ventures, Ashvin Patel, Cynthia Padnos, Eric Reis, Eric Ries, Farzad Nazem, Foundation Capital, Illuminate Ventures, Jerry Yang, Kal Vepuri, Maynard Webb, Morado Venture Partners, Sean Ellis, Tsingyuan Ventures, Webb Investment Network</t>
        </is>
      </c>
      <c r="P160" s="45" t="inlineStr">
        <is>
          <t/>
        </is>
      </c>
      <c r="Q160" s="46" t="inlineStr">
        <is>
          <t>Application Software</t>
        </is>
      </c>
      <c r="R160" s="47" t="inlineStr">
        <is>
          <t>Provider of growth tools for mobile applications. The company offers mobile conversion tracking software for social sharing and marketing campaigns, viral tuning products and analytics platform for various mobile applications.</t>
        </is>
      </c>
      <c r="S160" s="48" t="inlineStr">
        <is>
          <t>San Francisco, CA</t>
        </is>
      </c>
      <c r="T160" s="49" t="inlineStr">
        <is>
          <t>www.yozio.com</t>
        </is>
      </c>
      <c r="U160" s="132">
        <f>HYPERLINK("https://my.pitchbook.com?c=56146-33", "View company online")</f>
      </c>
    </row>
    <row r="161">
      <c r="A161" s="9" t="inlineStr">
        <is>
          <t>57920-41</t>
        </is>
      </c>
      <c r="B161" s="10" t="inlineStr">
        <is>
          <t>YouWeb</t>
        </is>
      </c>
      <c r="C161" s="11" t="n">
        <v>0.12</v>
      </c>
      <c r="D161" s="12" t="n">
        <v>-0.026431903755020084</v>
      </c>
      <c r="E161" s="13" t="n">
        <v>0.6554205089393004</v>
      </c>
      <c r="F161" s="14" t="n">
        <v>42262.0</v>
      </c>
      <c r="G161" s="15" t="inlineStr">
        <is>
          <t>Angel (individual)</t>
        </is>
      </c>
      <c r="H161" s="16" t="inlineStr">
        <is>
          <t>Angel</t>
        </is>
      </c>
      <c r="I161" s="17" t="n">
        <v>1.32</v>
      </c>
      <c r="J161" s="18" t="inlineStr">
        <is>
          <t/>
        </is>
      </c>
      <c r="K161" s="19" t="inlineStr">
        <is>
          <t>Completed</t>
        </is>
      </c>
      <c r="L161" s="20" t="inlineStr">
        <is>
          <t>Privately Held (backing)</t>
        </is>
      </c>
      <c r="M161" s="21" t="inlineStr">
        <is>
          <t>Venture Capital-Backed</t>
        </is>
      </c>
      <c r="N161" s="22" t="inlineStr">
        <is>
          <t>The company raised $1.324 million of angel funding via Venovate on September 15, 2015.</t>
        </is>
      </c>
      <c r="O161" s="23" t="inlineStr">
        <is>
          <t>Brett Wander, Dave Roux, David Whorton, Individual Investor, Peter Relan, Praful Shah, Soma Somasegar, Tugboat Ventures, Winston Cho</t>
        </is>
      </c>
      <c r="P161" s="24" t="inlineStr">
        <is>
          <t/>
        </is>
      </c>
      <c r="Q161" s="25" t="inlineStr">
        <is>
          <t>Other Financial Services</t>
        </is>
      </c>
      <c r="R161" s="26" t="inlineStr">
        <is>
          <t>Provider of a platform for incubation programs. The company offers incubator programs for startups which helps them to get traction with product, market and investors.</t>
        </is>
      </c>
      <c r="S161" s="27" t="inlineStr">
        <is>
          <t>San Francisco, CA</t>
        </is>
      </c>
      <c r="T161" s="28" t="inlineStr">
        <is>
          <t>www.youwebinc.com</t>
        </is>
      </c>
      <c r="U161" s="131">
        <f>HYPERLINK("https://my.pitchbook.com?c=57920-41", "View company online")</f>
      </c>
    </row>
    <row r="162">
      <c r="A162" s="30" t="inlineStr">
        <is>
          <t>103465-45</t>
        </is>
      </c>
      <c r="B162" s="31" t="inlineStr">
        <is>
          <t>YouthsToday.com</t>
        </is>
      </c>
      <c r="C162" s="32" t="inlineStr">
        <is>
          <t/>
        </is>
      </c>
      <c r="D162" s="33" t="n">
        <v>0.06405970061197118</v>
      </c>
      <c r="E162" s="34" t="n">
        <v>5.238715075745291</v>
      </c>
      <c r="F162" s="35" t="n">
        <v>42450.0</v>
      </c>
      <c r="G162" s="36" t="inlineStr">
        <is>
          <t>Seed Round</t>
        </is>
      </c>
      <c r="H162" s="37" t="inlineStr">
        <is>
          <t>Seed</t>
        </is>
      </c>
      <c r="I162" s="38" t="n">
        <v>0.04</v>
      </c>
      <c r="J162" s="39" t="inlineStr">
        <is>
          <t/>
        </is>
      </c>
      <c r="K162" s="40" t="inlineStr">
        <is>
          <t>Completed</t>
        </is>
      </c>
      <c r="L162" s="41" t="inlineStr">
        <is>
          <t>Privately Held (backing)</t>
        </is>
      </c>
      <c r="M162" s="42" t="inlineStr">
        <is>
          <t>Venture Capital-Backed</t>
        </is>
      </c>
      <c r="N162" s="43" t="inlineStr">
        <is>
          <t>The company raised RMB 250,000 of seed funding from Malaysia Venture Capital Management and Gobi Ventures on March 21, 2016.</t>
        </is>
      </c>
      <c r="O162" s="44" t="inlineStr">
        <is>
          <t>Cradle Fund, Gobi Ventures, Malaysia Venture Capital Management</t>
        </is>
      </c>
      <c r="P162" s="45" t="inlineStr">
        <is>
          <t/>
        </is>
      </c>
      <c r="Q162" s="46" t="inlineStr">
        <is>
          <t>Social/Platform Software</t>
        </is>
      </c>
      <c r="R162" s="47" t="inlineStr">
        <is>
          <t>Provider of a youth-development platform. The company offers an online sponsoring platform that connects youth who want to participate in events with sponsors and event organizers.</t>
        </is>
      </c>
      <c r="S162" s="48" t="inlineStr">
        <is>
          <t>Kuala Lumpur, Malaysia</t>
        </is>
      </c>
      <c r="T162" s="49" t="inlineStr">
        <is>
          <t>www.youthstoday.com</t>
        </is>
      </c>
      <c r="U162" s="132">
        <f>HYPERLINK("https://my.pitchbook.com?c=103465-45", "View company online")</f>
      </c>
    </row>
    <row r="163">
      <c r="A163" s="9" t="inlineStr">
        <is>
          <t>154901-98</t>
        </is>
      </c>
      <c r="B163" s="10" t="inlineStr">
        <is>
          <t>YouSolar</t>
        </is>
      </c>
      <c r="C163" s="11" t="n">
        <v>59.53</v>
      </c>
      <c r="D163" s="12" t="n">
        <v>0.0</v>
      </c>
      <c r="E163" s="13" t="n">
        <v>0.08108108108108109</v>
      </c>
      <c r="F163" s="14" t="n">
        <v>42005.0</v>
      </c>
      <c r="G163" s="15" t="inlineStr">
        <is>
          <t>Early Stage VC</t>
        </is>
      </c>
      <c r="H163" s="16" t="inlineStr">
        <is>
          <t/>
        </is>
      </c>
      <c r="I163" s="17" t="n">
        <v>0.03</v>
      </c>
      <c r="J163" s="18" t="n">
        <v>5.03</v>
      </c>
      <c r="K163" s="19" t="inlineStr">
        <is>
          <t>Completed</t>
        </is>
      </c>
      <c r="L163" s="20" t="inlineStr">
        <is>
          <t>Privately Held (backing)</t>
        </is>
      </c>
      <c r="M163" s="21" t="inlineStr">
        <is>
          <t>Venture Capital-Backed</t>
        </is>
      </c>
      <c r="N163" s="22" t="inlineStr">
        <is>
          <t>The company raised $32,500 of venture funding from Keiretsu Forum in 2015, putting the company's pre-money valuaiton at $5 million.</t>
        </is>
      </c>
      <c r="O163" s="23" t="inlineStr">
        <is>
          <t>Eric Gimon, J. Anthony Terrell, Keiretsu Forum, Michael Allman, Paul Droege, Safal Joshi</t>
        </is>
      </c>
      <c r="P163" s="24" t="inlineStr">
        <is>
          <t/>
        </is>
      </c>
      <c r="Q163" s="25" t="inlineStr">
        <is>
          <t>Alternative Energy Equipment</t>
        </is>
      </c>
      <c r="R163" s="26" t="inlineStr">
        <is>
          <t>Developer of rooftop solar-power systems. The company is the developer of residential solar power units that can be installed on a rooftop. When combined with local power grids, it can provide a hybrid power system that does not have to be net metered, as it takes power from the grid, but does not send it to the grid.</t>
        </is>
      </c>
      <c r="S163" s="27" t="inlineStr">
        <is>
          <t>Emeryville, CA</t>
        </is>
      </c>
      <c r="T163" s="28" t="inlineStr">
        <is>
          <t>www.yousolar.com</t>
        </is>
      </c>
      <c r="U163" s="131">
        <f>HYPERLINK("https://my.pitchbook.com?c=154901-98", "View company online")</f>
      </c>
    </row>
    <row r="164">
      <c r="A164" s="30" t="inlineStr">
        <is>
          <t>54271-18</t>
        </is>
      </c>
      <c r="B164" s="31" t="inlineStr">
        <is>
          <t>YourMechanic</t>
        </is>
      </c>
      <c r="C164" s="32" t="inlineStr">
        <is>
          <t/>
        </is>
      </c>
      <c r="D164" s="33" t="n">
        <v>0.6509279032037305</v>
      </c>
      <c r="E164" s="34" t="n">
        <v>39.05114428830346</v>
      </c>
      <c r="F164" s="35" t="n">
        <v>42430.0</v>
      </c>
      <c r="G164" s="36" t="inlineStr">
        <is>
          <t>Early Stage VC</t>
        </is>
      </c>
      <c r="H164" s="37" t="inlineStr">
        <is>
          <t>Series B</t>
        </is>
      </c>
      <c r="I164" s="38" t="n">
        <v>24.0</v>
      </c>
      <c r="J164" s="39" t="n">
        <v>61.63</v>
      </c>
      <c r="K164" s="40" t="inlineStr">
        <is>
          <t>Completed</t>
        </is>
      </c>
      <c r="L164" s="41" t="inlineStr">
        <is>
          <t>Privately Held (backing)</t>
        </is>
      </c>
      <c r="M164" s="42" t="inlineStr">
        <is>
          <t>Venture Capital-Backed</t>
        </is>
      </c>
      <c r="N164" s="43" t="inlineStr">
        <is>
          <t>The company raised $24 million of Series B venture funding from SoftBank Capital, Lerer Hippeau Ventures and Data Point Capital on March 1, 2016, putting the company's pre-money valuation at $45.63 million. Andreessen Horowitz, SAIC, Verizon Ventures, American Family Insurance, PG Ventures, Promus Ventures and Silicon Valley Bank also participated. The round included a $8 million debt portion. The funding will help the company to further expand its business nationwide as well as in Canada.</t>
        </is>
      </c>
      <c r="O164" s="44" t="inlineStr">
        <is>
          <t>A-Grade Investments, Alexander Goldstein, American Family Mutual Insurance Company, American Family Ventures, Andreessen Horowitz, Ashton Kutcher, CrunchFund, Dan Martell, Data Point Capital, Dave Lerner, David Gilboa, David Shen, Draper Fisher Jurvetson, Great Oaks Venture Capital, Greylock Partners, Hector Hulian, Hone Capital, Hubrix Ventures, Jared Kopf, Jawed Karim, Jean-Francois Clavier, Jeffrey Jordan, Jeremy Wenokur, Joshua Baer, Joshua Schachter, Justin Waldron, Kevin Freedman, Kevin Henrikson, LaunchCapital, Lerer Hippeau Ventures, Marc Bell Capital Partners, Mark Friedgan, Matt Mullenweg, Michael Arrington, Paige Craig, Paul Sethi, PG Ventures, Promus Ventures, Rany Raviv, Richard Boyle, Richmond View Ventures, Rob Wang, Robert Wang, SAIC Capital, Sam Angus, Scott Kosch, Seth Goldstein, Silicon Valley Bank, SoftBank Capital, SoftTech VC, Start Fund, SV Angel, Verizon Ventures, Y Combinator, Yuri Milner</t>
        </is>
      </c>
      <c r="P164" s="45" t="inlineStr">
        <is>
          <t/>
        </is>
      </c>
      <c r="Q164" s="46" t="inlineStr">
        <is>
          <t>Other Commercial Services</t>
        </is>
      </c>
      <c r="R164" s="47" t="inlineStr">
        <is>
          <t>Provider of mobile car repair services. The company provides a platform which focuses on car repair and maintenance needs.</t>
        </is>
      </c>
      <c r="S164" s="48" t="inlineStr">
        <is>
          <t>Mountain View, CA</t>
        </is>
      </c>
      <c r="T164" s="49" t="inlineStr">
        <is>
          <t>www.yourmechanic.com</t>
        </is>
      </c>
      <c r="U164" s="132">
        <f>HYPERLINK("https://my.pitchbook.com?c=54271-18", "View company online")</f>
      </c>
    </row>
    <row r="165">
      <c r="A165" s="9" t="inlineStr">
        <is>
          <t>169046-47</t>
        </is>
      </c>
      <c r="B165" s="10" t="inlineStr">
        <is>
          <t>Youplus</t>
        </is>
      </c>
      <c r="C165" s="11" t="inlineStr">
        <is>
          <t/>
        </is>
      </c>
      <c r="D165" s="12" t="n">
        <v>-0.08740304777373291</v>
      </c>
      <c r="E165" s="13" t="n">
        <v>7.634865524014382</v>
      </c>
      <c r="F165" s="14" t="n">
        <v>42095.0</v>
      </c>
      <c r="G165" s="15" t="inlineStr">
        <is>
          <t>Early Stage VC</t>
        </is>
      </c>
      <c r="H165" s="16" t="inlineStr">
        <is>
          <t/>
        </is>
      </c>
      <c r="I165" s="17" t="inlineStr">
        <is>
          <t/>
        </is>
      </c>
      <c r="J165" s="18" t="inlineStr">
        <is>
          <t/>
        </is>
      </c>
      <c r="K165" s="19" t="inlineStr">
        <is>
          <t>Completed</t>
        </is>
      </c>
      <c r="L165" s="20" t="inlineStr">
        <is>
          <t>Privately Held (backing)</t>
        </is>
      </c>
      <c r="M165" s="21" t="inlineStr">
        <is>
          <t>Venture Capital-Backed</t>
        </is>
      </c>
      <c r="N165" s="22" t="inlineStr">
        <is>
          <t>The company raised an undisclosed amount of venture funding from Rocketship.vc and DN Capital on April 1, 2015.</t>
        </is>
      </c>
      <c r="O165" s="23" t="inlineStr">
        <is>
          <t>DN Capital, Freestyle Capital, Rocketship.vc</t>
        </is>
      </c>
      <c r="P165" s="24" t="inlineStr">
        <is>
          <t/>
        </is>
      </c>
      <c r="Q165" s="25" t="inlineStr">
        <is>
          <t>Application Software</t>
        </is>
      </c>
      <c r="R165" s="26" t="inlineStr">
        <is>
          <t>Provider of a mobile application for local businesses. The company locates products and services from local businesses and provides their information to the application users to visit them.</t>
        </is>
      </c>
      <c r="S165" s="27" t="inlineStr">
        <is>
          <t>Mountain View, CA</t>
        </is>
      </c>
      <c r="T165" s="28" t="inlineStr">
        <is>
          <t>www.youplusindia.com</t>
        </is>
      </c>
      <c r="U165" s="131">
        <f>HYPERLINK("https://my.pitchbook.com?c=169046-47", "View company online")</f>
      </c>
    </row>
    <row r="166">
      <c r="A166" s="30" t="inlineStr">
        <is>
          <t>60576-85</t>
        </is>
      </c>
      <c r="B166" s="31" t="inlineStr">
        <is>
          <t>YouNoodle</t>
        </is>
      </c>
      <c r="C166" s="32" t="inlineStr">
        <is>
          <t/>
        </is>
      </c>
      <c r="D166" s="33" t="n">
        <v>0.13780403177388217</v>
      </c>
      <c r="E166" s="34" t="n">
        <v>23.012486734023213</v>
      </c>
      <c r="F166" s="35" t="n">
        <v>41718.0</v>
      </c>
      <c r="G166" s="36" t="inlineStr">
        <is>
          <t>Early Stage VC</t>
        </is>
      </c>
      <c r="H166" s="37" t="inlineStr">
        <is>
          <t/>
        </is>
      </c>
      <c r="I166" s="38" t="n">
        <v>1.1</v>
      </c>
      <c r="J166" s="39" t="inlineStr">
        <is>
          <t/>
        </is>
      </c>
      <c r="K166" s="40" t="inlineStr">
        <is>
          <t>Completed</t>
        </is>
      </c>
      <c r="L166" s="41" t="inlineStr">
        <is>
          <t>Privately Held (backing)</t>
        </is>
      </c>
      <c r="M166" s="42" t="inlineStr">
        <is>
          <t>Venture Capital-Backed</t>
        </is>
      </c>
      <c r="N166" s="43" t="inlineStr">
        <is>
          <t>The company raised $1.1 million of venture funding from VegasTechFund, Lars-Henrik- Friis Molin and Amicus Group on March 20.2014. Small World Group, Max Levchin and Andy White also participated in the round.</t>
        </is>
      </c>
      <c r="O166" s="44" t="inlineStr">
        <is>
          <t>Amicus Group, Andy White, Founders Fund, Individual Investor, James Hong, Lars-Henrik Friis Molin, Max Levchin, Small World Group, VTF Capital</t>
        </is>
      </c>
      <c r="P166" s="45" t="inlineStr">
        <is>
          <t/>
        </is>
      </c>
      <c r="Q166" s="46" t="inlineStr">
        <is>
          <t>Other Commercial Services</t>
        </is>
      </c>
      <c r="R166" s="47" t="inlineStr">
        <is>
          <t>Developer of decision making technologies and software for startups. The company connects corporations with startups through corporate startup innovation programs globally across enterprises, governments, universities, foundations and accelerators.</t>
        </is>
      </c>
      <c r="S166" s="48" t="inlineStr">
        <is>
          <t>San Francisco, CA</t>
        </is>
      </c>
      <c r="T166" s="49" t="inlineStr">
        <is>
          <t>www.younoodle.com</t>
        </is>
      </c>
      <c r="U166" s="132">
        <f>HYPERLINK("https://my.pitchbook.com?c=60576-85", "View company online")</f>
      </c>
    </row>
    <row r="167">
      <c r="A167" s="9" t="inlineStr">
        <is>
          <t>55966-51</t>
        </is>
      </c>
      <c r="B167" s="10" t="inlineStr">
        <is>
          <t>Younity</t>
        </is>
      </c>
      <c r="C167" s="11" t="inlineStr">
        <is>
          <t/>
        </is>
      </c>
      <c r="D167" s="12" t="n">
        <v>-0.5615067120289747</v>
      </c>
      <c r="E167" s="13" t="n">
        <v>34.863808281383825</v>
      </c>
      <c r="F167" s="14" t="n">
        <v>42341.0</v>
      </c>
      <c r="G167" s="15" t="inlineStr">
        <is>
          <t>Early Stage VC</t>
        </is>
      </c>
      <c r="H167" s="16" t="inlineStr">
        <is>
          <t>Series A</t>
        </is>
      </c>
      <c r="I167" s="17" t="n">
        <v>8.0</v>
      </c>
      <c r="J167" s="18" t="n">
        <v>37.39</v>
      </c>
      <c r="K167" s="19" t="inlineStr">
        <is>
          <t>Completed</t>
        </is>
      </c>
      <c r="L167" s="20" t="inlineStr">
        <is>
          <t>Privately Held (backing)</t>
        </is>
      </c>
      <c r="M167" s="21" t="inlineStr">
        <is>
          <t>Venture Capital-Backed</t>
        </is>
      </c>
      <c r="N167" s="22" t="inlineStr">
        <is>
          <t>The company raised $8 million of Series A venture funding in a deal led by Marker on December 3, 2015, at a pre-money valuation at $29.40 million. Draper Associates, Colle Capital Partners and PROfounders Capital also participated in the round. The company intends to use the funding to further develop its software application and expand its team and offices.</t>
        </is>
      </c>
      <c r="O167" s="23" t="inlineStr">
        <is>
          <t>Brian Lee, Colle Capital Partners, Crosslink Capital, Draper Associates, G. Bradford Jones, Gramercy, Greg Arrese, Individual Investor, Kamran Pourzanjani, Knight &amp; Bishop, Lowercase Capital, Mark Kolokotrones, Marker, Mucker Capital, Oakview Group, PROfounders Capital, Tekton Ventures, The Gramercy Fund, Thomas Turney, ToysRUs</t>
        </is>
      </c>
      <c r="P167" s="24" t="inlineStr">
        <is>
          <t/>
        </is>
      </c>
      <c r="Q167" s="25" t="inlineStr">
        <is>
          <t>Information Services (B2C)</t>
        </is>
      </c>
      <c r="R167" s="26" t="inlineStr">
        <is>
          <t>Provider of a personal cloud service designed to change the way a user streams, accesses, and shares their files and documents. The company's cloud service offers a free platform that works via peer-to-peer unification of content across computers, enabling users to share or stream their music, playlists and video and access their photos and documents from anywhere in the world, without having to manage anything or store files online.</t>
        </is>
      </c>
      <c r="S167" s="27" t="inlineStr">
        <is>
          <t>Encinitas, CA</t>
        </is>
      </c>
      <c r="T167" s="28" t="inlineStr">
        <is>
          <t>www.getyounity.com</t>
        </is>
      </c>
      <c r="U167" s="131">
        <f>HYPERLINK("https://my.pitchbook.com?c=55966-51", "View company online")</f>
      </c>
    </row>
    <row r="168">
      <c r="A168" s="30" t="inlineStr">
        <is>
          <t>169027-03</t>
        </is>
      </c>
      <c r="B168" s="31" t="inlineStr">
        <is>
          <t>Youngry</t>
        </is>
      </c>
      <c r="C168" s="32" t="inlineStr">
        <is>
          <t/>
        </is>
      </c>
      <c r="D168" s="33" t="n">
        <v>0.5168862427420309</v>
      </c>
      <c r="E168" s="34" t="n">
        <v>16.779869763436455</v>
      </c>
      <c r="F168" s="35" t="n">
        <v>42658.0</v>
      </c>
      <c r="G168" s="36" t="inlineStr">
        <is>
          <t>Angel (individual)</t>
        </is>
      </c>
      <c r="H168" s="37" t="inlineStr">
        <is>
          <t>Angel</t>
        </is>
      </c>
      <c r="I168" s="38" t="n">
        <v>0.07</v>
      </c>
      <c r="J168" s="39" t="n">
        <v>2.0</v>
      </c>
      <c r="K168" s="40" t="inlineStr">
        <is>
          <t>Completed</t>
        </is>
      </c>
      <c r="L168" s="41" t="inlineStr">
        <is>
          <t>Privately Held (backing)</t>
        </is>
      </c>
      <c r="M168" s="42" t="inlineStr">
        <is>
          <t>Venture Capital-Backed</t>
        </is>
      </c>
      <c r="N168" s="43" t="inlineStr">
        <is>
          <t>The company raised $65,600 amount of angel funding via crowdfunding platform Republic on October 15, 2016, putting the company's valuation at $2 million.</t>
        </is>
      </c>
      <c r="O168" s="44" t="inlineStr">
        <is>
          <t>Hashtag One</t>
        </is>
      </c>
      <c r="P168" s="45" t="inlineStr">
        <is>
          <t/>
        </is>
      </c>
      <c r="Q168" s="46" t="inlineStr">
        <is>
          <t>Information Services (B2C)</t>
        </is>
      </c>
      <c r="R168" s="47" t="inlineStr">
        <is>
          <t>Provider of information for entrepreneurs and business creators. The company is a next generation media content operator, which provides news content, distribution of original video programming and organizes events for entrepreneur and business creator.</t>
        </is>
      </c>
      <c r="S168" s="48" t="inlineStr">
        <is>
          <t>Newport Beach, CA</t>
        </is>
      </c>
      <c r="T168" s="49" t="inlineStr">
        <is>
          <t>www.youngry.com</t>
        </is>
      </c>
      <c r="U168" s="132">
        <f>HYPERLINK("https://my.pitchbook.com?c=169027-03", "View company online")</f>
      </c>
    </row>
    <row r="169">
      <c r="A169" s="9" t="inlineStr">
        <is>
          <t>51709-69</t>
        </is>
      </c>
      <c r="B169" s="10" t="inlineStr">
        <is>
          <t>YouMail</t>
        </is>
      </c>
      <c r="C169" s="11" t="inlineStr">
        <is>
          <t/>
        </is>
      </c>
      <c r="D169" s="12" t="n">
        <v>0.478698575281673</v>
      </c>
      <c r="E169" s="13" t="n">
        <v>28.32004279255569</v>
      </c>
      <c r="F169" s="14" t="n">
        <v>42066.0</v>
      </c>
      <c r="G169" s="15" t="inlineStr">
        <is>
          <t>Later Stage VC</t>
        </is>
      </c>
      <c r="H169" s="16" t="inlineStr">
        <is>
          <t>Series B</t>
        </is>
      </c>
      <c r="I169" s="17" t="n">
        <v>5.5</v>
      </c>
      <c r="J169" s="18" t="n">
        <v>16.34</v>
      </c>
      <c r="K169" s="19" t="inlineStr">
        <is>
          <t>Completed</t>
        </is>
      </c>
      <c r="L169" s="20" t="inlineStr">
        <is>
          <t>Privately Held (backing)</t>
        </is>
      </c>
      <c r="M169" s="21" t="inlineStr">
        <is>
          <t>Venture Capital-Backed</t>
        </is>
      </c>
      <c r="N169" s="22" t="inlineStr">
        <is>
          <t>The company raised $5.5 million of Series B venture funding from undisclosed investors on March 3, 2015, putting the pre-money valuation at $10.84 million.</t>
        </is>
      </c>
      <c r="O169" s="23" t="inlineStr">
        <is>
          <t>CrunchFund, Individual Investor, Tech Coast Angels, VantagePoint Capital Partners, Vencore Capital, Wavemaker Partners</t>
        </is>
      </c>
      <c r="P169" s="24" t="inlineStr">
        <is>
          <t/>
        </is>
      </c>
      <c r="Q169" s="25" t="inlineStr">
        <is>
          <t>Social/Platform Software</t>
        </is>
      </c>
      <c r="R169" s="26" t="inlineStr">
        <is>
          <t>Provider of cell phone voicemail service that allows users to express their personality. The company also provides users with access to cell phone voicemail on the Web and e-mail to share voicemails and save them.</t>
        </is>
      </c>
      <c r="S169" s="27" t="inlineStr">
        <is>
          <t>Irvine, CA</t>
        </is>
      </c>
      <c r="T169" s="28" t="inlineStr">
        <is>
          <t>www.youmail.com</t>
        </is>
      </c>
      <c r="U169" s="131">
        <f>HYPERLINK("https://my.pitchbook.com?c=51709-69", "View company online")</f>
      </c>
    </row>
    <row r="170">
      <c r="A170" s="30" t="inlineStr">
        <is>
          <t>58446-91</t>
        </is>
      </c>
      <c r="B170" s="31" t="inlineStr">
        <is>
          <t>Youdazzle</t>
        </is>
      </c>
      <c r="C170" s="32" t="inlineStr">
        <is>
          <t/>
        </is>
      </c>
      <c r="D170" s="33" t="n">
        <v>-0.04080930241715901</v>
      </c>
      <c r="E170" s="34" t="n">
        <v>0.542074604344317</v>
      </c>
      <c r="F170" s="35" t="n">
        <v>41961.0</v>
      </c>
      <c r="G170" s="36" t="inlineStr">
        <is>
          <t>Seed Round</t>
        </is>
      </c>
      <c r="H170" s="37" t="inlineStr">
        <is>
          <t>Seed</t>
        </is>
      </c>
      <c r="I170" s="38" t="n">
        <v>2.0</v>
      </c>
      <c r="J170" s="39" t="n">
        <v>12.2</v>
      </c>
      <c r="K170" s="40" t="inlineStr">
        <is>
          <t>Completed</t>
        </is>
      </c>
      <c r="L170" s="41" t="inlineStr">
        <is>
          <t>Privately Held (backing)</t>
        </is>
      </c>
      <c r="M170" s="42" t="inlineStr">
        <is>
          <t>Venture Capital-Backed</t>
        </is>
      </c>
      <c r="N170" s="43" t="inlineStr">
        <is>
          <t>The company raised $2 million of seed funding from Larry Bowman, Meyer Malka and Western Technology Investments on November 18, 2014, putting the pre-money valuation at $10.2 million.</t>
        </is>
      </c>
      <c r="O170" s="44" t="inlineStr">
        <is>
          <t>David Wanek, Embarcadero Ventures, Evan Goldberg, Highway1, Julia Popowitz, Larry Bowman, Lohner Investments, Meyer Malka, Western Technology Investment</t>
        </is>
      </c>
      <c r="P170" s="45" t="inlineStr">
        <is>
          <t/>
        </is>
      </c>
      <c r="Q170" s="46" t="inlineStr">
        <is>
          <t>Business/Productivity Software</t>
        </is>
      </c>
      <c r="R170" s="47" t="inlineStr">
        <is>
          <t>Developer of an online file sharing and Web meetings platform. The company offers a platform to share files, for two or more people to simultaneously surf the Web, work together, shop together as well as provides Web shopping and Web conferencing tools for businesses and individuals to host virtual shopping parties, shopping webinars and online sales events.</t>
        </is>
      </c>
      <c r="S170" s="48" t="inlineStr">
        <is>
          <t>Millbrae, CA</t>
        </is>
      </c>
      <c r="T170" s="49" t="inlineStr">
        <is>
          <t>www.meet.fm</t>
        </is>
      </c>
      <c r="U170" s="132">
        <f>HYPERLINK("https://my.pitchbook.com?c=58446-91", "View company online")</f>
      </c>
    </row>
    <row r="171">
      <c r="A171" s="9" t="inlineStr">
        <is>
          <t>54814-24</t>
        </is>
      </c>
      <c r="B171" s="10" t="inlineStr">
        <is>
          <t>YouCaring</t>
        </is>
      </c>
      <c r="C171" s="11" t="inlineStr">
        <is>
          <t/>
        </is>
      </c>
      <c r="D171" s="12" t="n">
        <v>1.6417425739333917</v>
      </c>
      <c r="E171" s="13" t="n">
        <v>406.31123072224767</v>
      </c>
      <c r="F171" s="14" t="n">
        <v>42396.0</v>
      </c>
      <c r="G171" s="15" t="inlineStr">
        <is>
          <t>Debt - General</t>
        </is>
      </c>
      <c r="H171" s="16" t="inlineStr">
        <is>
          <t>Senior Debt</t>
        </is>
      </c>
      <c r="I171" s="17" t="n">
        <v>1.5</v>
      </c>
      <c r="J171" s="18" t="inlineStr">
        <is>
          <t/>
        </is>
      </c>
      <c r="K171" s="19" t="inlineStr">
        <is>
          <t>Completed</t>
        </is>
      </c>
      <c r="L171" s="20" t="inlineStr">
        <is>
          <t>Privately Held (backing)</t>
        </is>
      </c>
      <c r="M171" s="21" t="inlineStr">
        <is>
          <t>Venture Capital-Backed</t>
        </is>
      </c>
      <c r="N171" s="22" t="inlineStr">
        <is>
          <t>The company received $1.5 million of debt financing from Avidbank on January 27, 2016.</t>
        </is>
      </c>
      <c r="O171" s="23" t="inlineStr">
        <is>
          <t>Alpine Investors</t>
        </is>
      </c>
      <c r="P171" s="24" t="inlineStr">
        <is>
          <t/>
        </is>
      </c>
      <c r="Q171" s="25" t="inlineStr">
        <is>
          <t>Social/Platform Software</t>
        </is>
      </c>
      <c r="R171" s="26" t="inlineStr">
        <is>
          <t>Operator of a fundraising platform. The company offers an online platform enabling individuals and business organizations to raise funds for medical expenses, tuition assistance, adoption and other purposes.</t>
        </is>
      </c>
      <c r="S171" s="27" t="inlineStr">
        <is>
          <t>San Francisco, CA</t>
        </is>
      </c>
      <c r="T171" s="28" t="inlineStr">
        <is>
          <t>www.youcaring.com</t>
        </is>
      </c>
      <c r="U171" s="131">
        <f>HYPERLINK("https://my.pitchbook.com?c=54814-24", "View company online")</f>
      </c>
    </row>
    <row r="172">
      <c r="A172" s="30" t="inlineStr">
        <is>
          <t>106911-46</t>
        </is>
      </c>
      <c r="B172" s="31" t="inlineStr">
        <is>
          <t>YouBloom</t>
        </is>
      </c>
      <c r="C172" s="32" t="inlineStr">
        <is>
          <t/>
        </is>
      </c>
      <c r="D172" s="33" t="n">
        <v>0.5048936318232194</v>
      </c>
      <c r="E172" s="34" t="n">
        <v>8.713651840070408</v>
      </c>
      <c r="F172" s="35" t="n">
        <v>42627.0</v>
      </c>
      <c r="G172" s="36" t="inlineStr">
        <is>
          <t>Product Crowdfunding</t>
        </is>
      </c>
      <c r="H172" s="37" t="inlineStr">
        <is>
          <t/>
        </is>
      </c>
      <c r="I172" s="38" t="inlineStr">
        <is>
          <t/>
        </is>
      </c>
      <c r="J172" s="39" t="inlineStr">
        <is>
          <t/>
        </is>
      </c>
      <c r="K172" s="40" t="inlineStr">
        <is>
          <t>Failed/Cancelled</t>
        </is>
      </c>
      <c r="L172" s="41" t="inlineStr">
        <is>
          <t>Privately Held (backing)</t>
        </is>
      </c>
      <c r="M172" s="42" t="inlineStr">
        <is>
          <t>Venture Capital-Backed</t>
        </is>
      </c>
      <c r="N172" s="43" t="inlineStr">
        <is>
          <t>The company failed to raise the target goal of $900 via crowdfunding platform Kickstarter on September 14, 2016. Subsequently the deal was cancelled. The company raised $1,121 of product crowdfunding via Indiegogo on undisclosed date.</t>
        </is>
      </c>
      <c r="O172" s="44" t="inlineStr">
        <is>
          <t>Irish Venture Capital Association</t>
        </is>
      </c>
      <c r="P172" s="45" t="inlineStr">
        <is>
          <t/>
        </is>
      </c>
      <c r="Q172" s="46" t="inlineStr">
        <is>
          <t>Media and Information Services (B2B)</t>
        </is>
      </c>
      <c r="R172" s="47" t="inlineStr">
        <is>
          <t>Operater of a social network that connects music lovers with artists. The company enables its members to browse and listen to music; and find artists and friends.</t>
        </is>
      </c>
      <c r="S172" s="48" t="inlineStr">
        <is>
          <t>Dublin, Ireland</t>
        </is>
      </c>
      <c r="T172" s="49" t="inlineStr">
        <is>
          <t>www.youbloom.com</t>
        </is>
      </c>
      <c r="U172" s="132">
        <f>HYPERLINK("https://my.pitchbook.com?c=106911-46", "View company online")</f>
      </c>
    </row>
    <row r="173">
      <c r="A173" s="9" t="inlineStr">
        <is>
          <t>54733-69</t>
        </is>
      </c>
      <c r="B173" s="10" t="inlineStr">
        <is>
          <t>YouAPPi</t>
        </is>
      </c>
      <c r="C173" s="11" t="inlineStr">
        <is>
          <t/>
        </is>
      </c>
      <c r="D173" s="12" t="n">
        <v>-1.5945441973478118</v>
      </c>
      <c r="E173" s="13" t="n">
        <v>6.315019456765957</v>
      </c>
      <c r="F173" s="14" t="n">
        <v>42417.0</v>
      </c>
      <c r="G173" s="15" t="inlineStr">
        <is>
          <t>Early Stage VC</t>
        </is>
      </c>
      <c r="H173" s="16" t="inlineStr">
        <is>
          <t>Series B</t>
        </is>
      </c>
      <c r="I173" s="17" t="n">
        <v>13.1</v>
      </c>
      <c r="J173" s="18" t="n">
        <v>49.2</v>
      </c>
      <c r="K173" s="19" t="inlineStr">
        <is>
          <t>Completed</t>
        </is>
      </c>
      <c r="L173" s="20" t="inlineStr">
        <is>
          <t>Privately Held (backing)</t>
        </is>
      </c>
      <c r="M173" s="21" t="inlineStr">
        <is>
          <t>Venture Capital-Backed</t>
        </is>
      </c>
      <c r="N173" s="22" t="inlineStr">
        <is>
          <t>The company raised $13.1 million of Series B venture funding from Altair, Hawk Ventures, Global Brain, Click Ventures, Digital Future, Emery Capital, Glilot Capital Partners, 2B Angels and Flint Capital on February 17, 2016, putting the pre-money valuation at $36.1 million. The company will use funds to expand in China, Japan and other markets and enhance OneRun.</t>
        </is>
      </c>
      <c r="O173" s="23" t="inlineStr">
        <is>
          <t>2B Angels, Altair Capital, Click Ventures, Digital Future, Emery Capital, Flint Capital, Glilot Capital Partners, Global Brain, Hawk Ventures, Individual Investor</t>
        </is>
      </c>
      <c r="P173" s="24" t="inlineStr">
        <is>
          <t/>
        </is>
      </c>
      <c r="Q173" s="25" t="inlineStr">
        <is>
          <t>Media and Information Services (B2B)</t>
        </is>
      </c>
      <c r="R173" s="26" t="inlineStr">
        <is>
          <t>Provider of mobile user acquisition platform. The company provides OneRun platform that combines the power of machine learning with predictive algorithms, and cohort technology to analyze the mobile content consumption patterns, converting data into profitable users.</t>
        </is>
      </c>
      <c r="S173" s="27" t="inlineStr">
        <is>
          <t>San Francisco, CA</t>
        </is>
      </c>
      <c r="T173" s="28" t="inlineStr">
        <is>
          <t>www.youappi.com</t>
        </is>
      </c>
      <c r="U173" s="131">
        <f>HYPERLINK("https://my.pitchbook.com?c=54733-69", "View company online")</f>
      </c>
    </row>
    <row r="174">
      <c r="A174" s="30" t="inlineStr">
        <is>
          <t>63724-42</t>
        </is>
      </c>
      <c r="B174" s="31" t="inlineStr">
        <is>
          <t>You There</t>
        </is>
      </c>
      <c r="C174" s="32" t="inlineStr">
        <is>
          <t/>
        </is>
      </c>
      <c r="D174" s="33" t="inlineStr">
        <is>
          <t/>
        </is>
      </c>
      <c r="E174" s="34" t="inlineStr">
        <is>
          <t/>
        </is>
      </c>
      <c r="F174" s="35" t="n">
        <v>41030.0</v>
      </c>
      <c r="G174" s="36" t="inlineStr">
        <is>
          <t>Accelerator/Incubator</t>
        </is>
      </c>
      <c r="H174" s="37" t="inlineStr">
        <is>
          <t/>
        </is>
      </c>
      <c r="I174" s="38" t="inlineStr">
        <is>
          <t/>
        </is>
      </c>
      <c r="J174" s="39" t="inlineStr">
        <is>
          <t/>
        </is>
      </c>
      <c r="K174" s="40" t="inlineStr">
        <is>
          <t>Completed</t>
        </is>
      </c>
      <c r="L174" s="41" t="inlineStr">
        <is>
          <t>Privately Held (backing)</t>
        </is>
      </c>
      <c r="M174" s="42" t="inlineStr">
        <is>
          <t>Venture Capital-Backed</t>
        </is>
      </c>
      <c r="N174" s="43" t="inlineStr">
        <is>
          <t>The company joined Y Combinator as part of the Summer 2012 class and received an undisclosed amount in funding in 2012.</t>
        </is>
      </c>
      <c r="O174" s="44" t="inlineStr">
        <is>
          <t>Y Combinator</t>
        </is>
      </c>
      <c r="P174" s="45" t="inlineStr">
        <is>
          <t/>
        </is>
      </c>
      <c r="Q174" s="46" t="inlineStr">
        <is>
          <t>Application Software</t>
        </is>
      </c>
      <c r="R174" s="47" t="inlineStr">
        <is>
          <t>Developer of software products.</t>
        </is>
      </c>
      <c r="S174" s="48" t="inlineStr">
        <is>
          <t>San Francisco, CA</t>
        </is>
      </c>
      <c r="T174" s="49" t="inlineStr">
        <is>
          <t/>
        </is>
      </c>
      <c r="U174" s="132">
        <f>HYPERLINK("https://my.pitchbook.com?c=63724-42", "View company online")</f>
      </c>
    </row>
    <row r="175">
      <c r="A175" s="9" t="inlineStr">
        <is>
          <t>53702-92</t>
        </is>
      </c>
      <c r="B175" s="10" t="inlineStr">
        <is>
          <t>YottaMark</t>
        </is>
      </c>
      <c r="C175" s="11" t="inlineStr">
        <is>
          <t/>
        </is>
      </c>
      <c r="D175" s="12" t="n">
        <v>-0.21068119584032363</v>
      </c>
      <c r="E175" s="13" t="n">
        <v>1.4338448618109636</v>
      </c>
      <c r="F175" s="14" t="inlineStr">
        <is>
          <t/>
        </is>
      </c>
      <c r="G175" s="15" t="inlineStr">
        <is>
          <t>Secondary Transaction - Private</t>
        </is>
      </c>
      <c r="H175" s="16" t="inlineStr">
        <is>
          <t/>
        </is>
      </c>
      <c r="I175" s="17" t="inlineStr">
        <is>
          <t/>
        </is>
      </c>
      <c r="J175" s="18" t="inlineStr">
        <is>
          <t/>
        </is>
      </c>
      <c r="K175" s="19" t="inlineStr">
        <is>
          <t>Completed</t>
        </is>
      </c>
      <c r="L175" s="20" t="inlineStr">
        <is>
          <t>Privately Held (backing)</t>
        </is>
      </c>
      <c r="M175" s="21" t="inlineStr">
        <is>
          <t>Venture Capital-Backed</t>
        </is>
      </c>
      <c r="N175" s="22" t="inlineStr">
        <is>
          <t>Thomvest Ventures sold its stake in the company on an undisclosed date.</t>
        </is>
      </c>
      <c r="O175" s="23" t="inlineStr">
        <is>
          <t>ATA Ventures, Granite Ventures, Thomvest International Limited, Westbury Partners</t>
        </is>
      </c>
      <c r="P175" s="24" t="inlineStr">
        <is>
          <t/>
        </is>
      </c>
      <c r="Q175" s="25" t="inlineStr">
        <is>
          <t>Business/Productivity Software</t>
        </is>
      </c>
      <c r="R175" s="26" t="inlineStr">
        <is>
          <t>Provider of fresh food traceability and supply-chain insights platform. The company offers HarvestMark, a cloud-based food-traceability platform that enables fresh food buyers and sellers to trace meat and seafood products back to the harvest.</t>
        </is>
      </c>
      <c r="S175" s="27" t="inlineStr">
        <is>
          <t>Redwood City, CA</t>
        </is>
      </c>
      <c r="T175" s="28" t="inlineStr">
        <is>
          <t>www.yottamark.com</t>
        </is>
      </c>
      <c r="U175" s="131">
        <f>HYPERLINK("https://my.pitchbook.com?c=53702-92", "View company online")</f>
      </c>
    </row>
    <row r="176">
      <c r="A176" s="30" t="inlineStr">
        <is>
          <t>162308-26</t>
        </is>
      </c>
      <c r="B176" s="31" t="inlineStr">
        <is>
          <t>YotaScale</t>
        </is>
      </c>
      <c r="C176" s="32" t="inlineStr">
        <is>
          <t/>
        </is>
      </c>
      <c r="D176" s="33" t="n">
        <v>0.0</v>
      </c>
      <c r="E176" s="34" t="n">
        <v>0.6904489234997709</v>
      </c>
      <c r="F176" s="35" t="n">
        <v>42416.0</v>
      </c>
      <c r="G176" s="36" t="inlineStr">
        <is>
          <t>Seed Round</t>
        </is>
      </c>
      <c r="H176" s="37" t="inlineStr">
        <is>
          <t>Seed</t>
        </is>
      </c>
      <c r="I176" s="38" t="n">
        <v>2.47</v>
      </c>
      <c r="J176" s="39" t="n">
        <v>11.5</v>
      </c>
      <c r="K176" s="40" t="inlineStr">
        <is>
          <t>Completed</t>
        </is>
      </c>
      <c r="L176" s="41" t="inlineStr">
        <is>
          <t>Privately Held (backing)</t>
        </is>
      </c>
      <c r="M176" s="42" t="inlineStr">
        <is>
          <t>Venture Capital-Backed</t>
        </is>
      </c>
      <c r="N176" s="43" t="inlineStr">
        <is>
          <t>The company raised $2.47 million of Seed 2 funding from NewDo Venture, Engineering Capital and Pelion Venture Partners on February 16, 2017, putting the pre-money valuation at $9.03 million. Jocelyn Goldfein, Timothy Chou, Robert Dykes and other undisclosed investors also participated. The company will use the proceeds from the funding to optimize cloud computing for enterprises. This brings the company's seed funding total to $3.6 million.</t>
        </is>
      </c>
      <c r="O176" s="44" t="inlineStr">
        <is>
          <t>Alchemist Accelerator, Engineering Capital, Jocelyn Goldfein, NewDo Venture, Pelion Venture Partners, Robert Dykes, Timothy Chou</t>
        </is>
      </c>
      <c r="P176" s="45" t="inlineStr">
        <is>
          <t/>
        </is>
      </c>
      <c r="Q176" s="46" t="inlineStr">
        <is>
          <t>Business/Productivity Software</t>
        </is>
      </c>
      <c r="R176" s="47" t="inlineStr">
        <is>
          <t>Provider of a platform for cloud computing. The company provides an enterprise-grade systems management platform for cloud computing.</t>
        </is>
      </c>
      <c r="S176" s="48" t="inlineStr">
        <is>
          <t>Menlo Park, CA</t>
        </is>
      </c>
      <c r="T176" s="49" t="inlineStr">
        <is>
          <t>www.yotascale.com</t>
        </is>
      </c>
      <c r="U176" s="132">
        <f>HYPERLINK("https://my.pitchbook.com?c=162308-26", "View company online")</f>
      </c>
    </row>
    <row r="177">
      <c r="A177" s="9" t="inlineStr">
        <is>
          <t>54991-81</t>
        </is>
      </c>
      <c r="B177" s="10" t="inlineStr">
        <is>
          <t>Yosko</t>
        </is>
      </c>
      <c r="C177" s="11" t="inlineStr">
        <is>
          <t/>
        </is>
      </c>
      <c r="D177" s="12" t="n">
        <v>-0.015263159187771278</v>
      </c>
      <c r="E177" s="13" t="n">
        <v>1.2077551548811682</v>
      </c>
      <c r="F177" s="14" t="n">
        <v>42464.0</v>
      </c>
      <c r="G177" s="15" t="inlineStr">
        <is>
          <t>Accelerator/Incubator</t>
        </is>
      </c>
      <c r="H177" s="16" t="inlineStr">
        <is>
          <t/>
        </is>
      </c>
      <c r="I177" s="17" t="n">
        <v>0.29</v>
      </c>
      <c r="J177" s="18" t="inlineStr">
        <is>
          <t/>
        </is>
      </c>
      <c r="K177" s="19" t="inlineStr">
        <is>
          <t>Completed</t>
        </is>
      </c>
      <c r="L177" s="20" t="inlineStr">
        <is>
          <t>Privately Held (backing)</t>
        </is>
      </c>
      <c r="M177" s="21" t="inlineStr">
        <is>
          <t>Venture Capital-Backed</t>
        </is>
      </c>
      <c r="N177" s="22" t="inlineStr">
        <is>
          <t>The company joined Techstars as part a of the Healthcare 2016 Spring Class and received $290,000 of funding on April 4, 2016. Earlier, the company raised an undisclosed amount of venture funding from Right Side Capital Management in 2016.</t>
        </is>
      </c>
      <c r="O177" s="23" t="inlineStr">
        <is>
          <t>Healthbox, Right Side Capital Management, Sprint Accelerator, Techstars</t>
        </is>
      </c>
      <c r="P177" s="24" t="inlineStr">
        <is>
          <t/>
        </is>
      </c>
      <c r="Q177" s="25" t="inlineStr">
        <is>
          <t>Medical Records Systems</t>
        </is>
      </c>
      <c r="R177" s="26" t="inlineStr">
        <is>
          <t>Developer of a mobile patient care application designed to improve transitions of care and reduce preventable medical errors. The company's mobile patient care application interfaces with the hospitals' electronic health records systems to provide on-the-go access to patient records, enabling users to experience a smooth and safe patient care coordination on a single platform.</t>
        </is>
      </c>
      <c r="S177" s="27" t="inlineStr">
        <is>
          <t>Los Angeles, CA</t>
        </is>
      </c>
      <c r="T177" s="28" t="inlineStr">
        <is>
          <t>www.yosko.com</t>
        </is>
      </c>
      <c r="U177" s="131">
        <f>HYPERLINK("https://my.pitchbook.com?c=54991-81", "View company online")</f>
      </c>
    </row>
    <row r="178">
      <c r="A178" s="30" t="inlineStr">
        <is>
          <t>111254-95</t>
        </is>
      </c>
      <c r="B178" s="31" t="inlineStr">
        <is>
          <t>YoShirt</t>
        </is>
      </c>
      <c r="C178" s="32" t="inlineStr">
        <is>
          <t/>
        </is>
      </c>
      <c r="D178" s="33" t="n">
        <v>-0.005219744516274666</v>
      </c>
      <c r="E178" s="34" t="n">
        <v>8.822494046314974</v>
      </c>
      <c r="F178" s="35" t="n">
        <v>42080.0</v>
      </c>
      <c r="G178" s="36" t="inlineStr">
        <is>
          <t>Seed Round</t>
        </is>
      </c>
      <c r="H178" s="37" t="inlineStr">
        <is>
          <t>Seed</t>
        </is>
      </c>
      <c r="I178" s="38" t="n">
        <v>1.1</v>
      </c>
      <c r="J178" s="39" t="inlineStr">
        <is>
          <t/>
        </is>
      </c>
      <c r="K178" s="40" t="inlineStr">
        <is>
          <t>Completed</t>
        </is>
      </c>
      <c r="L178" s="41" t="inlineStr">
        <is>
          <t>Privately Held (backing)</t>
        </is>
      </c>
      <c r="M178" s="42" t="inlineStr">
        <is>
          <t>Venture Capital-Backed</t>
        </is>
      </c>
      <c r="N178" s="43" t="inlineStr">
        <is>
          <t>The company raised $1.1 million of seed funding in a deal led by Resolute Ventures on March 17, 2015. Pritzger Group Ventuer Capital, KPCBedge, Mesa Ventures, Kevin O'Conner, Alex OK, Anthony Longo and Arjun Sethi also participated in this round.</t>
        </is>
      </c>
      <c r="O178" s="44" t="inlineStr">
        <is>
          <t>Alex Ok, Anthony Longo, Arjun Sethi, Kevin O'Conner, Kleiner Perkins Caufield &amp; Byers, KPCB Edge, Mesa Ventures, Pritzker Group Venture Capital, Resolute Ventures</t>
        </is>
      </c>
      <c r="P178" s="45" t="inlineStr">
        <is>
          <t/>
        </is>
      </c>
      <c r="Q178" s="46" t="inlineStr">
        <is>
          <t>Application Software</t>
        </is>
      </c>
      <c r="R178" s="47" t="inlineStr">
        <is>
          <t>Provider of an application for cloth designing. The company offers a platform that allows users to use photos, stickers, fonts, and other various tools to design garments via a mobile device and purchase just one unit at a time through a stream-lined supply chain.</t>
        </is>
      </c>
      <c r="S178" s="48" t="inlineStr">
        <is>
          <t>Los Angeles, CA</t>
        </is>
      </c>
      <c r="T178" s="49" t="inlineStr">
        <is>
          <t>www.yoshirt.com</t>
        </is>
      </c>
      <c r="U178" s="132">
        <f>HYPERLINK("https://my.pitchbook.com?c=111254-95", "View company online")</f>
      </c>
    </row>
    <row r="179">
      <c r="A179" s="9" t="inlineStr">
        <is>
          <t>117408-70</t>
        </is>
      </c>
      <c r="B179" s="10" t="inlineStr">
        <is>
          <t>YONO Labs</t>
        </is>
      </c>
      <c r="C179" s="11" t="inlineStr">
        <is>
          <t/>
        </is>
      </c>
      <c r="D179" s="12" t="n">
        <v>0.23104524735149404</v>
      </c>
      <c r="E179" s="13" t="n">
        <v>8.269478579537534</v>
      </c>
      <c r="F179" s="14" t="n">
        <v>42264.0</v>
      </c>
      <c r="G179" s="15" t="inlineStr">
        <is>
          <t>Product Crowdfunding</t>
        </is>
      </c>
      <c r="H179" s="16" t="inlineStr">
        <is>
          <t/>
        </is>
      </c>
      <c r="I179" s="17" t="n">
        <v>0.05</v>
      </c>
      <c r="J179" s="18" t="inlineStr">
        <is>
          <t/>
        </is>
      </c>
      <c r="K179" s="19" t="inlineStr">
        <is>
          <t>Completed</t>
        </is>
      </c>
      <c r="L179" s="20" t="inlineStr">
        <is>
          <t>Privately Held (backing)</t>
        </is>
      </c>
      <c r="M179" s="21" t="inlineStr">
        <is>
          <t>Venture Capital-Backed</t>
        </is>
      </c>
      <c r="N179" s="22" t="inlineStr">
        <is>
          <t>The company raised $53,480 of product crowdfunding via Kickstarter on September 17, 2015. Previously, the company joined Lab360 Hardware Incubator on June 1, 2015.</t>
        </is>
      </c>
      <c r="O179" s="23" t="inlineStr">
        <is>
          <t>Amino Capital, Lab360 Hardware Incubator</t>
        </is>
      </c>
      <c r="P179" s="24" t="inlineStr">
        <is>
          <t/>
        </is>
      </c>
      <c r="Q179" s="25" t="inlineStr">
        <is>
          <t>Monitoring Equipment</t>
        </is>
      </c>
      <c r="R179" s="26" t="inlineStr">
        <is>
          <t>Provider of wearable earbud designed to measure basal body temperature, which may be used in predicting ovulation. The company's wearable earbud is a silicone-encased earpiece which is worn all night to measure core body temperature by using machine learning algorithms to plot a monthly fertility chart to predict one's fertile window, enabling women to have natural family planning and hormonal health monitoring simple.</t>
        </is>
      </c>
      <c r="S179" s="27" t="inlineStr">
        <is>
          <t>Mountain View, CA</t>
        </is>
      </c>
      <c r="T179" s="28" t="inlineStr">
        <is>
          <t>www.yonolabs.com</t>
        </is>
      </c>
      <c r="U179" s="131">
        <f>HYPERLINK("https://my.pitchbook.com?c=117408-70", "View company online")</f>
      </c>
    </row>
    <row r="180">
      <c r="A180" s="30" t="inlineStr">
        <is>
          <t>99994-78</t>
        </is>
      </c>
      <c r="B180" s="31" t="inlineStr">
        <is>
          <t>Yolia Health</t>
        </is>
      </c>
      <c r="C180" s="32" t="inlineStr">
        <is>
          <t/>
        </is>
      </c>
      <c r="D180" s="33" t="n">
        <v>0.4153186293291943</v>
      </c>
      <c r="E180" s="34" t="n">
        <v>25.582692630518718</v>
      </c>
      <c r="F180" s="35" t="n">
        <v>41625.0</v>
      </c>
      <c r="G180" s="36" t="inlineStr">
        <is>
          <t>Accelerator/Incubator</t>
        </is>
      </c>
      <c r="H180" s="37" t="inlineStr">
        <is>
          <t/>
        </is>
      </c>
      <c r="I180" s="38" t="inlineStr">
        <is>
          <t/>
        </is>
      </c>
      <c r="J180" s="39" t="inlineStr">
        <is>
          <t/>
        </is>
      </c>
      <c r="K180" s="40" t="inlineStr">
        <is>
          <t>Completed</t>
        </is>
      </c>
      <c r="L180" s="41" t="inlineStr">
        <is>
          <t>Privately Held (backing)</t>
        </is>
      </c>
      <c r="M180" s="42" t="inlineStr">
        <is>
          <t>Venture Capital-Backed</t>
        </is>
      </c>
      <c r="N180" s="43" t="inlineStr">
        <is>
          <t>The company joined Arizona Commerce Authority as part of the Fall 2013 class on December 17, 2013. The funding was raised in the form of grant. MIT Venture Mentoring Service and JLabs also participated in the round.</t>
        </is>
      </c>
      <c r="O180" s="44" t="inlineStr">
        <is>
          <t>Angel Ventures, Arizona Commerce Authority, BioAccel, Endeavor Global, Fusion Ventures, JLabs, MIT Venture Mentoring Service</t>
        </is>
      </c>
      <c r="P180" s="45" t="inlineStr">
        <is>
          <t/>
        </is>
      </c>
      <c r="Q180" s="46" t="inlineStr">
        <is>
          <t>Other Devices and Supplies</t>
        </is>
      </c>
      <c r="R180" s="47" t="inlineStr">
        <is>
          <t>Developer of biomedical devices for the eye-care sector. The company offers non-invasive treatments for presbyopia, a normal age-related condition that includes blurred vision when reading or doing close work.</t>
        </is>
      </c>
      <c r="S180" s="48" t="inlineStr">
        <is>
          <t>San Diego, CA</t>
        </is>
      </c>
      <c r="T180" s="49" t="inlineStr">
        <is>
          <t>www.yolia.com</t>
        </is>
      </c>
      <c r="U180" s="132">
        <f>HYPERLINK("https://my.pitchbook.com?c=99994-78", "View company online")</f>
      </c>
    </row>
    <row r="181">
      <c r="A181" s="9" t="inlineStr">
        <is>
          <t>52629-58</t>
        </is>
      </c>
      <c r="B181" s="10" t="inlineStr">
        <is>
          <t>Yola</t>
        </is>
      </c>
      <c r="C181" s="11" t="inlineStr">
        <is>
          <t/>
        </is>
      </c>
      <c r="D181" s="12" t="n">
        <v>-5.264803577939009</v>
      </c>
      <c r="E181" s="13" t="n">
        <v>106.01517229409639</v>
      </c>
      <c r="F181" s="14" t="n">
        <v>39861.0</v>
      </c>
      <c r="G181" s="15" t="inlineStr">
        <is>
          <t>Early Stage VC</t>
        </is>
      </c>
      <c r="H181" s="16" t="inlineStr">
        <is>
          <t>Series B</t>
        </is>
      </c>
      <c r="I181" s="17" t="n">
        <v>20.0</v>
      </c>
      <c r="J181" s="18" t="n">
        <v>55.95</v>
      </c>
      <c r="K181" s="19" t="inlineStr">
        <is>
          <t>Completed</t>
        </is>
      </c>
      <c r="L181" s="20" t="inlineStr">
        <is>
          <t>Privately Held (backing)</t>
        </is>
      </c>
      <c r="M181" s="21" t="inlineStr">
        <is>
          <t>Venture Capital-Backed</t>
        </is>
      </c>
      <c r="N181" s="22" t="inlineStr">
        <is>
          <t>The company raised $20 million of Series B Funding from Reinet Investment on February 17, 2009, putting the pre-money valuation at $20 million.</t>
        </is>
      </c>
      <c r="O181" s="23" t="inlineStr">
        <is>
          <t>Columbus Venture Capital, Reinet Investments</t>
        </is>
      </c>
      <c r="P181" s="24" t="inlineStr">
        <is>
          <t/>
        </is>
      </c>
      <c r="Q181" s="25" t="inlineStr">
        <is>
          <t>Social/Platform Software</t>
        </is>
      </c>
      <c r="R181" s="26" t="inlineStr">
        <is>
          <t>Operator of a website builder and website hosting company. The company allows users to build web sites and to incorporate widgets without knowing HTML. It integrates e-commerce and blog software and acts as a domain registrar.</t>
        </is>
      </c>
      <c r="S181" s="27" t="inlineStr">
        <is>
          <t>San Francisco, CA</t>
        </is>
      </c>
      <c r="T181" s="28" t="inlineStr">
        <is>
          <t>www.yola.com</t>
        </is>
      </c>
      <c r="U181" s="131">
        <f>HYPERLINK("https://my.pitchbook.com?c=52629-58", "View company online")</f>
      </c>
    </row>
    <row r="182">
      <c r="A182" s="30" t="inlineStr">
        <is>
          <t>109216-27</t>
        </is>
      </c>
      <c r="B182" s="31" t="inlineStr">
        <is>
          <t>Yoi</t>
        </is>
      </c>
      <c r="C182" s="32" t="inlineStr">
        <is>
          <t/>
        </is>
      </c>
      <c r="D182" s="33" t="n">
        <v>0.0</v>
      </c>
      <c r="E182" s="34" t="n">
        <v>0.34512338425381905</v>
      </c>
      <c r="F182" s="35" t="n">
        <v>42822.0</v>
      </c>
      <c r="G182" s="36" t="inlineStr">
        <is>
          <t>Seed Round</t>
        </is>
      </c>
      <c r="H182" s="37" t="inlineStr">
        <is>
          <t>Seed</t>
        </is>
      </c>
      <c r="I182" s="38" t="n">
        <v>3.38</v>
      </c>
      <c r="J182" s="39" t="n">
        <v>25.88</v>
      </c>
      <c r="K182" s="40" t="inlineStr">
        <is>
          <t>Announced/In Progress</t>
        </is>
      </c>
      <c r="L182" s="41" t="inlineStr">
        <is>
          <t>Privately Held (backing)</t>
        </is>
      </c>
      <c r="M182" s="42" t="inlineStr">
        <is>
          <t>Venture Capital-Backed</t>
        </is>
      </c>
      <c r="N182" s="43" t="inlineStr">
        <is>
          <t>The company has closed on $3.38 million of seed funding from Cornerstone OnDemand, AngelList, and Innovation Group as of March 28, 2017, putting the pre-money valuation at $22.5 million. Double M Partners, Winterbay Union Capital Corp, Wavemaker Partners, Karlin Ventures, Millennium Trust, Perell Family Trust, William F. Read Revocable Trust, 10X Capital Management, Reign Deer Investments, and Mears Investments also participated in the round. The company plans to close the round by December 31, 2017. The company is being actively tracked by PitchBook.</t>
        </is>
      </c>
      <c r="O182" s="44" t="inlineStr">
        <is>
          <t>10X Capital Management, Andy White, AngelList, Anthony Hsieh, Bradley Keywell, Cornerstone OnDemand, Dave Morin, Double M Partners, Innovation Group, Karlin Ventures, Keith Ferrazzi, Learn Capital, Millennium Trust Company, RRE Ventures, Slow Ventures, TYLT Ventures, VTF Capital, Wavemaker Partners</t>
        </is>
      </c>
      <c r="P182" s="45" t="inlineStr">
        <is>
          <t/>
        </is>
      </c>
      <c r="Q182" s="46" t="inlineStr">
        <is>
          <t>Business/Productivity Software</t>
        </is>
      </c>
      <c r="R182" s="47" t="inlineStr">
        <is>
          <t>Developer of an employee success platform designed to improve human performance in the workplace. The company's employee success platform combines behavioral science and decision-making algorithms to drive workforce performance and engagement, enabling enterprises to accelerate new employees ramp to productivity, while boosting engagement and retention.</t>
        </is>
      </c>
      <c r="S182" s="48" t="inlineStr">
        <is>
          <t>Los Angeles, CA</t>
        </is>
      </c>
      <c r="T182" s="49" t="inlineStr">
        <is>
          <t>www.yoicorp.com</t>
        </is>
      </c>
      <c r="U182" s="132">
        <f>HYPERLINK("https://my.pitchbook.com?c=109216-27", "View company online")</f>
      </c>
    </row>
    <row r="183">
      <c r="A183" s="9" t="inlineStr">
        <is>
          <t>54460-54</t>
        </is>
      </c>
      <c r="B183" s="10" t="inlineStr">
        <is>
          <t>Yogome</t>
        </is>
      </c>
      <c r="C183" s="11" t="inlineStr">
        <is>
          <t/>
        </is>
      </c>
      <c r="D183" s="12" t="n">
        <v>3.0119431709224282</v>
      </c>
      <c r="E183" s="13" t="n">
        <v>25.879992986459456</v>
      </c>
      <c r="F183" s="14" t="n">
        <v>42886.0</v>
      </c>
      <c r="G183" s="15" t="inlineStr">
        <is>
          <t>Early Stage VC</t>
        </is>
      </c>
      <c r="H183" s="16" t="inlineStr">
        <is>
          <t>Series A</t>
        </is>
      </c>
      <c r="I183" s="17" t="n">
        <v>6.6</v>
      </c>
      <c r="J183" s="18" t="inlineStr">
        <is>
          <t/>
        </is>
      </c>
      <c r="K183" s="19" t="inlineStr">
        <is>
          <t>Completed</t>
        </is>
      </c>
      <c r="L183" s="20" t="inlineStr">
        <is>
          <t>Privately Held (backing)</t>
        </is>
      </c>
      <c r="M183" s="21" t="inlineStr">
        <is>
          <t>Venture Capital-Backed</t>
        </is>
      </c>
      <c r="N183" s="22" t="inlineStr">
        <is>
          <t>The company raised $6.6 million of Series A venture funding in a round led by Seaya Ventures on May 31, 2017. Variv Capital and Endeavor Global also participated in this round. The company, which has raised $10 million in total funding to date, will use the funds to to reach 1 million subscribers and to continue its geographical expansion to China, Korea and Japan.</t>
        </is>
      </c>
      <c r="O183" s="23" t="inlineStr">
        <is>
          <t>500 Startups, Benjamin Joffe, David McClure, Elliot Loh, Endeavor Global, John McIntire, Juan Salaverria, Maneesh Arora, Mario Valle, Mexican.vc Ventures, Seaya Ventures, Topaz Capital, Variv Capital</t>
        </is>
      </c>
      <c r="P183" s="24" t="inlineStr">
        <is>
          <t/>
        </is>
      </c>
      <c r="Q183" s="25" t="inlineStr">
        <is>
          <t>Entertainment Software</t>
        </is>
      </c>
      <c r="R183" s="26" t="inlineStr">
        <is>
          <t>Developer of educational games for kids designed to build the most engaging bilingual portfolio of games. The company's educational games allow kids of age 5 to 11 years learn and practice math, languages, recycling and the environment, nutrition, discover science, geography and history, enabling them to learn in a fun way.</t>
        </is>
      </c>
      <c r="S183" s="27" t="inlineStr">
        <is>
          <t>Mexico City, Mexico</t>
        </is>
      </c>
      <c r="T183" s="28" t="inlineStr">
        <is>
          <t>www.yogome.com</t>
        </is>
      </c>
      <c r="U183" s="131">
        <f>HYPERLINK("https://my.pitchbook.com?c=54460-54", "View company online")</f>
      </c>
    </row>
    <row r="184">
      <c r="A184" s="30" t="inlineStr">
        <is>
          <t>98502-49</t>
        </is>
      </c>
      <c r="B184" s="31" t="inlineStr">
        <is>
          <t>Yogatrail</t>
        </is>
      </c>
      <c r="C184" s="32" t="inlineStr">
        <is>
          <t/>
        </is>
      </c>
      <c r="D184" s="33" t="n">
        <v>-0.384933958396504</v>
      </c>
      <c r="E184" s="34" t="n">
        <v>91.82973091525047</v>
      </c>
      <c r="F184" s="35" t="inlineStr">
        <is>
          <t/>
        </is>
      </c>
      <c r="G184" s="36" t="inlineStr">
        <is>
          <t>Early Stage VC</t>
        </is>
      </c>
      <c r="H184" s="37" t="inlineStr">
        <is>
          <t/>
        </is>
      </c>
      <c r="I184" s="38" t="n">
        <v>0.75</v>
      </c>
      <c r="J184" s="39" t="inlineStr">
        <is>
          <t/>
        </is>
      </c>
      <c r="K184" s="40" t="inlineStr">
        <is>
          <t>Completed</t>
        </is>
      </c>
      <c r="L184" s="41" t="inlineStr">
        <is>
          <t>Privately Held (backing)</t>
        </is>
      </c>
      <c r="M184" s="42" t="inlineStr">
        <is>
          <t>Venture Capital-Backed</t>
        </is>
      </c>
      <c r="N184" s="43" t="inlineStr">
        <is>
          <t>The company raised $750,000 of venture funding in a deal led by Expara IDM Ventures on an undisclosed date. Other undisclosed investors also participated in the round.</t>
        </is>
      </c>
      <c r="O184" s="44" t="inlineStr">
        <is>
          <t>500 Startups, David McClure, Expara IDM Ventures, Khailee Ng, Sven Ernst</t>
        </is>
      </c>
      <c r="P184" s="45" t="inlineStr">
        <is>
          <t/>
        </is>
      </c>
      <c r="Q184" s="46" t="inlineStr">
        <is>
          <t>Social/Platform Software</t>
        </is>
      </c>
      <c r="R184" s="47" t="inlineStr">
        <is>
          <t>Provider of a platform designed to connect yoga practitioners with their instructors. The company's platform provides timely information about yoga events and happenings in a particular area to the yoga community, enabling yoga teachers to communicate with their students and keep them in the loop about classes, workshops, news and events.</t>
        </is>
      </c>
      <c r="S184" s="48" t="inlineStr">
        <is>
          <t>San Francisco, CA</t>
        </is>
      </c>
      <c r="T184" s="49" t="inlineStr">
        <is>
          <t>www.yogatrail.com</t>
        </is>
      </c>
      <c r="U184" s="132">
        <f>HYPERLINK("https://my.pitchbook.com?c=98502-49", "View company online")</f>
      </c>
    </row>
    <row r="185">
      <c r="A185" s="9" t="inlineStr">
        <is>
          <t>54720-01</t>
        </is>
      </c>
      <c r="B185" s="10" t="inlineStr">
        <is>
          <t>Yodo1</t>
        </is>
      </c>
      <c r="C185" s="11" t="inlineStr">
        <is>
          <t/>
        </is>
      </c>
      <c r="D185" s="12" t="n">
        <v>0.2974571661091715</v>
      </c>
      <c r="E185" s="13" t="n">
        <v>4.074097700184657</v>
      </c>
      <c r="F185" s="14" t="n">
        <v>41618.0</v>
      </c>
      <c r="G185" s="15" t="inlineStr">
        <is>
          <t>Early Stage VC</t>
        </is>
      </c>
      <c r="H185" s="16" t="inlineStr">
        <is>
          <t>Series B</t>
        </is>
      </c>
      <c r="I185" s="17" t="n">
        <v>11.0</v>
      </c>
      <c r="J185" s="18" t="inlineStr">
        <is>
          <t/>
        </is>
      </c>
      <c r="K185" s="19" t="inlineStr">
        <is>
          <t>Completed</t>
        </is>
      </c>
      <c r="L185" s="20" t="inlineStr">
        <is>
          <t>Privately Held (backing)</t>
        </is>
      </c>
      <c r="M185" s="21" t="inlineStr">
        <is>
          <t>Venture Capital-Backed</t>
        </is>
      </c>
      <c r="N185" s="22" t="inlineStr">
        <is>
          <t>The company raised $11 million of Series B venture funding in a deal led by GGV Capital on December 10, 2013. SingTel Innov8, Pavillion Capital and Iris Capital Management also participated in this transaction. The company intends to use the funds to strengthen its core business and support strategic expansion into Japan and Korea. Previously, the company raised $5 million of Series A venture funding in a deal led by SingTel Innov8 on April 17, 2013. Changyou Fund and Zhi Tan also participated in this transaction. The company will use the funding to meet incessant and continued demand from non-Chinese indie developers avid to enter the world’s largest mobile game market.</t>
        </is>
      </c>
      <c r="O185" s="23" t="inlineStr">
        <is>
          <t>Changyou Fund, GGV Capital, Individual Investor, Iris Capital Management, Pavillion Capital, RTM Asia, Singtel Innov8, Zhi Tan</t>
        </is>
      </c>
      <c r="P185" s="24" t="inlineStr">
        <is>
          <t/>
        </is>
      </c>
      <c r="Q185" s="25" t="inlineStr">
        <is>
          <t>Entertainment Software</t>
        </is>
      </c>
      <c r="R185" s="26" t="inlineStr">
        <is>
          <t>Provider of an online publishing and mobile game developing platform. The company provides a full-service publishing platform that helps mobile game developers to launch their titles in China's mobile gaming market.</t>
        </is>
      </c>
      <c r="S185" s="27" t="inlineStr">
        <is>
          <t>Beijing, China</t>
        </is>
      </c>
      <c r="T185" s="28" t="inlineStr">
        <is>
          <t>www.yodo1.com</t>
        </is>
      </c>
      <c r="U185" s="131">
        <f>HYPERLINK("https://my.pitchbook.com?c=54720-01", "View company online")</f>
      </c>
    </row>
    <row r="186">
      <c r="A186" s="30" t="inlineStr">
        <is>
          <t>120810-70</t>
        </is>
      </c>
      <c r="B186" s="31" t="inlineStr">
        <is>
          <t>Yodas</t>
        </is>
      </c>
      <c r="C186" s="32" t="inlineStr">
        <is>
          <t/>
        </is>
      </c>
      <c r="D186" s="33" t="n">
        <v>0.02280355935911492</v>
      </c>
      <c r="E186" s="34" t="n">
        <v>0.5858925643192409</v>
      </c>
      <c r="F186" s="35" t="inlineStr">
        <is>
          <t/>
        </is>
      </c>
      <c r="G186" s="36" t="inlineStr">
        <is>
          <t>Early Stage VC</t>
        </is>
      </c>
      <c r="H186" s="37" t="inlineStr">
        <is>
          <t/>
        </is>
      </c>
      <c r="I186" s="38" t="inlineStr">
        <is>
          <t/>
        </is>
      </c>
      <c r="J186" s="39" t="inlineStr">
        <is>
          <t/>
        </is>
      </c>
      <c r="K186" s="40" t="inlineStr">
        <is>
          <t>Completed</t>
        </is>
      </c>
      <c r="L186" s="41" t="inlineStr">
        <is>
          <t>Privately Held (backing)</t>
        </is>
      </c>
      <c r="M186" s="42" t="inlineStr">
        <is>
          <t>Venture Capital-Backed</t>
        </is>
      </c>
      <c r="N186" s="43" t="inlineStr">
        <is>
          <t>The company raised venture funding from SignalFire on an undisclosed date.</t>
        </is>
      </c>
      <c r="O186" s="44" t="inlineStr">
        <is>
          <t>Elevator Fund, HillsVen Capital, NFX Guild, SignalFire</t>
        </is>
      </c>
      <c r="P186" s="45" t="inlineStr">
        <is>
          <t/>
        </is>
      </c>
      <c r="Q186" s="46" t="inlineStr">
        <is>
          <t>Social Content</t>
        </is>
      </c>
      <c r="R186" s="47" t="inlineStr">
        <is>
          <t>Developer of an online discovery engine designed to analyse all the startups on the basis of their team pedigree, expertise, growth rate, business success, financial stability and technology. The company's online discovery engine offers a professional graph which provides information about products and projects, unfolds the human story behind product creation and leads to new opportunities for hiring, team creation, consulting and recruiting, enabling software developers, product managers and designers to analyse all startup companies.</t>
        </is>
      </c>
      <c r="S186" s="48" t="inlineStr">
        <is>
          <t>Mountain View, CA</t>
        </is>
      </c>
      <c r="T186" s="49" t="inlineStr">
        <is>
          <t>www.yodas.com</t>
        </is>
      </c>
      <c r="U186" s="132">
        <f>HYPERLINK("https://my.pitchbook.com?c=120810-70", "View company online")</f>
      </c>
    </row>
    <row r="187">
      <c r="A187" s="9" t="inlineStr">
        <is>
          <t>89964-64</t>
        </is>
      </c>
      <c r="B187" s="10" t="inlineStr">
        <is>
          <t>YoAmo Media</t>
        </is>
      </c>
      <c r="C187" s="11" t="inlineStr">
        <is>
          <t/>
        </is>
      </c>
      <c r="D187" s="12" t="n">
        <v>1.5428692370265924</v>
      </c>
      <c r="E187" s="13" t="n">
        <v>13063.853940955378</v>
      </c>
      <c r="F187" s="14" t="n">
        <v>42005.0</v>
      </c>
      <c r="G187" s="15" t="inlineStr">
        <is>
          <t>Early Stage VC</t>
        </is>
      </c>
      <c r="H187" s="16" t="inlineStr">
        <is>
          <t/>
        </is>
      </c>
      <c r="I187" s="17" t="inlineStr">
        <is>
          <t/>
        </is>
      </c>
      <c r="J187" s="18" t="inlineStr">
        <is>
          <t/>
        </is>
      </c>
      <c r="K187" s="19" t="inlineStr">
        <is>
          <t>Completed</t>
        </is>
      </c>
      <c r="L187" s="20" t="inlineStr">
        <is>
          <t>Privately Held (backing)</t>
        </is>
      </c>
      <c r="M187" s="21" t="inlineStr">
        <is>
          <t>Venture Capital-Backed</t>
        </is>
      </c>
      <c r="N187" s="22" t="inlineStr">
        <is>
          <t>The company raised an undisclosed amount of venture funding from DILA Capital in 2015.</t>
        </is>
      </c>
      <c r="O187" s="23" t="inlineStr">
        <is>
          <t>500 Startups, Bhupen Shah, DILA Capital, Michael Liou, Sherman Ting, Sumit Gupta, Tandem Capital, Vikrant Bhargava</t>
        </is>
      </c>
      <c r="P187" s="24" t="inlineStr">
        <is>
          <t/>
        </is>
      </c>
      <c r="Q187" s="25" t="inlineStr">
        <is>
          <t>Social/Platform Software</t>
        </is>
      </c>
      <c r="R187" s="26" t="inlineStr">
        <is>
          <t>Provider of an omni-channel to connect with the Latin Woman.</t>
        </is>
      </c>
      <c r="S187" s="27" t="inlineStr">
        <is>
          <t>Burlingame, CA</t>
        </is>
      </c>
      <c r="T187" s="28" t="inlineStr">
        <is>
          <t>www.yoamoloszapatos.com</t>
        </is>
      </c>
      <c r="U187" s="131">
        <f>HYPERLINK("https://my.pitchbook.com?c=89964-64", "View company online")</f>
      </c>
    </row>
    <row r="188">
      <c r="A188" s="30" t="inlineStr">
        <is>
          <t>64094-95</t>
        </is>
      </c>
      <c r="B188" s="31" t="inlineStr">
        <is>
          <t>Yo App</t>
        </is>
      </c>
      <c r="C188" s="32" t="inlineStr">
        <is>
          <t/>
        </is>
      </c>
      <c r="D188" s="33" t="n">
        <v>-0.017458120599205207</v>
      </c>
      <c r="E188" s="34" t="n">
        <v>15.36271169843388</v>
      </c>
      <c r="F188" s="35" t="n">
        <v>41875.0</v>
      </c>
      <c r="G188" s="36" t="inlineStr">
        <is>
          <t>Accelerator/Incubator</t>
        </is>
      </c>
      <c r="H188" s="37" t="inlineStr">
        <is>
          <t/>
        </is>
      </c>
      <c r="I188" s="38" t="inlineStr">
        <is>
          <t/>
        </is>
      </c>
      <c r="J188" s="39" t="inlineStr">
        <is>
          <t/>
        </is>
      </c>
      <c r="K188" s="40" t="inlineStr">
        <is>
          <t>Completed</t>
        </is>
      </c>
      <c r="L188" s="41" t="inlineStr">
        <is>
          <t>Privately Held (backing)</t>
        </is>
      </c>
      <c r="M188" s="42" t="inlineStr">
        <is>
          <t>Venture Capital-Backed</t>
        </is>
      </c>
      <c r="N188" s="43" t="inlineStr">
        <is>
          <t>The company joined Pitney Bowes on August 24, 2014. Previously the company raised $1.5 million of seed funding from Slow Ventures, Betaworks and Singulariteam on July 18, 2014. Vic Lee, Ed Baker and Pete Cashmore also participated in this round.</t>
        </is>
      </c>
      <c r="O188" s="44" t="inlineStr">
        <is>
          <t>Betaworks, Ed Baker, Pete Cashmore, Pitney Bowes, Singulariteam, Slow Ventures, Vic Lee</t>
        </is>
      </c>
      <c r="P188" s="45" t="inlineStr">
        <is>
          <t/>
        </is>
      </c>
      <c r="Q188" s="46" t="inlineStr">
        <is>
          <t>Social/Platform Software</t>
        </is>
      </c>
      <c r="R188" s="47" t="inlineStr">
        <is>
          <t>Developer of single-tap, zero-character communication application. The company provides a social platform enabling users to receive updates, messages and advertisements from surrounding users and businesses, through microblogs and chats.</t>
        </is>
      </c>
      <c r="S188" s="48" t="inlineStr">
        <is>
          <t>Pune, India</t>
        </is>
      </c>
      <c r="T188" s="49" t="inlineStr">
        <is>
          <t>www.yo-app.com</t>
        </is>
      </c>
      <c r="U188" s="132">
        <f>HYPERLINK("https://my.pitchbook.com?c=64094-95", "View company online")</f>
      </c>
    </row>
    <row r="189">
      <c r="A189" s="9" t="inlineStr">
        <is>
          <t>55899-55</t>
        </is>
      </c>
      <c r="B189" s="10" t="inlineStr">
        <is>
          <t>Yiftee</t>
        </is>
      </c>
      <c r="C189" s="11" t="inlineStr">
        <is>
          <t/>
        </is>
      </c>
      <c r="D189" s="12" t="n">
        <v>-0.02211104449883345</v>
      </c>
      <c r="E189" s="13" t="n">
        <v>2.9228280312104924</v>
      </c>
      <c r="F189" s="14" t="n">
        <v>41667.0</v>
      </c>
      <c r="G189" s="15" t="inlineStr">
        <is>
          <t>Early Stage VC</t>
        </is>
      </c>
      <c r="H189" s="16" t="inlineStr">
        <is>
          <t>Series A</t>
        </is>
      </c>
      <c r="I189" s="17" t="n">
        <v>2.1</v>
      </c>
      <c r="J189" s="18" t="n">
        <v>11.91</v>
      </c>
      <c r="K189" s="19" t="inlineStr">
        <is>
          <t>Completed</t>
        </is>
      </c>
      <c r="L189" s="20" t="inlineStr">
        <is>
          <t>Privately Held (backing)</t>
        </is>
      </c>
      <c r="M189" s="21" t="inlineStr">
        <is>
          <t>Venture Capital-Backed</t>
        </is>
      </c>
      <c r="N189" s="22" t="inlineStr">
        <is>
          <t>The company raised $2.1 million of Series A venture funding in a deal led by TransPacific Ventures on January 28, 2014 putting the pre-money valuation at $9.81 million. Subtraction Capital, Asset Management Ventures, Franklin Johnson, Scott Cook, Burt Sugarman, Mary Hart and Michael J. Levinthal also participated in the round.</t>
        </is>
      </c>
      <c r="O189" s="23" t="inlineStr">
        <is>
          <t>Asset Management Ventures, Burt Sugarman, Franklin Johnson, Jillian Manus, Mary Hart, Mike Levinthal, Mohr Davidow Ventures, Oakhouse Partners, Scott Cook, Transpacific Industries Group</t>
        </is>
      </c>
      <c r="P189" s="24" t="inlineStr">
        <is>
          <t/>
        </is>
      </c>
      <c r="Q189" s="25" t="inlineStr">
        <is>
          <t>Application Software</t>
        </is>
      </c>
      <c r="R189" s="26" t="inlineStr">
        <is>
          <t>Provider of online gifting services. The company's mobile application allows people to send gifts among friends, families and colleagues through email, mobile and social media.</t>
        </is>
      </c>
      <c r="S189" s="27" t="inlineStr">
        <is>
          <t>Menlo Park, CA</t>
        </is>
      </c>
      <c r="T189" s="28" t="inlineStr">
        <is>
          <t>www.yiftee.com</t>
        </is>
      </c>
      <c r="U189" s="131">
        <f>HYPERLINK("https://my.pitchbook.com?c=55899-55", "View company online")</f>
      </c>
    </row>
    <row r="190">
      <c r="A190" s="30" t="inlineStr">
        <is>
          <t>53914-42</t>
        </is>
      </c>
      <c r="B190" s="31" t="inlineStr">
        <is>
          <t>Yieldbot</t>
        </is>
      </c>
      <c r="C190" s="32" t="inlineStr">
        <is>
          <t/>
        </is>
      </c>
      <c r="D190" s="33" t="n">
        <v>0.25956930666728084</v>
      </c>
      <c r="E190" s="34" t="n">
        <v>4.6254292770505</v>
      </c>
      <c r="F190" s="35" t="n">
        <v>42585.0</v>
      </c>
      <c r="G190" s="36" t="inlineStr">
        <is>
          <t>Later Stage VC</t>
        </is>
      </c>
      <c r="H190" s="37" t="inlineStr">
        <is>
          <t>Series C</t>
        </is>
      </c>
      <c r="I190" s="38" t="n">
        <v>35.0</v>
      </c>
      <c r="J190" s="39" t="n">
        <v>95.79</v>
      </c>
      <c r="K190" s="40" t="inlineStr">
        <is>
          <t>Completed</t>
        </is>
      </c>
      <c r="L190" s="41" t="inlineStr">
        <is>
          <t>Privately Held (backing)</t>
        </is>
      </c>
      <c r="M190" s="42" t="inlineStr">
        <is>
          <t>Venture Capital-Backed</t>
        </is>
      </c>
      <c r="N190" s="43" t="inlineStr">
        <is>
          <t>The company raised $35 million of Series C venture funding in a deal led by Staley Capital on August 3, 2016, putting the pre-money valuation at $83.29 million. RRE Venture, Converge Venture, SJF Venture, New Atlantic Ventures, City National Bank also participated in the round. The funds will be used to grow its sales and marketing presence across the U.S. and explore potential acquisitions. The round included a $22.5 million debt portion. This brings the company's total funding to over $60 million to date.</t>
        </is>
      </c>
      <c r="O190" s="44" t="inlineStr">
        <is>
          <t>Betaworks, BoxGroup, Cathie Black, City National Bank, Converge Venture Partners, David Tisch, Howard Lindzon, Individual Investor, Jerry Neumann, KBS Ventures, Lindzon Capital Partners, NAV.VC, Neu Venture Capital, RRE Ventures, SJF Ventures, Staley Capital Management</t>
        </is>
      </c>
      <c r="P190" s="45" t="inlineStr">
        <is>
          <t/>
        </is>
      </c>
      <c r="Q190" s="46" t="inlineStr">
        <is>
          <t>Media and Information Services (B2B)</t>
        </is>
      </c>
      <c r="R190" s="47" t="inlineStr">
        <is>
          <t>Provider of an online advertising platform. The company collects visitor data, mines it and then serves advertisements to the visitor that are actionable based on the rules-based engine it has created.</t>
        </is>
      </c>
      <c r="S190" s="48" t="inlineStr">
        <is>
          <t>New York, NY</t>
        </is>
      </c>
      <c r="T190" s="49" t="inlineStr">
        <is>
          <t>www.yieldbot.com</t>
        </is>
      </c>
      <c r="U190" s="132">
        <f>HYPERLINK("https://my.pitchbook.com?c=53914-42", "View company online")</f>
      </c>
    </row>
    <row r="191">
      <c r="A191" s="9" t="inlineStr">
        <is>
          <t>161267-68</t>
        </is>
      </c>
      <c r="B191" s="10" t="inlineStr">
        <is>
          <t>Yewno</t>
        </is>
      </c>
      <c r="C191" s="11" t="inlineStr">
        <is>
          <t/>
        </is>
      </c>
      <c r="D191" s="12" t="n">
        <v>0.0</v>
      </c>
      <c r="E191" s="13" t="n">
        <v>0.5945945945945946</v>
      </c>
      <c r="F191" s="14" t="n">
        <v>42690.0</v>
      </c>
      <c r="G191" s="15" t="inlineStr">
        <is>
          <t>Early Stage VC</t>
        </is>
      </c>
      <c r="H191" s="16" t="inlineStr">
        <is>
          <t>Series A2</t>
        </is>
      </c>
      <c r="I191" s="17" t="n">
        <v>6.5</v>
      </c>
      <c r="J191" s="18" t="n">
        <v>56.5</v>
      </c>
      <c r="K191" s="19" t="inlineStr">
        <is>
          <t>Completed</t>
        </is>
      </c>
      <c r="L191" s="20" t="inlineStr">
        <is>
          <t>Privately Held (backing)</t>
        </is>
      </c>
      <c r="M191" s="21" t="inlineStr">
        <is>
          <t>Venture Capital-Backed</t>
        </is>
      </c>
      <c r="N191" s="22" t="inlineStr">
        <is>
          <t>The company raised $6.5 million of Series A2 funding in a deal led by Desmond Shum on November 16, 2016, putting the pre-money valuation at $50 million. Pacific Capital Group also invested. The company intends to use the funds to further develop its knowledge base and inference engine for roll out into additional vertical markets and geographies from early 2017. Previously, the company raised $10 million of Series A venture funding led by Pacific Capital on June 15, 2016, putting the company's pre-money valuation at $24.5 million. The company intends to use the funds to speed development cycles to deliver on the promise of hyperknowledge.</t>
        </is>
      </c>
      <c r="O191" s="23" t="inlineStr">
        <is>
          <t>Desmond Shum, Pacific Capital (Luxembourg)</t>
        </is>
      </c>
      <c r="P191" s="24" t="inlineStr">
        <is>
          <t/>
        </is>
      </c>
      <c r="Q191" s="25" t="inlineStr">
        <is>
          <t>Database Software</t>
        </is>
      </c>
      <c r="R191" s="26" t="inlineStr">
        <is>
          <t>Developer of a knowledge discovery platform that enables connections between concepts and content. The company has developed an inference and discovery engine that uses advanced computational semantics, graph theory and machine learning to make associations between concepts and keeps users updated with the latest knowledge or concept inferences relevant to them.</t>
        </is>
      </c>
      <c r="S191" s="27" t="inlineStr">
        <is>
          <t>Redwood City, CA</t>
        </is>
      </c>
      <c r="T191" s="28" t="inlineStr">
        <is>
          <t>www.yewno.com</t>
        </is>
      </c>
      <c r="U191" s="131">
        <f>HYPERLINK("https://my.pitchbook.com?c=161267-68", "View company online")</f>
      </c>
    </row>
    <row r="192">
      <c r="A192" s="30" t="inlineStr">
        <is>
          <t>55676-71</t>
        </is>
      </c>
      <c r="B192" s="31" t="inlineStr">
        <is>
          <t>Yeti (discovery app)</t>
        </is>
      </c>
      <c r="C192" s="32" t="inlineStr">
        <is>
          <t/>
        </is>
      </c>
      <c r="D192" s="33" t="n">
        <v>-0.024521091884665842</v>
      </c>
      <c r="E192" s="34" t="n">
        <v>6.978802296875251</v>
      </c>
      <c r="F192" s="35" t="n">
        <v>42201.0</v>
      </c>
      <c r="G192" s="36" t="inlineStr">
        <is>
          <t>Buyout/LBO</t>
        </is>
      </c>
      <c r="H192" s="37" t="inlineStr">
        <is>
          <t/>
        </is>
      </c>
      <c r="I192" s="38" t="inlineStr">
        <is>
          <t/>
        </is>
      </c>
      <c r="J192" s="39" t="inlineStr">
        <is>
          <t/>
        </is>
      </c>
      <c r="K192" s="40" t="inlineStr">
        <is>
          <t>Completed</t>
        </is>
      </c>
      <c r="L192" s="41" t="inlineStr">
        <is>
          <t>Privately Held (backing)</t>
        </is>
      </c>
      <c r="M192" s="42" t="inlineStr">
        <is>
          <t>Venture Capital-Backed</t>
        </is>
      </c>
      <c r="N192" s="43" t="inlineStr">
        <is>
          <t>The company was acquired by JA Partners, Edgewater Ventures and other undisclosed investors through an LBO on July 16, 2015 for an undisclosed sum.</t>
        </is>
      </c>
      <c r="O192" s="44" t="inlineStr">
        <is>
          <t>Edgewater Ventures, JA Partners</t>
        </is>
      </c>
      <c r="P192" s="45" t="inlineStr">
        <is>
          <t/>
        </is>
      </c>
      <c r="Q192" s="46" t="inlineStr">
        <is>
          <t>Social Content</t>
        </is>
      </c>
      <c r="R192" s="47" t="inlineStr">
        <is>
          <t>Provider of an online platform for social and professional connections. The company is a provider of an online and mobile platform which helps users to connect with other users based on common interest in pre-existing communities such as those within neighborhoods, affinity groups, universities, non-profits, businesses and brands.</t>
        </is>
      </c>
      <c r="S192" s="48" t="inlineStr">
        <is>
          <t>Santa Monica, CA</t>
        </is>
      </c>
      <c r="T192" s="49" t="inlineStr">
        <is>
          <t>www.yeti.ai</t>
        </is>
      </c>
      <c r="U192" s="132">
        <f>HYPERLINK("https://my.pitchbook.com?c=55676-71", "View company online")</f>
      </c>
    </row>
    <row r="193">
      <c r="A193" s="9" t="inlineStr">
        <is>
          <t>52876-99</t>
        </is>
      </c>
      <c r="B193" s="10" t="inlineStr">
        <is>
          <t>Yesware</t>
        </is>
      </c>
      <c r="C193" s="11" t="inlineStr">
        <is>
          <t/>
        </is>
      </c>
      <c r="D193" s="12" t="n">
        <v>0.7525057395186929</v>
      </c>
      <c r="E193" s="13" t="n">
        <v>56.27953558885763</v>
      </c>
      <c r="F193" s="14" t="n">
        <v>42150.0</v>
      </c>
      <c r="G193" s="15" t="inlineStr">
        <is>
          <t>Later Stage VC</t>
        </is>
      </c>
      <c r="H193" s="16" t="inlineStr">
        <is>
          <t>Series C</t>
        </is>
      </c>
      <c r="I193" s="17" t="n">
        <v>13.3</v>
      </c>
      <c r="J193" s="18" t="n">
        <v>63.09</v>
      </c>
      <c r="K193" s="19" t="inlineStr">
        <is>
          <t>Completed</t>
        </is>
      </c>
      <c r="L193" s="20" t="inlineStr">
        <is>
          <t>Privately Held (backing)</t>
        </is>
      </c>
      <c r="M193" s="21" t="inlineStr">
        <is>
          <t>Venture Capital-Backed</t>
        </is>
      </c>
      <c r="N193" s="22" t="inlineStr">
        <is>
          <t>The company raised $13.3 million of Series C venture funding from lead investor Foundry Group on May 26, 2015, putting the company's pre-money valuation at $49.79 million. Shea Ventures, Battery Ventures, GV, Golden Venture Partners and IDG Ventures USA also participated in the round. The funds will be used to accelerate the company's growth.</t>
        </is>
      </c>
      <c r="O193" s="23" t="inlineStr">
        <is>
          <t>Battery Ventures, Foundry Group, Golden Venture Partners, GV, IDG Ventures USA, Shea Ventures, Sway Ventures, William Herman</t>
        </is>
      </c>
      <c r="P193" s="24" t="inlineStr">
        <is>
          <t/>
        </is>
      </c>
      <c r="Q193" s="25" t="inlineStr">
        <is>
          <t>Business/Productivity Software</t>
        </is>
      </c>
      <c r="R193" s="26" t="inlineStr">
        <is>
          <t>Provider of an email tracking platform designed to connect businesses with prospects and track customer engagement. The company's email tracking platform is an e-mail tracking analytics, customized templates and customer-relationship management integration to enhance sales productivity, enabling users to run multi-channel sales campaigns using phone calls, social selling, email, drip campaigns and other custom outreach in real time.</t>
        </is>
      </c>
      <c r="S193" s="27" t="inlineStr">
        <is>
          <t>Boston, MA</t>
        </is>
      </c>
      <c r="T193" s="28" t="inlineStr">
        <is>
          <t>www.yesware.com</t>
        </is>
      </c>
      <c r="U193" s="131">
        <f>HYPERLINK("https://my.pitchbook.com?c=52876-99", "View company online")</f>
      </c>
    </row>
    <row r="194">
      <c r="A194" s="30" t="inlineStr">
        <is>
          <t>53344-45</t>
        </is>
      </c>
      <c r="B194" s="31" t="inlineStr">
        <is>
          <t>YesVideo</t>
        </is>
      </c>
      <c r="C194" s="32" t="inlineStr">
        <is>
          <t/>
        </is>
      </c>
      <c r="D194" s="33" t="n">
        <v>0.12824551598088352</v>
      </c>
      <c r="E194" s="34" t="n">
        <v>13.003958050586643</v>
      </c>
      <c r="F194" s="35" t="n">
        <v>42629.0</v>
      </c>
      <c r="G194" s="36" t="inlineStr">
        <is>
          <t>Later Stage VC</t>
        </is>
      </c>
      <c r="H194" s="37" t="inlineStr">
        <is>
          <t>Series 2</t>
        </is>
      </c>
      <c r="I194" s="38" t="n">
        <v>3.37</v>
      </c>
      <c r="J194" s="39" t="n">
        <v>9.08</v>
      </c>
      <c r="K194" s="40" t="inlineStr">
        <is>
          <t>Completed</t>
        </is>
      </c>
      <c r="L194" s="41" t="inlineStr">
        <is>
          <t>Privately Held (backing)</t>
        </is>
      </c>
      <c r="M194" s="42" t="inlineStr">
        <is>
          <t>Venture Capital-Backed</t>
        </is>
      </c>
      <c r="N194" s="43" t="inlineStr">
        <is>
          <t>The company raised $3.37 million of venture funding from undisclosed investors on September 16, 2016, putting the pre-money valuation at $5.71 million. Previously, the company raised $2.08 million of venture funding from undisclosed investors on August 19, 2016, putting the pre-money valuation at $3.63 million.</t>
        </is>
      </c>
      <c r="O194" s="44" t="inlineStr">
        <is>
          <t>Andy Choi, Band of Angels, CampVentures, Current Ventures, East Gate Capital Management, Incubic Management, KLM Capital Group, Kodak Venture Group, Lauder Partners</t>
        </is>
      </c>
      <c r="P194" s="45" t="inlineStr">
        <is>
          <t/>
        </is>
      </c>
      <c r="Q194" s="46" t="inlineStr">
        <is>
          <t>Multimedia and Design Software</t>
        </is>
      </c>
      <c r="R194" s="47" t="inlineStr">
        <is>
          <t>Provider of a digital video imaging platform. The company transforms consumer and professional video content into digital formats for viewing, organizing, editing, sharing and archiving.</t>
        </is>
      </c>
      <c r="S194" s="48" t="inlineStr">
        <is>
          <t>Santa Clara, CA</t>
        </is>
      </c>
      <c r="T194" s="49" t="inlineStr">
        <is>
          <t>www.yesvideo.com</t>
        </is>
      </c>
      <c r="U194" s="132">
        <f>HYPERLINK("https://my.pitchbook.com?c=53344-45", "View company online")</f>
      </c>
    </row>
    <row r="195">
      <c r="A195" s="9" t="inlineStr">
        <is>
          <t>111021-58</t>
        </is>
      </c>
      <c r="B195" s="10" t="inlineStr">
        <is>
          <t>YesPath</t>
        </is>
      </c>
      <c r="C195" s="11" t="inlineStr">
        <is>
          <t/>
        </is>
      </c>
      <c r="D195" s="12" t="n">
        <v>0.0</v>
      </c>
      <c r="E195" s="13" t="n">
        <v>0.24889296075736755</v>
      </c>
      <c r="F195" s="14" t="n">
        <v>42088.0</v>
      </c>
      <c r="G195" s="15" t="inlineStr">
        <is>
          <t>Early Stage VC</t>
        </is>
      </c>
      <c r="H195" s="16" t="inlineStr">
        <is>
          <t>Series 1</t>
        </is>
      </c>
      <c r="I195" s="17" t="n">
        <v>1.7</v>
      </c>
      <c r="J195" s="18" t="n">
        <v>11.01</v>
      </c>
      <c r="K195" s="19" t="inlineStr">
        <is>
          <t>Completed</t>
        </is>
      </c>
      <c r="L195" s="20" t="inlineStr">
        <is>
          <t>Privately Held (backing)</t>
        </is>
      </c>
      <c r="M195" s="21" t="inlineStr">
        <is>
          <t>Venture Capital-Backed</t>
        </is>
      </c>
      <c r="N195" s="22" t="inlineStr">
        <is>
          <t>The company raised $1.7 million of Series 1 venture funding from Bloomberg Beta, Wing Venture Partners and Storm Ventures on March 25, 2015, putting the company's pre-money valuation at $9.31 million. Other undisclosed investors also participated in the round.</t>
        </is>
      </c>
      <c r="O195" s="23" t="inlineStr">
        <is>
          <t>Bloomberg Beta, Storm Ventures, Wing Venture Partners</t>
        </is>
      </c>
      <c r="P195" s="24" t="inlineStr">
        <is>
          <t/>
        </is>
      </c>
      <c r="Q195" s="25" t="inlineStr">
        <is>
          <t>Social/Platform Software</t>
        </is>
      </c>
      <c r="R195" s="26" t="inlineStr">
        <is>
          <t>Provider of account engagement platform designed to nurture relationships and wins deals. The company's account engagement platform helps enterprises to organize their business content, enabling buyers to cut through the noise of advertising and make smart decisions.</t>
        </is>
      </c>
      <c r="S195" s="27" t="inlineStr">
        <is>
          <t>San Francisco, CA</t>
        </is>
      </c>
      <c r="T195" s="28" t="inlineStr">
        <is>
          <t>www.yespath.com</t>
        </is>
      </c>
      <c r="U195" s="131">
        <f>HYPERLINK("https://my.pitchbook.com?c=111021-58", "View company online")</f>
      </c>
    </row>
    <row r="196">
      <c r="A196" s="30" t="inlineStr">
        <is>
          <t>57103-66</t>
        </is>
      </c>
      <c r="B196" s="31" t="inlineStr">
        <is>
          <t>YesGraph</t>
        </is>
      </c>
      <c r="C196" s="32" t="inlineStr">
        <is>
          <t/>
        </is>
      </c>
      <c r="D196" s="33" t="n">
        <v>-0.4037716672877528</v>
      </c>
      <c r="E196" s="34" t="n">
        <v>2.6384346526756253</v>
      </c>
      <c r="F196" s="35" t="n">
        <v>42370.0</v>
      </c>
      <c r="G196" s="36" t="inlineStr">
        <is>
          <t>Accelerator/Incubator</t>
        </is>
      </c>
      <c r="H196" s="37" t="inlineStr">
        <is>
          <t/>
        </is>
      </c>
      <c r="I196" s="38" t="inlineStr">
        <is>
          <t/>
        </is>
      </c>
      <c r="J196" s="39" t="inlineStr">
        <is>
          <t/>
        </is>
      </c>
      <c r="K196" s="40" t="inlineStr">
        <is>
          <t>Completed</t>
        </is>
      </c>
      <c r="L196" s="41" t="inlineStr">
        <is>
          <t>Privately Held (backing)</t>
        </is>
      </c>
      <c r="M196" s="42" t="inlineStr">
        <is>
          <t>Venture Capital-Backed</t>
        </is>
      </c>
      <c r="N196" s="43" t="inlineStr">
        <is>
          <t>The company joined Y Combinator as part of the Summer 2016 Demo Day and received an undisclosed amount in funding. previously, the company raised $1 million of seed funding led by Bloomberg Beta on April 7, 2015.</t>
        </is>
      </c>
      <c r="O196" s="44" t="inlineStr">
        <is>
          <t>500 Startups, Accel, Adam Gross, Andreessen Horowitz, Bloomberg Beta, Founder Collective, Gustaf Alstromer, Lance White, Matt Humphrey, Michael Birch, NextView Ventures, Quotidian Ventures, Rising Tide Fund, Rivet Ventures, Tom Williams, Wei Guo, Y Combinator</t>
        </is>
      </c>
      <c r="P196" s="45" t="inlineStr">
        <is>
          <t/>
        </is>
      </c>
      <c r="Q196" s="46" t="inlineStr">
        <is>
          <t>Social/Platform Software</t>
        </is>
      </c>
      <c r="R196" s="47" t="inlineStr">
        <is>
          <t>Developer of a referral recruiting platform. The company provides a platform enabling users to get private-referral leads from anyone in their networks. Each referral has a path to introduction through the person making the referral.</t>
        </is>
      </c>
      <c r="S196" s="48" t="inlineStr">
        <is>
          <t>San Francisco, CA</t>
        </is>
      </c>
      <c r="T196" s="49" t="inlineStr">
        <is>
          <t>www.yesgraph.com</t>
        </is>
      </c>
      <c r="U196" s="132">
        <f>HYPERLINK("https://my.pitchbook.com?c=57103-66", "View company online")</f>
      </c>
    </row>
    <row r="197">
      <c r="A197" s="9" t="inlineStr">
        <is>
          <t>171721-36</t>
        </is>
      </c>
      <c r="B197" s="10" t="inlineStr">
        <is>
          <t>YesAsia</t>
        </is>
      </c>
      <c r="C197" s="97">
        <f>HYPERLINK("https://my.pitchbook.com?rrp=171721-36&amp;type=c", "This Company's information is not available to download. Need this Company? Request availability")</f>
      </c>
      <c r="D197" s="12" t="inlineStr">
        <is>
          <t/>
        </is>
      </c>
      <c r="E197" s="13" t="inlineStr">
        <is>
          <t/>
        </is>
      </c>
      <c r="F197" s="14" t="inlineStr">
        <is>
          <t/>
        </is>
      </c>
      <c r="G197" s="15" t="inlineStr">
        <is>
          <t/>
        </is>
      </c>
      <c r="H197" s="16" t="inlineStr">
        <is>
          <t/>
        </is>
      </c>
      <c r="I197" s="17" t="inlineStr">
        <is>
          <t/>
        </is>
      </c>
      <c r="J197" s="18" t="inlineStr">
        <is>
          <t/>
        </is>
      </c>
      <c r="K197" s="19" t="inlineStr">
        <is>
          <t/>
        </is>
      </c>
      <c r="L197" s="20" t="inlineStr">
        <is>
          <t/>
        </is>
      </c>
      <c r="M197" s="21" t="inlineStr">
        <is>
          <t/>
        </is>
      </c>
      <c r="N197" s="22" t="inlineStr">
        <is>
          <t/>
        </is>
      </c>
      <c r="O197" s="23" t="inlineStr">
        <is>
          <t/>
        </is>
      </c>
      <c r="P197" s="24" t="inlineStr">
        <is>
          <t/>
        </is>
      </c>
      <c r="Q197" s="25" t="inlineStr">
        <is>
          <t/>
        </is>
      </c>
      <c r="R197" s="26" t="inlineStr">
        <is>
          <t/>
        </is>
      </c>
      <c r="S197" s="27" t="inlineStr">
        <is>
          <t/>
        </is>
      </c>
      <c r="T197" s="28" t="inlineStr">
        <is>
          <t/>
        </is>
      </c>
      <c r="U197" s="29" t="inlineStr">
        <is>
          <t/>
        </is>
      </c>
    </row>
    <row r="198">
      <c r="A198" s="30" t="inlineStr">
        <is>
          <t>61371-10</t>
        </is>
      </c>
      <c r="B198" s="31" t="inlineStr">
        <is>
          <t>Yerdle</t>
        </is>
      </c>
      <c r="C198" s="32" t="inlineStr">
        <is>
          <t/>
        </is>
      </c>
      <c r="D198" s="33" t="n">
        <v>-0.21232324167835712</v>
      </c>
      <c r="E198" s="34" t="n">
        <v>12.098858485815008</v>
      </c>
      <c r="F198" s="35" t="n">
        <v>42452.0</v>
      </c>
      <c r="G198" s="36" t="inlineStr">
        <is>
          <t>Early Stage VC</t>
        </is>
      </c>
      <c r="H198" s="37" t="inlineStr">
        <is>
          <t>Series B</t>
        </is>
      </c>
      <c r="I198" s="38" t="n">
        <v>13.5</v>
      </c>
      <c r="J198" s="39" t="n">
        <v>23.5</v>
      </c>
      <c r="K198" s="40" t="inlineStr">
        <is>
          <t>Completed</t>
        </is>
      </c>
      <c r="L198" s="41" t="inlineStr">
        <is>
          <t>Privately Held (backing)</t>
        </is>
      </c>
      <c r="M198" s="42" t="inlineStr">
        <is>
          <t>Venture Capital-Backed</t>
        </is>
      </c>
      <c r="N198" s="43" t="inlineStr">
        <is>
          <t>The company raised an estimated $13.5 million of Series B venture funding from undisclosed investors on March 23, 2016, putting the pre-money valuation at $10 million. Previously, the company raised $9.6 million through a combination of Series A and A1 venture funding from The Westly Group and Milliways Ventures on April 24, 2015, putting the pre-money valuation at $26.35 million.</t>
        </is>
      </c>
      <c r="O198" s="44" t="inlineStr">
        <is>
          <t>Claremont Creek Ventures, DBL Partners, Greenstart Investor Group, Individual Investor, Jeffrey Clarke, Lisa Gansky, Mindfull Investors, Pi Investments, Prelude Ventures, PreludeDx, The Westly Group</t>
        </is>
      </c>
      <c r="P198" s="45" t="inlineStr">
        <is>
          <t/>
        </is>
      </c>
      <c r="Q198" s="46" t="inlineStr">
        <is>
          <t>Internet Retail</t>
        </is>
      </c>
      <c r="R198" s="47" t="inlineStr">
        <is>
          <t>Developer of an online trading platform for used belongings. The company provides a digital platform that connects users who want to give away used durable goods with those who want to obtain them.</t>
        </is>
      </c>
      <c r="S198" s="48" t="inlineStr">
        <is>
          <t>San Francisco, CA</t>
        </is>
      </c>
      <c r="T198" s="49" t="inlineStr">
        <is>
          <t>www.yerdle.com</t>
        </is>
      </c>
      <c r="U198" s="132">
        <f>HYPERLINK("https://my.pitchbook.com?c=61371-10", "View company online")</f>
      </c>
    </row>
    <row r="199">
      <c r="A199" s="9" t="inlineStr">
        <is>
          <t>162414-19</t>
        </is>
      </c>
      <c r="B199" s="10" t="inlineStr">
        <is>
          <t>Yellow Leaf Hammocks</t>
        </is>
      </c>
      <c r="C199" s="11" t="inlineStr">
        <is>
          <t/>
        </is>
      </c>
      <c r="D199" s="12" t="n">
        <v>0.8746073676677137</v>
      </c>
      <c r="E199" s="13" t="n">
        <v>6.90866947587655</v>
      </c>
      <c r="F199" s="14" t="n">
        <v>41985.0</v>
      </c>
      <c r="G199" s="15" t="inlineStr">
        <is>
          <t>Seed Round</t>
        </is>
      </c>
      <c r="H199" s="16" t="inlineStr">
        <is>
          <t>Seed</t>
        </is>
      </c>
      <c r="I199" s="17" t="n">
        <v>0.1</v>
      </c>
      <c r="J199" s="18" t="inlineStr">
        <is>
          <t/>
        </is>
      </c>
      <c r="K199" s="19" t="inlineStr">
        <is>
          <t>Completed</t>
        </is>
      </c>
      <c r="L199" s="20" t="inlineStr">
        <is>
          <t>Privately Held (backing)</t>
        </is>
      </c>
      <c r="M199" s="21" t="inlineStr">
        <is>
          <t>Venture Capital-Backed</t>
        </is>
      </c>
      <c r="N199" s="22" t="inlineStr">
        <is>
          <t>The company raised $100,000 of seed funding through a combination of debt and equity on December 12, 2014. $75,000 of Equity portion of seed funding was led by ADAP CAPITAL with participation from other undisclosed investors. A $25,000 of debt financing was provided by Boma Investments.</t>
        </is>
      </c>
      <c r="O199" s="23" t="inlineStr">
        <is>
          <t>ADAP CAPITAL, Boma Investments</t>
        </is>
      </c>
      <c r="P199" s="24" t="inlineStr">
        <is>
          <t/>
        </is>
      </c>
      <c r="Q199" s="25" t="inlineStr">
        <is>
          <t>Home Furnishings</t>
        </is>
      </c>
      <c r="R199" s="26" t="inlineStr">
        <is>
          <t>Provider of handwoven hammocks. The company is a social enterprise which provides hammocks made by hill-tribe artisans in rural northern Thailand.</t>
        </is>
      </c>
      <c r="S199" s="27" t="inlineStr">
        <is>
          <t>San Francisco, CA</t>
        </is>
      </c>
      <c r="T199" s="28" t="inlineStr">
        <is>
          <t>www.yellowleafhammocks.com</t>
        </is>
      </c>
      <c r="U199" s="131">
        <f>HYPERLINK("https://my.pitchbook.com?c=162414-19", "View company online")</f>
      </c>
    </row>
    <row r="200">
      <c r="A200" s="30" t="inlineStr">
        <is>
          <t>151189-93</t>
        </is>
      </c>
      <c r="B200" s="31" t="inlineStr">
        <is>
          <t>yellCast</t>
        </is>
      </c>
      <c r="C200" s="32" t="inlineStr">
        <is>
          <t/>
        </is>
      </c>
      <c r="D200" s="33" t="n">
        <v>0.021348826699163572</v>
      </c>
      <c r="E200" s="34" t="n">
        <v>0.16812540248428234</v>
      </c>
      <c r="F200" s="35" t="n">
        <v>41989.0</v>
      </c>
      <c r="G200" s="36" t="inlineStr">
        <is>
          <t>Early Stage VC</t>
        </is>
      </c>
      <c r="H200" s="37" t="inlineStr">
        <is>
          <t/>
        </is>
      </c>
      <c r="I200" s="38" t="inlineStr">
        <is>
          <t/>
        </is>
      </c>
      <c r="J200" s="39" t="inlineStr">
        <is>
          <t/>
        </is>
      </c>
      <c r="K200" s="40" t="inlineStr">
        <is>
          <t>Completed</t>
        </is>
      </c>
      <c r="L200" s="41" t="inlineStr">
        <is>
          <t>Privately Held (backing)</t>
        </is>
      </c>
      <c r="M200" s="42" t="inlineStr">
        <is>
          <t>Venture Capital-Backed</t>
        </is>
      </c>
      <c r="N200" s="43" t="inlineStr">
        <is>
          <t>The company raised an undisclosed amount of seed funding from 2020 Ventures on December 16, 2014.</t>
        </is>
      </c>
      <c r="O200" s="44" t="inlineStr">
        <is>
          <t>2020 Ventures</t>
        </is>
      </c>
      <c r="P200" s="45" t="inlineStr">
        <is>
          <t/>
        </is>
      </c>
      <c r="Q200" s="46" t="inlineStr">
        <is>
          <t>Social/Platform Software</t>
        </is>
      </c>
      <c r="R200" s="47" t="inlineStr">
        <is>
          <t>Provider of an online query resolution platform. The company offers a web-based query resolution platform for answering questions asked by users.</t>
        </is>
      </c>
      <c r="S200" s="48" t="inlineStr">
        <is>
          <t>San Carlos, CA</t>
        </is>
      </c>
      <c r="T200" s="49" t="inlineStr">
        <is>
          <t>www.yellcast.com</t>
        </is>
      </c>
      <c r="U200" s="132">
        <f>HYPERLINK("https://my.pitchbook.com?c=151189-93", "View company online")</f>
      </c>
    </row>
    <row r="201">
      <c r="A201" s="9" t="inlineStr">
        <is>
          <t>52260-85</t>
        </is>
      </c>
      <c r="B201" s="10" t="inlineStr">
        <is>
          <t>YapStone</t>
        </is>
      </c>
      <c r="C201" s="11" t="n">
        <v>160.49</v>
      </c>
      <c r="D201" s="12" t="n">
        <v>0.6671170310448798</v>
      </c>
      <c r="E201" s="13" t="n">
        <v>6.393283598368344</v>
      </c>
      <c r="F201" s="14" t="n">
        <v>42094.0</v>
      </c>
      <c r="G201" s="15" t="inlineStr">
        <is>
          <t>Debt - General</t>
        </is>
      </c>
      <c r="H201" s="16" t="inlineStr">
        <is>
          <t/>
        </is>
      </c>
      <c r="I201" s="17" t="n">
        <v>60.0</v>
      </c>
      <c r="J201" s="18" t="inlineStr">
        <is>
          <t/>
        </is>
      </c>
      <c r="K201" s="19" t="inlineStr">
        <is>
          <t>Completed</t>
        </is>
      </c>
      <c r="L201" s="20" t="inlineStr">
        <is>
          <t>Privately Held (backing)</t>
        </is>
      </c>
      <c r="M201" s="21" t="inlineStr">
        <is>
          <t>Venture Capital-Backed</t>
        </is>
      </c>
      <c r="N201" s="22" t="inlineStr">
        <is>
          <t>The company raised $60 million of Debt Financing from Comerica Bank and Bregal Sagemount on March 31, 2015.</t>
        </is>
      </c>
      <c r="O201" s="23" t="inlineStr">
        <is>
          <t>Accel, Andrew Palmer, Bregal Sagemount, Cameron Yuill, Crist Ventures, Flywheel Ventures, Individual Investor, John Barnes, Meritech Capital Partners, Steve McLaughlin, Texas Ventures, Tom Villante, Trevor Loy, Villante Capital Partners</t>
        </is>
      </c>
      <c r="P201" s="24" t="inlineStr">
        <is>
          <t/>
        </is>
      </c>
      <c r="Q201" s="25" t="inlineStr">
        <is>
          <t>Other Financial Services</t>
        </is>
      </c>
      <c r="R201" s="26" t="inlineStr">
        <is>
          <t>Provider of online and mobile payment solutions. The company enables electronic payments for sharing economy marketplaces and apartment and vacation rental companies, homeowners' associations, self-storage companies, hospitality establishments and non-profits.</t>
        </is>
      </c>
      <c r="S201" s="27" t="inlineStr">
        <is>
          <t>Walnut Creek, CA</t>
        </is>
      </c>
      <c r="T201" s="28" t="inlineStr">
        <is>
          <t>www.yapstone.com</t>
        </is>
      </c>
      <c r="U201" s="131">
        <f>HYPERLINK("https://my.pitchbook.com?c=52260-85", "View company online")</f>
      </c>
    </row>
    <row r="202">
      <c r="A202" s="30" t="inlineStr">
        <is>
          <t>54093-52</t>
        </is>
      </c>
      <c r="B202" s="31" t="inlineStr">
        <is>
          <t>yap.TV</t>
        </is>
      </c>
      <c r="C202" s="32" t="inlineStr">
        <is>
          <t/>
        </is>
      </c>
      <c r="D202" s="33" t="n">
        <v>0.0</v>
      </c>
      <c r="E202" s="34" t="n">
        <v>0.08386577439635656</v>
      </c>
      <c r="F202" s="35" t="n">
        <v>40330.0</v>
      </c>
      <c r="G202" s="36" t="inlineStr">
        <is>
          <t>Early Stage VC</t>
        </is>
      </c>
      <c r="H202" s="37" t="inlineStr">
        <is>
          <t>Series A</t>
        </is>
      </c>
      <c r="I202" s="38" t="n">
        <v>5.84</v>
      </c>
      <c r="J202" s="39" t="n">
        <v>11.02</v>
      </c>
      <c r="K202" s="40" t="inlineStr">
        <is>
          <t>Completed</t>
        </is>
      </c>
      <c r="L202" s="41" t="inlineStr">
        <is>
          <t>Privately Held (backing)</t>
        </is>
      </c>
      <c r="M202" s="42" t="inlineStr">
        <is>
          <t>Venture Capital-Backed</t>
        </is>
      </c>
      <c r="N202" s="43" t="inlineStr">
        <is>
          <t>The company raised $5.8 million of Series A financing from Javelin Venture Partners, Sunair Ventures, Blumberg Capital, Band of Angels and David Austin in June 2010, putting the pre-money valuation at $5.17 million.</t>
        </is>
      </c>
      <c r="O202" s="44" t="inlineStr">
        <is>
          <t>Band of Angels, Blumberg Capital, Individual Investor, Javelin Venture Partners, Sunair Ventures</t>
        </is>
      </c>
      <c r="P202" s="45" t="inlineStr">
        <is>
          <t/>
        </is>
      </c>
      <c r="Q202" s="46" t="inlineStr">
        <is>
          <t>Entertainment Software</t>
        </is>
      </c>
      <c r="R202" s="47" t="inlineStr">
        <is>
          <t>Provider of a picture based TV program guide. The company provides a platform to interact with your friends and show fans in real time while watching the tube.</t>
        </is>
      </c>
      <c r="S202" s="48" t="inlineStr">
        <is>
          <t>Los Altos, CA</t>
        </is>
      </c>
      <c r="T202" s="49" t="inlineStr">
        <is>
          <t>www.yapstudios.com</t>
        </is>
      </c>
      <c r="U202" s="132">
        <f>HYPERLINK("https://my.pitchbook.com?c=54093-52", "View company online")</f>
      </c>
    </row>
    <row r="203">
      <c r="A203" s="9" t="inlineStr">
        <is>
          <t>55183-06</t>
        </is>
      </c>
      <c r="B203" s="10" t="inlineStr">
        <is>
          <t>Yamsafer</t>
        </is>
      </c>
      <c r="C203" s="11" t="inlineStr">
        <is>
          <t/>
        </is>
      </c>
      <c r="D203" s="12" t="n">
        <v>0.13312720146566068</v>
      </c>
      <c r="E203" s="13" t="n">
        <v>339.5970154753132</v>
      </c>
      <c r="F203" s="14" t="n">
        <v>42660.0</v>
      </c>
      <c r="G203" s="15" t="inlineStr">
        <is>
          <t>Later Stage VC</t>
        </is>
      </c>
      <c r="H203" s="16" t="inlineStr">
        <is>
          <t>Series C</t>
        </is>
      </c>
      <c r="I203" s="17" t="n">
        <v>5.0</v>
      </c>
      <c r="J203" s="18" t="n">
        <v>45.0</v>
      </c>
      <c r="K203" s="19" t="inlineStr">
        <is>
          <t>Completed</t>
        </is>
      </c>
      <c r="L203" s="20" t="inlineStr">
        <is>
          <t>Privately Held (backing)</t>
        </is>
      </c>
      <c r="M203" s="21" t="inlineStr">
        <is>
          <t>Venture Capital-Backed</t>
        </is>
      </c>
      <c r="N203" s="22" t="inlineStr">
        <is>
          <t>The company raised $5 million of Series C venture funding from Sadara Ventures, Global Founders Capital and other undisclosed investors on October 17, 2016, putting the pre-money valuation at $40 million.</t>
        </is>
      </c>
      <c r="O203" s="23" t="inlineStr">
        <is>
          <t>Global Founders Capital, Sadara Ventures</t>
        </is>
      </c>
      <c r="P203" s="24" t="inlineStr">
        <is>
          <t/>
        </is>
      </c>
      <c r="Q203" s="25" t="inlineStr">
        <is>
          <t>Media and Information Services (B2B)</t>
        </is>
      </c>
      <c r="R203" s="26" t="inlineStr">
        <is>
          <t>Provider of online hotel booking services created to provide user friendly, fast and safe hotel booking experience. The company's hotel booking services enables its customers to book several hotels for discounted prices in the Middle East and Turkey via their website and phone application, that is available on Android and I phone devices providing smoother customer experience and pay directly or in advance without any credit card details.</t>
        </is>
      </c>
      <c r="S203" s="27" t="inlineStr">
        <is>
          <t>Newport Beach, CA</t>
        </is>
      </c>
      <c r="T203" s="28" t="inlineStr">
        <is>
          <t>www.yamsafer.com</t>
        </is>
      </c>
      <c r="U203" s="131">
        <f>HYPERLINK("https://my.pitchbook.com?c=55183-06", "View company online")</f>
      </c>
    </row>
    <row r="204">
      <c r="A204" s="30" t="inlineStr">
        <is>
          <t>169113-07</t>
        </is>
      </c>
      <c r="B204" s="31" t="inlineStr">
        <is>
          <t>Yakit</t>
        </is>
      </c>
      <c r="C204" s="32" t="inlineStr">
        <is>
          <t/>
        </is>
      </c>
      <c r="D204" s="33" t="n">
        <v>-0.025796448118200144</v>
      </c>
      <c r="E204" s="34" t="n">
        <v>0.9773486113758774</v>
      </c>
      <c r="F204" s="35" t="n">
        <v>41640.0</v>
      </c>
      <c r="G204" s="36" t="inlineStr">
        <is>
          <t>Seed Round</t>
        </is>
      </c>
      <c r="H204" s="37" t="inlineStr">
        <is>
          <t>Seed</t>
        </is>
      </c>
      <c r="I204" s="38" t="inlineStr">
        <is>
          <t/>
        </is>
      </c>
      <c r="J204" s="39" t="inlineStr">
        <is>
          <t/>
        </is>
      </c>
      <c r="K204" s="40" t="inlineStr">
        <is>
          <t>Completed</t>
        </is>
      </c>
      <c r="L204" s="41" t="inlineStr">
        <is>
          <t>Privately Held (backing)</t>
        </is>
      </c>
      <c r="M204" s="42" t="inlineStr">
        <is>
          <t>Venture Capital-Backed</t>
        </is>
      </c>
      <c r="N204" s="43" t="inlineStr">
        <is>
          <t>The company raised an undisclosed amount of seed funding from Accel Partners in 2014.</t>
        </is>
      </c>
      <c r="O204" s="44" t="inlineStr">
        <is>
          <t>Accel</t>
        </is>
      </c>
      <c r="P204" s="45" t="inlineStr">
        <is>
          <t/>
        </is>
      </c>
      <c r="Q204" s="46" t="inlineStr">
        <is>
          <t>Application Software</t>
        </is>
      </c>
      <c r="R204" s="47" t="inlineStr">
        <is>
          <t>Operator of a logistics company. The company offers data-driven shipping platform where the duties and insurance are pre-paid and real time tracking facility is available.</t>
        </is>
      </c>
      <c r="S204" s="48" t="inlineStr">
        <is>
          <t>Sunnyvale, CA</t>
        </is>
      </c>
      <c r="T204" s="49" t="inlineStr">
        <is>
          <t>www.yakit.com</t>
        </is>
      </c>
      <c r="U204" s="132">
        <f>HYPERLINK("https://my.pitchbook.com?c=169113-07", "View company online")</f>
      </c>
    </row>
    <row r="205">
      <c r="A205" s="9" t="inlineStr">
        <is>
          <t>59208-85</t>
        </is>
      </c>
      <c r="B205" s="10" t="inlineStr">
        <is>
          <t>Yak Academy</t>
        </is>
      </c>
      <c r="C205" s="11" t="inlineStr">
        <is>
          <t/>
        </is>
      </c>
      <c r="D205" s="12" t="n">
        <v>0.2062596605535374</v>
      </c>
      <c r="E205" s="13" t="n">
        <v>1.2758975103116592</v>
      </c>
      <c r="F205" s="14" t="n">
        <v>39449.0</v>
      </c>
      <c r="G205" s="15" t="inlineStr">
        <is>
          <t>Early Stage VC</t>
        </is>
      </c>
      <c r="H205" s="16" t="inlineStr">
        <is>
          <t>Series A</t>
        </is>
      </c>
      <c r="I205" s="17" t="n">
        <v>1.5</v>
      </c>
      <c r="J205" s="18" t="n">
        <v>6.0</v>
      </c>
      <c r="K205" s="19" t="inlineStr">
        <is>
          <t>Completed</t>
        </is>
      </c>
      <c r="L205" s="20" t="inlineStr">
        <is>
          <t>Privately Held (backing)</t>
        </is>
      </c>
      <c r="M205" s="21" t="inlineStr">
        <is>
          <t>Venture Capital-Backed</t>
        </is>
      </c>
      <c r="N205" s="22" t="inlineStr">
        <is>
          <t>The company raised $1.5 million of Series A venture funding from Ascend Venture Group and other undisclosed investors on January 2, 2008, putting the pre-money valuation at $4.5 million.</t>
        </is>
      </c>
      <c r="O205" s="23" t="inlineStr">
        <is>
          <t>Ascend Venture Group</t>
        </is>
      </c>
      <c r="P205" s="24" t="inlineStr">
        <is>
          <t/>
        </is>
      </c>
      <c r="Q205" s="25" t="inlineStr">
        <is>
          <t>Educational and Training Services (B2C)</t>
        </is>
      </c>
      <c r="R205" s="26" t="inlineStr">
        <is>
          <t>Developer of early childhood development and foreign language programs. The company offers early childhood development program, world language playground, preschools, camps and mobile programs all over the US.</t>
        </is>
      </c>
      <c r="S205" s="27" t="inlineStr">
        <is>
          <t>Redondo Beach, CA</t>
        </is>
      </c>
      <c r="T205" s="28" t="inlineStr">
        <is>
          <t>www.yakacademy.com</t>
        </is>
      </c>
      <c r="U205" s="131">
        <f>HYPERLINK("https://my.pitchbook.com?c=59208-85", "View company online")</f>
      </c>
    </row>
    <row r="206">
      <c r="A206" s="30" t="inlineStr">
        <is>
          <t>40420-36</t>
        </is>
      </c>
      <c r="B206" s="31" t="inlineStr">
        <is>
          <t>Y Combinator</t>
        </is>
      </c>
      <c r="C206" s="32" t="inlineStr">
        <is>
          <t/>
        </is>
      </c>
      <c r="D206" s="33" t="n">
        <v>0.6347703859894395</v>
      </c>
      <c r="E206" s="34" t="n">
        <v>661.8231741084172</v>
      </c>
      <c r="F206" s="35" t="n">
        <v>39888.0</v>
      </c>
      <c r="G206" s="36" t="inlineStr">
        <is>
          <t>Early Stage VC</t>
        </is>
      </c>
      <c r="H206" s="37" t="inlineStr">
        <is>
          <t/>
        </is>
      </c>
      <c r="I206" s="38" t="n">
        <v>2.0</v>
      </c>
      <c r="J206" s="39" t="inlineStr">
        <is>
          <t/>
        </is>
      </c>
      <c r="K206" s="40" t="inlineStr">
        <is>
          <t>Completed</t>
        </is>
      </c>
      <c r="L206" s="41" t="inlineStr">
        <is>
          <t>Privately Held (backing)</t>
        </is>
      </c>
      <c r="M206" s="42" t="inlineStr">
        <is>
          <t>Venture Capital-Backed</t>
        </is>
      </c>
      <c r="N206" s="43" t="inlineStr">
        <is>
          <t>The company raised $2 million of venture funding from lead investor Sequoia Capital on March 16, 2009. Ron Conway, XG Ventures, Richmond View Ventures, Aydin Senkut and other undisclosed investors also participated in the round.</t>
        </is>
      </c>
      <c r="O206" s="44" t="inlineStr">
        <is>
          <t>Aydin Senkut, Richmond View Ventures, Ronald Conway, Sequoia Capital, XG Ventures</t>
        </is>
      </c>
      <c r="P206" s="45" t="inlineStr">
        <is>
          <t/>
        </is>
      </c>
      <c r="Q206" s="46" t="inlineStr">
        <is>
          <t>Other Capital Markets/Institutions</t>
        </is>
      </c>
      <c r="R206" s="47" t="inlineStr">
        <is>
          <t>Operator of a startup accelerator. The company offers seed funding for startups in return for small stakes in the companies funded while working with the startups on their ideas.</t>
        </is>
      </c>
      <c r="S206" s="48" t="inlineStr">
        <is>
          <t>Mountain View, CA</t>
        </is>
      </c>
      <c r="T206" s="49" t="inlineStr">
        <is>
          <t>www.ycombinator.com</t>
        </is>
      </c>
      <c r="U206" s="132">
        <f>HYPERLINK("https://my.pitchbook.com?c=40420-36", "View company online")</f>
      </c>
    </row>
    <row r="207">
      <c r="A207" s="9" t="inlineStr">
        <is>
          <t>59113-63</t>
        </is>
      </c>
      <c r="B207" s="10" t="inlineStr">
        <is>
          <t>Xyz</t>
        </is>
      </c>
      <c r="C207" s="11" t="inlineStr">
        <is>
          <t/>
        </is>
      </c>
      <c r="D207" s="12" t="n">
        <v>0.01045931349551429</v>
      </c>
      <c r="E207" s="13" t="n">
        <v>7.794891638664668</v>
      </c>
      <c r="F207" s="14" t="inlineStr">
        <is>
          <t/>
        </is>
      </c>
      <c r="G207" s="15" t="inlineStr">
        <is>
          <t>Early Stage VC</t>
        </is>
      </c>
      <c r="H207" s="16" t="inlineStr">
        <is>
          <t/>
        </is>
      </c>
      <c r="I207" s="17" t="inlineStr">
        <is>
          <t/>
        </is>
      </c>
      <c r="J207" s="18" t="inlineStr">
        <is>
          <t/>
        </is>
      </c>
      <c r="K207" s="19" t="inlineStr">
        <is>
          <t>Completed</t>
        </is>
      </c>
      <c r="L207" s="20" t="inlineStr">
        <is>
          <t>Privately Held (backing)</t>
        </is>
      </c>
      <c r="M207" s="21" t="inlineStr">
        <is>
          <t>Venture Capital-Backed</t>
        </is>
      </c>
      <c r="N207" s="22" t="inlineStr">
        <is>
          <t>The company raised venture funding from Originate on an undisclosed date.</t>
        </is>
      </c>
      <c r="O207" s="23" t="inlineStr">
        <is>
          <t>Originate</t>
        </is>
      </c>
      <c r="P207" s="24" t="inlineStr">
        <is>
          <t/>
        </is>
      </c>
      <c r="Q207" s="25" t="inlineStr">
        <is>
          <t>Media and Information Services (B2B)</t>
        </is>
      </c>
      <c r="R207" s="26" t="inlineStr">
        <is>
          <t>Producer of visual content in various forms. The company specializes in producing visual content for big brands, advertisers and marketers. It offers various creative services ranging from photography, CGI and augmented reality images for motion, still imagery, interactive, broadcast and print.</t>
        </is>
      </c>
      <c r="S207" s="27" t="inlineStr">
        <is>
          <t>San Francisco, CA</t>
        </is>
      </c>
      <c r="T207" s="28" t="inlineStr">
        <is>
          <t>www.wearexyz.com</t>
        </is>
      </c>
      <c r="U207" s="131">
        <f>HYPERLINK("https://my.pitchbook.com?c=59113-63", "View company online")</f>
      </c>
    </row>
    <row r="208">
      <c r="A208" s="30" t="inlineStr">
        <is>
          <t>59996-62</t>
        </is>
      </c>
      <c r="B208" s="31" t="inlineStr">
        <is>
          <t>Xtv</t>
        </is>
      </c>
      <c r="C208" s="32" t="n">
        <v>0.39</v>
      </c>
      <c r="D208" s="33" t="n">
        <v>-0.4819345566175658</v>
      </c>
      <c r="E208" s="34" t="n">
        <v>8.803176057413346</v>
      </c>
      <c r="F208" s="35" t="n">
        <v>42459.0</v>
      </c>
      <c r="G208" s="36" t="inlineStr">
        <is>
          <t>Debt - General</t>
        </is>
      </c>
      <c r="H208" s="37" t="inlineStr">
        <is>
          <t/>
        </is>
      </c>
      <c r="I208" s="38" t="n">
        <v>3.0</v>
      </c>
      <c r="J208" s="39" t="inlineStr">
        <is>
          <t/>
        </is>
      </c>
      <c r="K208" s="40" t="inlineStr">
        <is>
          <t>Completed</t>
        </is>
      </c>
      <c r="L208" s="41" t="inlineStr">
        <is>
          <t>Privately Held (backing)</t>
        </is>
      </c>
      <c r="M208" s="42" t="inlineStr">
        <is>
          <t>Venture Capital-Backed</t>
        </is>
      </c>
      <c r="N208" s="43" t="inlineStr">
        <is>
          <t>The company received $3 million of debt financing from undisclosed lenders on March 30, 2016. Previously, the company raised $2 million of venture funding from UST Global on July 14, 2014.</t>
        </is>
      </c>
      <c r="O208" s="44" t="inlineStr">
        <is>
          <t>Archimedes Labs, Gramercy Private Equity, GSVlabs, Individual Investor, Microsoft Accelerator, Thomas Varghese, UST Global</t>
        </is>
      </c>
      <c r="P208" s="45" t="inlineStr">
        <is>
          <t/>
        </is>
      </c>
      <c r="Q208" s="46" t="inlineStr">
        <is>
          <t>Broadcasting, Radio and Television</t>
        </is>
      </c>
      <c r="R208" s="47" t="inlineStr">
        <is>
          <t>Provider of a real time television platform for companies and individuals. The company provides a cloud based platform where users can build there own television.</t>
        </is>
      </c>
      <c r="S208" s="48" t="inlineStr">
        <is>
          <t>Redwood City, CA</t>
        </is>
      </c>
      <c r="T208" s="49" t="inlineStr">
        <is>
          <t>www.xtv.net</t>
        </is>
      </c>
      <c r="U208" s="132">
        <f>HYPERLINK("https://my.pitchbook.com?c=59996-62", "View company online")</f>
      </c>
    </row>
    <row r="209">
      <c r="A209" s="9" t="inlineStr">
        <is>
          <t>138343-24</t>
        </is>
      </c>
      <c r="B209" s="10" t="inlineStr">
        <is>
          <t>Xtrava</t>
        </is>
      </c>
      <c r="C209" s="11" t="inlineStr">
        <is>
          <t/>
        </is>
      </c>
      <c r="D209" s="12" t="n">
        <v>0.09485102092545691</v>
      </c>
      <c r="E209" s="13" t="n">
        <v>0.26402077411657365</v>
      </c>
      <c r="F209" s="14" t="inlineStr">
        <is>
          <t/>
        </is>
      </c>
      <c r="G209" s="15" t="inlineStr">
        <is>
          <t>Early Stage VC</t>
        </is>
      </c>
      <c r="H209" s="16" t="inlineStr">
        <is>
          <t/>
        </is>
      </c>
      <c r="I209" s="17" t="inlineStr">
        <is>
          <t/>
        </is>
      </c>
      <c r="J209" s="18" t="inlineStr">
        <is>
          <t/>
        </is>
      </c>
      <c r="K209" s="19" t="inlineStr">
        <is>
          <t>Completed</t>
        </is>
      </c>
      <c r="L209" s="20" t="inlineStr">
        <is>
          <t>Privately Held (backing)</t>
        </is>
      </c>
      <c r="M209" s="21" t="inlineStr">
        <is>
          <t>Venture Capital-Backed</t>
        </is>
      </c>
      <c r="N209" s="22" t="inlineStr">
        <is>
          <t>The company raised venture funding from Endure Capital on an undisclosed date.</t>
        </is>
      </c>
      <c r="O209" s="23" t="inlineStr">
        <is>
          <t>Endure Capital</t>
        </is>
      </c>
      <c r="P209" s="24" t="inlineStr">
        <is>
          <t/>
        </is>
      </c>
      <c r="Q209" s="25" t="inlineStr">
        <is>
          <t>Other Healthcare Technology Systems</t>
        </is>
      </c>
      <c r="R209" s="26" t="inlineStr">
        <is>
          <t>Provider of child healthcare monitor. The company offers a wearable technology that can track the health of a child and sense sleep, hunger and other basic activities.</t>
        </is>
      </c>
      <c r="S209" s="27" t="inlineStr">
        <is>
          <t>Santa Clara, CA</t>
        </is>
      </c>
      <c r="T209" s="28" t="inlineStr">
        <is>
          <t>www.xtrava.co</t>
        </is>
      </c>
      <c r="U209" s="131">
        <f>HYPERLINK("https://my.pitchbook.com?c=138343-24", "View company online")</f>
      </c>
    </row>
    <row r="210">
      <c r="A210" s="30" t="inlineStr">
        <is>
          <t>155958-49</t>
        </is>
      </c>
      <c r="B210" s="31" t="inlineStr">
        <is>
          <t>XTAL</t>
        </is>
      </c>
      <c r="C210" s="32" t="inlineStr">
        <is>
          <t/>
        </is>
      </c>
      <c r="D210" s="33" t="n">
        <v>0.0</v>
      </c>
      <c r="E210" s="34" t="n">
        <v>0.05405405405405406</v>
      </c>
      <c r="F210" s="35" t="n">
        <v>42453.0</v>
      </c>
      <c r="G210" s="36" t="inlineStr">
        <is>
          <t>Early Stage VC</t>
        </is>
      </c>
      <c r="H210" s="37" t="inlineStr">
        <is>
          <t>Series A</t>
        </is>
      </c>
      <c r="I210" s="38" t="n">
        <v>5.33</v>
      </c>
      <c r="J210" s="39" t="n">
        <v>18.19</v>
      </c>
      <c r="K210" s="40" t="inlineStr">
        <is>
          <t>Completed</t>
        </is>
      </c>
      <c r="L210" s="41" t="inlineStr">
        <is>
          <t>Privately Held (backing)</t>
        </is>
      </c>
      <c r="M210" s="42" t="inlineStr">
        <is>
          <t>Venture Capital-Backed</t>
        </is>
      </c>
      <c r="N210" s="43" t="inlineStr">
        <is>
          <t>The company raised $5.33 million of Series A funding from undisclosed investors on March 24, 2016, putting the company's pre-money valuation at $12.86 million.</t>
        </is>
      </c>
      <c r="O210" s="44" t="inlineStr">
        <is>
          <t/>
        </is>
      </c>
      <c r="P210" s="45" t="inlineStr">
        <is>
          <t/>
        </is>
      </c>
      <c r="Q210" s="46" t="inlineStr">
        <is>
          <t>Other IT Services</t>
        </is>
      </c>
      <c r="R210" s="47" t="inlineStr">
        <is>
          <t>Provider of yield enhancement and optimization services. The company provides yield enhancement, software optimization and hardware implementation services to semiconductor design and manufacturing industry.</t>
        </is>
      </c>
      <c r="S210" s="48" t="inlineStr">
        <is>
          <t>San Jose, CA</t>
        </is>
      </c>
      <c r="T210" s="49" t="inlineStr">
        <is>
          <t>www.xtalinc.com</t>
        </is>
      </c>
      <c r="U210" s="132">
        <f>HYPERLINK("https://my.pitchbook.com?c=155958-49", "View company online")</f>
      </c>
    </row>
    <row r="211">
      <c r="A211" s="9" t="inlineStr">
        <is>
          <t>158922-82</t>
        </is>
      </c>
      <c r="B211" s="10" t="inlineStr">
        <is>
          <t>XStream Trucking</t>
        </is>
      </c>
      <c r="C211" s="11" t="inlineStr">
        <is>
          <t/>
        </is>
      </c>
      <c r="D211" s="12" t="n">
        <v>0.0</v>
      </c>
      <c r="E211" s="13" t="n">
        <v>0.25055072179243143</v>
      </c>
      <c r="F211" s="14" t="n">
        <v>42506.0</v>
      </c>
      <c r="G211" s="15" t="inlineStr">
        <is>
          <t>Early Stage VC</t>
        </is>
      </c>
      <c r="H211" s="16" t="inlineStr">
        <is>
          <t/>
        </is>
      </c>
      <c r="I211" s="17" t="inlineStr">
        <is>
          <t/>
        </is>
      </c>
      <c r="J211" s="18" t="inlineStr">
        <is>
          <t/>
        </is>
      </c>
      <c r="K211" s="19" t="inlineStr">
        <is>
          <t>Completed</t>
        </is>
      </c>
      <c r="L211" s="20" t="inlineStr">
        <is>
          <t>Privately Held (backing)</t>
        </is>
      </c>
      <c r="M211" s="21" t="inlineStr">
        <is>
          <t>Venture Capital-Backed</t>
        </is>
      </c>
      <c r="N211" s="22" t="inlineStr">
        <is>
          <t>The company raised an undisclosed amount of venture funding from Tandem Capital, Dorm Room Fund, FusionX Ventures and Angels Unleashed on May 16, 2016.</t>
        </is>
      </c>
      <c r="O211" s="23" t="inlineStr">
        <is>
          <t>Angels Unleashed, Dorm Room Fund, FusionX Ventures, Radicand, Tandem Capital</t>
        </is>
      </c>
      <c r="P211" s="24" t="inlineStr">
        <is>
          <t/>
        </is>
      </c>
      <c r="Q211" s="25" t="inlineStr">
        <is>
          <t>Machinery (B2B)</t>
        </is>
      </c>
      <c r="R211" s="26" t="inlineStr">
        <is>
          <t>Developer of aerodynamic devices for trucks. The company develops a device that covers the gap between the tractor and the trailer of combination trucks, making the truck more streamlined and also reduces fuel consumption.</t>
        </is>
      </c>
      <c r="S211" s="27" t="inlineStr">
        <is>
          <t>Redwood City, CA</t>
        </is>
      </c>
      <c r="T211" s="28" t="inlineStr">
        <is>
          <t>www.xstreamtrucking.com</t>
        </is>
      </c>
      <c r="U211" s="131">
        <f>HYPERLINK("https://my.pitchbook.com?c=158922-82", "View company online")</f>
      </c>
    </row>
    <row r="212">
      <c r="A212" s="30" t="inlineStr">
        <is>
          <t>166052-08</t>
        </is>
      </c>
      <c r="B212" s="31" t="inlineStr">
        <is>
          <t>xSeer</t>
        </is>
      </c>
      <c r="C212" s="32" t="inlineStr">
        <is>
          <t/>
        </is>
      </c>
      <c r="D212" s="33" t="n">
        <v>0.0</v>
      </c>
      <c r="E212" s="34" t="n">
        <v>0.024868217517443753</v>
      </c>
      <c r="F212" s="35" t="n">
        <v>42802.0</v>
      </c>
      <c r="G212" s="36" t="inlineStr">
        <is>
          <t>Early Stage VC</t>
        </is>
      </c>
      <c r="H212" s="37" t="inlineStr">
        <is>
          <t/>
        </is>
      </c>
      <c r="I212" s="38" t="n">
        <v>2.0</v>
      </c>
      <c r="J212" s="39" t="inlineStr">
        <is>
          <t/>
        </is>
      </c>
      <c r="K212" s="40" t="inlineStr">
        <is>
          <t>Announced/In Progress</t>
        </is>
      </c>
      <c r="L212" s="41" t="inlineStr">
        <is>
          <t>Privately Held (backing)</t>
        </is>
      </c>
      <c r="M212" s="42" t="inlineStr">
        <is>
          <t>Venture Capital-Backed</t>
        </is>
      </c>
      <c r="N212" s="43" t="inlineStr">
        <is>
          <t>The company closed on $2 million of convertible debt financing from Correlation Ventures on March 8, 2017. Palapa Ventures also participated in the round. Earlier, the company joined Pear Ventures and received $50,000 of funding on September 1, 2016 and received $65,000 of grant funding from Lightspeed Venture Partners on April 19, 2016.</t>
        </is>
      </c>
      <c r="O212" s="44" t="inlineStr">
        <is>
          <t>Lightspeed Venture Partners, Pear Ventures, VentureBridge</t>
        </is>
      </c>
      <c r="P212" s="45" t="inlineStr">
        <is>
          <t/>
        </is>
      </c>
      <c r="Q212" s="46" t="inlineStr">
        <is>
          <t>Database Software</t>
        </is>
      </c>
      <c r="R212" s="47" t="inlineStr">
        <is>
          <t>Provider of an explorable visual analytics platform designed to ingest millions of data entries. The company's explorable visual analytics platform can take billions of rows of data with multiple dimensions or columns and present it in a visual format, enabling users to transform incomprehensible amounts of data into valuable, action-ready information.</t>
        </is>
      </c>
      <c r="S212" s="48" t="inlineStr">
        <is>
          <t>Sunnyvale, CA</t>
        </is>
      </c>
      <c r="T212" s="49" t="inlineStr">
        <is>
          <t>eva.cmucreatelab.org</t>
        </is>
      </c>
      <c r="U212" s="132">
        <f>HYPERLINK("https://my.pitchbook.com?c=166052-08", "View company online")</f>
      </c>
    </row>
    <row r="213">
      <c r="A213" s="9" t="inlineStr">
        <is>
          <t>103409-47</t>
        </is>
      </c>
      <c r="B213" s="10" t="inlineStr">
        <is>
          <t>Xprize</t>
        </is>
      </c>
      <c r="C213" s="11" t="inlineStr">
        <is>
          <t/>
        </is>
      </c>
      <c r="D213" s="12" t="n">
        <v>0.3302717354244219</v>
      </c>
      <c r="E213" s="13" t="n">
        <v>203.9268266977368</v>
      </c>
      <c r="F213" s="14" t="n">
        <v>41902.0</v>
      </c>
      <c r="G213" s="15" t="inlineStr">
        <is>
          <t>Angel (individual)</t>
        </is>
      </c>
      <c r="H213" s="16" t="inlineStr">
        <is>
          <t>Angel</t>
        </is>
      </c>
      <c r="I213" s="17" t="n">
        <v>0.94</v>
      </c>
      <c r="J213" s="18" t="inlineStr">
        <is>
          <t/>
        </is>
      </c>
      <c r="K213" s="19" t="inlineStr">
        <is>
          <t>Completed</t>
        </is>
      </c>
      <c r="L213" s="20" t="inlineStr">
        <is>
          <t>Privately Held (backing)</t>
        </is>
      </c>
      <c r="M213" s="21" t="inlineStr">
        <is>
          <t>Venture Capital-Backed</t>
        </is>
      </c>
      <c r="N213" s="22" t="inlineStr">
        <is>
          <t>The company raised $942,223 of angel funding via Indiegogo on September 20, 2014.</t>
        </is>
      </c>
      <c r="O213" s="23" t="inlineStr">
        <is>
          <t>OS Fund</t>
        </is>
      </c>
      <c r="P213" s="24" t="inlineStr">
        <is>
          <t/>
        </is>
      </c>
      <c r="Q213" s="25" t="inlineStr">
        <is>
          <t>Media and Information Services (B2B)</t>
        </is>
      </c>
      <c r="R213" s="26" t="inlineStr">
        <is>
          <t>Arranger of competitions designed to solve the world's grandest challenges. The company's competitions are arranged and managed to incentivized prize competitions for organizations operating in the sectors of learning, exploration, energy and environment, global development and life sciences, enabling them to arrange and collect money for their need.</t>
        </is>
      </c>
      <c r="S213" s="27" t="inlineStr">
        <is>
          <t>Culver City, CA</t>
        </is>
      </c>
      <c r="T213" s="28" t="inlineStr">
        <is>
          <t>www.xprize.org</t>
        </is>
      </c>
      <c r="U213" s="131">
        <f>HYPERLINK("https://my.pitchbook.com?c=103409-47", "View company online")</f>
      </c>
    </row>
    <row r="214">
      <c r="A214" s="30" t="inlineStr">
        <is>
          <t>56643-58</t>
        </is>
      </c>
      <c r="B214" s="31" t="inlineStr">
        <is>
          <t>XpressRate</t>
        </is>
      </c>
      <c r="C214" s="32" t="inlineStr">
        <is>
          <t/>
        </is>
      </c>
      <c r="D214" s="33" t="n">
        <v>-0.019363124708782913</v>
      </c>
      <c r="E214" s="34" t="n">
        <v>0.526925214508118</v>
      </c>
      <c r="F214" s="35" t="inlineStr">
        <is>
          <t/>
        </is>
      </c>
      <c r="G214" s="36" t="inlineStr">
        <is>
          <t>Early Stage VC</t>
        </is>
      </c>
      <c r="H214" s="37" t="inlineStr">
        <is>
          <t/>
        </is>
      </c>
      <c r="I214" s="38" t="inlineStr">
        <is>
          <t/>
        </is>
      </c>
      <c r="J214" s="39" t="inlineStr">
        <is>
          <t/>
        </is>
      </c>
      <c r="K214" s="40" t="inlineStr">
        <is>
          <t>Completed</t>
        </is>
      </c>
      <c r="L214" s="41" t="inlineStr">
        <is>
          <t>Privately Held (backing)</t>
        </is>
      </c>
      <c r="M214" s="42" t="inlineStr">
        <is>
          <t>Venture Capital-Backed</t>
        </is>
      </c>
      <c r="N214" s="43" t="inlineStr">
        <is>
          <t>The company raised venture funding from Five Elms Capital on an undisclosed date.</t>
        </is>
      </c>
      <c r="O214" s="44" t="inlineStr">
        <is>
          <t>Five Elms Capital</t>
        </is>
      </c>
      <c r="P214" s="45" t="inlineStr">
        <is>
          <t/>
        </is>
      </c>
      <c r="Q214" s="46" t="inlineStr">
        <is>
          <t>Media and Information Services (B2B)</t>
        </is>
      </c>
      <c r="R214" s="47" t="inlineStr">
        <is>
          <t>Provider of an international shipping cost comparing platform. The company provides free online site that allows importers and exporters to quote and compare international air and ocean rates from several freight forwarders and shipping agencies.</t>
        </is>
      </c>
      <c r="S214" s="48" t="inlineStr">
        <is>
          <t>New York, NY</t>
        </is>
      </c>
      <c r="T214" s="49" t="inlineStr">
        <is>
          <t>www.xpressrate.com</t>
        </is>
      </c>
      <c r="U214" s="132">
        <f>HYPERLINK("https://my.pitchbook.com?c=56643-58", "View company online")</f>
      </c>
    </row>
    <row r="215">
      <c r="A215" s="9" t="inlineStr">
        <is>
          <t>58781-17</t>
        </is>
      </c>
      <c r="B215" s="10" t="inlineStr">
        <is>
          <t>Xplenty</t>
        </is>
      </c>
      <c r="C215" s="11" t="inlineStr">
        <is>
          <t/>
        </is>
      </c>
      <c r="D215" s="12" t="n">
        <v>0.4665163060008571</v>
      </c>
      <c r="E215" s="13" t="n">
        <v>10.85101418926032</v>
      </c>
      <c r="F215" s="14" t="n">
        <v>42726.0</v>
      </c>
      <c r="G215" s="15" t="inlineStr">
        <is>
          <t>Early Stage VC</t>
        </is>
      </c>
      <c r="H215" s="16" t="inlineStr">
        <is>
          <t/>
        </is>
      </c>
      <c r="I215" s="17" t="n">
        <v>4.0</v>
      </c>
      <c r="J215" s="18" t="inlineStr">
        <is>
          <t/>
        </is>
      </c>
      <c r="K215" s="19" t="inlineStr">
        <is>
          <t>Completed</t>
        </is>
      </c>
      <c r="L215" s="20" t="inlineStr">
        <is>
          <t>Privately Held (backing)</t>
        </is>
      </c>
      <c r="M215" s="21" t="inlineStr">
        <is>
          <t>Venture Capital-Backed</t>
        </is>
      </c>
      <c r="N215" s="22" t="inlineStr">
        <is>
          <t>The company raised $4 million of venture funding from Bain Capital Ventures, True Ventures and Rembrandt Venture Partners on December 22, 2016. Magma Venture Partners and Waarde Capital also participated in the round. The funds will help used for global expansion and to develop new platform capabilities.</t>
        </is>
      </c>
      <c r="O215" s="23" t="inlineStr">
        <is>
          <t>Bain Capital Ventures, Magma Venture Partners, Rembrandt Venture Partners, True Ventures, Waarde Capital</t>
        </is>
      </c>
      <c r="P215" s="24" t="inlineStr">
        <is>
          <t/>
        </is>
      </c>
      <c r="Q215" s="25" t="inlineStr">
        <is>
          <t>Database Software</t>
        </is>
      </c>
      <c r="R215" s="26" t="inlineStr">
        <is>
          <t>Provider of a data integration platform. The company provides an online platform that allows organizations to integrate, process and prepare data for analytics on the cloud.</t>
        </is>
      </c>
      <c r="S215" s="27" t="inlineStr">
        <is>
          <t>Tel Aviv, Israel</t>
        </is>
      </c>
      <c r="T215" s="28" t="inlineStr">
        <is>
          <t>www.xplenty.com</t>
        </is>
      </c>
      <c r="U215" s="131">
        <f>HYPERLINK("https://my.pitchbook.com?c=58781-17", "View company online")</f>
      </c>
    </row>
    <row r="216">
      <c r="A216" s="30" t="inlineStr">
        <is>
          <t>97268-41</t>
        </is>
      </c>
      <c r="B216" s="31" t="inlineStr">
        <is>
          <t>Xperiel</t>
        </is>
      </c>
      <c r="C216" s="32" t="inlineStr">
        <is>
          <t/>
        </is>
      </c>
      <c r="D216" s="33" t="n">
        <v>0.255854608401653</v>
      </c>
      <c r="E216" s="34" t="n">
        <v>0.5961959011332629</v>
      </c>
      <c r="F216" s="35" t="n">
        <v>42593.0</v>
      </c>
      <c r="G216" s="36" t="inlineStr">
        <is>
          <t>Early Stage VC</t>
        </is>
      </c>
      <c r="H216" s="37" t="inlineStr">
        <is>
          <t/>
        </is>
      </c>
      <c r="I216" s="38" t="n">
        <v>7.0</v>
      </c>
      <c r="J216" s="39" t="inlineStr">
        <is>
          <t/>
        </is>
      </c>
      <c r="K216" s="40" t="inlineStr">
        <is>
          <t>Completed</t>
        </is>
      </c>
      <c r="L216" s="41" t="inlineStr">
        <is>
          <t>Privately Held (backing)</t>
        </is>
      </c>
      <c r="M216" s="42" t="inlineStr">
        <is>
          <t>Venture Capital-Backed</t>
        </is>
      </c>
      <c r="N216" s="43" t="inlineStr">
        <is>
          <t>The company raised $7 million of venture funding from Metamorphic Ventures, Los Angeles Dodgers and Major League Baseball Ventures on August 11, 2016. Ten angel investors also participated in the round. The funds will be used to further advance its cloud based platform, to grow its sales and marketing organization and to recruit top engineering and executive leadership talent to its team.</t>
        </is>
      </c>
      <c r="O216" s="44" t="inlineStr">
        <is>
          <t>Andy Bechtolsheim, Andy Nowka, Brad O'Neill, Charlie McKittrick, Compound Ventures, Dave Scially, Derek Collison, Diane Greene, Garrett Camp, Gary Green, Geoff Smith, Hope Taitz, John Hennessy, LA Dodgers Accelerator, Major League Baseball Ventures, Ram Shriram, Sarah Imbach, Scott Cook, Shona Brown</t>
        </is>
      </c>
      <c r="P216" s="45" t="inlineStr">
        <is>
          <t/>
        </is>
      </c>
      <c r="Q216" s="46" t="inlineStr">
        <is>
          <t>Software Development Applications</t>
        </is>
      </c>
      <c r="R216" s="47" t="inlineStr">
        <is>
          <t>Developer of a Real World Web (RWW) platform to build real-world applications. The company's platform provides tools to build cloud-based, device-agnostic, real-world applications for all hardware and software across all business verticals.</t>
        </is>
      </c>
      <c r="S216" s="48" t="inlineStr">
        <is>
          <t>Sunnyvale, CA</t>
        </is>
      </c>
      <c r="T216" s="49" t="inlineStr">
        <is>
          <t>www.xperiel.com</t>
        </is>
      </c>
      <c r="U216" s="132">
        <f>HYPERLINK("https://my.pitchbook.com?c=97268-41", "View company online")</f>
      </c>
    </row>
    <row r="217">
      <c r="A217" s="9" t="inlineStr">
        <is>
          <t>61348-96</t>
        </is>
      </c>
      <c r="B217" s="10" t="inlineStr">
        <is>
          <t>Xola</t>
        </is>
      </c>
      <c r="C217" s="11" t="inlineStr">
        <is>
          <t/>
        </is>
      </c>
      <c r="D217" s="12" t="n">
        <v>1.3024950064675662</v>
      </c>
      <c r="E217" s="13" t="n">
        <v>5.838602522408713</v>
      </c>
      <c r="F217" s="14" t="n">
        <v>42488.0</v>
      </c>
      <c r="G217" s="15" t="inlineStr">
        <is>
          <t>Early Stage VC</t>
        </is>
      </c>
      <c r="H217" s="16" t="inlineStr">
        <is>
          <t>Series A</t>
        </is>
      </c>
      <c r="I217" s="17" t="n">
        <v>5.94</v>
      </c>
      <c r="J217" s="18" t="n">
        <v>25.25</v>
      </c>
      <c r="K217" s="19" t="inlineStr">
        <is>
          <t>Completed</t>
        </is>
      </c>
      <c r="L217" s="20" t="inlineStr">
        <is>
          <t>Privately Held (backing)</t>
        </is>
      </c>
      <c r="M217" s="21" t="inlineStr">
        <is>
          <t>Venture Capital-Backed</t>
        </is>
      </c>
      <c r="N217" s="22" t="inlineStr">
        <is>
          <t>The company raised $5.94 million of a planned $7.07 million of additional Series A venture funding from lead investor Rakuten Travelon April 28, 2016, putting the company's pre-money valuation at $19.31 million. ChinaRock Capital Management and undisclosed investors also participated. The company intends to use the funds to scale its operations globally and further develop its mobile and web products for enterprise and SMB tour companies.</t>
        </is>
      </c>
      <c r="O217" s="23" t="inlineStr">
        <is>
          <t>Bee Partners, Brett Crosby, Camp One Ventures, ChinaRock Capital Management, Farzad Nazem, Jun LI, Michael Burry, Noosheen Hashemi, Peter Kravtsov, Rakuten Travel, Sacha Levy, Scott Crosby, StartX, Tsingyuan Ventures, WI Harper Group</t>
        </is>
      </c>
      <c r="P217" s="24" t="inlineStr">
        <is>
          <t/>
        </is>
      </c>
      <c r="Q217" s="25" t="inlineStr">
        <is>
          <t>Business/Productivity Software</t>
        </is>
      </c>
      <c r="R217" s="26" t="inlineStr">
        <is>
          <t>Provider of a booking and marketing platform. The company's product manages back-office and online reservations, payment processing, calendaring, scheduling, inventory, guide management and customer relationship management.</t>
        </is>
      </c>
      <c r="S217" s="27" t="inlineStr">
        <is>
          <t>San Francisco, CA</t>
        </is>
      </c>
      <c r="T217" s="28" t="inlineStr">
        <is>
          <t>www.xola.com</t>
        </is>
      </c>
      <c r="U217" s="131">
        <f>HYPERLINK("https://my.pitchbook.com?c=61348-96", "View company online")</f>
      </c>
    </row>
    <row r="218">
      <c r="A218" s="30" t="inlineStr">
        <is>
          <t>97365-16</t>
        </is>
      </c>
      <c r="B218" s="31" t="inlineStr">
        <is>
          <t>Xockets</t>
        </is>
      </c>
      <c r="C218" s="32" t="inlineStr">
        <is>
          <t/>
        </is>
      </c>
      <c r="D218" s="33" t="n">
        <v>1.3691662373016035E-4</v>
      </c>
      <c r="E218" s="34" t="n">
        <v>1.1933488494284366</v>
      </c>
      <c r="F218" s="35" t="n">
        <v>42188.0</v>
      </c>
      <c r="G218" s="36" t="inlineStr">
        <is>
          <t>Early Stage VC</t>
        </is>
      </c>
      <c r="H218" s="37" t="inlineStr">
        <is>
          <t/>
        </is>
      </c>
      <c r="I218" s="38" t="n">
        <v>2.0</v>
      </c>
      <c r="J218" s="39" t="n">
        <v>12.2</v>
      </c>
      <c r="K218" s="40" t="inlineStr">
        <is>
          <t>Completed</t>
        </is>
      </c>
      <c r="L218" s="41" t="inlineStr">
        <is>
          <t>Privately Held (backing)</t>
        </is>
      </c>
      <c r="M218" s="42" t="inlineStr">
        <is>
          <t>Venture Capital-Backed</t>
        </is>
      </c>
      <c r="N218" s="43" t="inlineStr">
        <is>
          <t>The company raised $2 million of venture funding from Steelhead Ventures, Cote Capital and AME Cloud Ventures on July 03, 2015. Morado Ventures, Engineering Capital, Alchemist Accelerator and other undisclosed investors also participated in this round.</t>
        </is>
      </c>
      <c r="O218" s="44" t="inlineStr">
        <is>
          <t>Alchemist Accelerator, AME Cloud Ventures, Christopher Aubuchon, Cote Capital, Engineering Capital, Farzad Nazem, Morado Venture Partners, Steelhead Ventures</t>
        </is>
      </c>
      <c r="P218" s="45" t="inlineStr">
        <is>
          <t/>
        </is>
      </c>
      <c r="Q218" s="46" t="inlineStr">
        <is>
          <t>Application Software</t>
        </is>
      </c>
      <c r="R218" s="47" t="inlineStr">
        <is>
          <t>Developer of acceleration appliances for big data analytics. The company offers a software for big data processing, traffic management and other computational services.</t>
        </is>
      </c>
      <c r="S218" s="48" t="inlineStr">
        <is>
          <t>San Jose, CA</t>
        </is>
      </c>
      <c r="T218" s="49" t="inlineStr">
        <is>
          <t>www.xockets.com</t>
        </is>
      </c>
      <c r="U218" s="132">
        <f>HYPERLINK("https://my.pitchbook.com?c=97365-16", "View company online")</f>
      </c>
    </row>
    <row r="219">
      <c r="A219" s="9" t="inlineStr">
        <is>
          <t>51667-75</t>
        </is>
      </c>
      <c r="B219" s="10" t="inlineStr">
        <is>
          <t>Xirrus</t>
        </is>
      </c>
      <c r="C219" s="11" t="n">
        <v>1000.0</v>
      </c>
      <c r="D219" s="12" t="n">
        <v>0.15032377541616482</v>
      </c>
      <c r="E219" s="13" t="n">
        <v>41.200009270771986</v>
      </c>
      <c r="F219" s="14" t="n">
        <v>42844.0</v>
      </c>
      <c r="G219" s="15" t="inlineStr">
        <is>
          <t>Buyout/LBO</t>
        </is>
      </c>
      <c r="H219" s="16" t="inlineStr">
        <is>
          <t>Add-on</t>
        </is>
      </c>
      <c r="I219" s="17" t="inlineStr">
        <is>
          <t/>
        </is>
      </c>
      <c r="J219" s="18" t="inlineStr">
        <is>
          <t/>
        </is>
      </c>
      <c r="K219" s="19" t="inlineStr">
        <is>
          <t>Announced/In Progress</t>
        </is>
      </c>
      <c r="L219" s="20" t="inlineStr">
        <is>
          <t>Privately Held (backing)</t>
        </is>
      </c>
      <c r="M219" s="21" t="inlineStr">
        <is>
          <t>Venture Capital-Backed</t>
        </is>
      </c>
      <c r="N219" s="22" t="inlineStr">
        <is>
          <t>The company has reached a definitive agreement to be acquired by Riverbed Technology, via its financial sponsors Thoma Bravo, HarbourVest Partners and Ontario Teachers' Pension Plan, through an LBO on April 19, 2017 for an undisclosed sum. The acquisition will provide Riverbed Technology with a leading enterprise-grade Wi-Fi solution, enhancing SteelConnect to deliver an unmatched SD-WAN offering that will help further fuel Riverbed Technology's growth in the hot market. Earlier, the company raised $611,458 of venture funding from undisclosed investors on October 21, 2016. Out of the total funding, a part was raised in the form of convertible debt. The company is being actively tracked by PitchBook.</t>
        </is>
      </c>
      <c r="O219" s="23" t="inlineStr">
        <is>
          <t>August Capital, Canaan Partners, Dirk Gates, InterWest Partners, QuestMark Partners, TriplePoint Venture Growth, US Venture Partners, Vencore Capital</t>
        </is>
      </c>
      <c r="P219" s="24" t="inlineStr">
        <is>
          <t/>
        </is>
      </c>
      <c r="Q219" s="25" t="inlineStr">
        <is>
          <t>Wireless Communications Equipment</t>
        </is>
      </c>
      <c r="R219" s="26" t="inlineStr">
        <is>
          <t>Provider of next generation cloud-enabled wireless networks designed to offer seamless wireless access. The company's Wi-Fi network offers modular, dual band and multi-radio platform that features application control, is highly scalable, future proof and easy to use, enabling clients to access wireless networks when and wherever needed.</t>
        </is>
      </c>
      <c r="S219" s="27" t="inlineStr">
        <is>
          <t>Thousand Oaks, CA</t>
        </is>
      </c>
      <c r="T219" s="28" t="inlineStr">
        <is>
          <t>www.xirrus.com</t>
        </is>
      </c>
      <c r="U219" s="131">
        <f>HYPERLINK("https://my.pitchbook.com?c=51667-75", "View company online")</f>
      </c>
    </row>
    <row r="220">
      <c r="A220" s="30" t="inlineStr">
        <is>
          <t>171739-72</t>
        </is>
      </c>
      <c r="B220" s="31" t="inlineStr">
        <is>
          <t>Xip</t>
        </is>
      </c>
      <c r="C220" s="98">
        <f>HYPERLINK("https://my.pitchbook.com?rrp=171739-72&amp;type=c", "This Company's information is not available to download. Need this Company? Request availability")</f>
      </c>
      <c r="D220" s="33" t="inlineStr">
        <is>
          <t/>
        </is>
      </c>
      <c r="E220" s="34" t="inlineStr">
        <is>
          <t/>
        </is>
      </c>
      <c r="F220" s="35" t="inlineStr">
        <is>
          <t/>
        </is>
      </c>
      <c r="G220" s="36" t="inlineStr">
        <is>
          <t/>
        </is>
      </c>
      <c r="H220" s="37" t="inlineStr">
        <is>
          <t/>
        </is>
      </c>
      <c r="I220" s="38" t="inlineStr">
        <is>
          <t/>
        </is>
      </c>
      <c r="J220" s="39" t="inlineStr">
        <is>
          <t/>
        </is>
      </c>
      <c r="K220" s="40" t="inlineStr">
        <is>
          <t/>
        </is>
      </c>
      <c r="L220" s="41" t="inlineStr">
        <is>
          <t/>
        </is>
      </c>
      <c r="M220" s="42" t="inlineStr">
        <is>
          <t/>
        </is>
      </c>
      <c r="N220" s="43" t="inlineStr">
        <is>
          <t/>
        </is>
      </c>
      <c r="O220" s="44" t="inlineStr">
        <is>
          <t/>
        </is>
      </c>
      <c r="P220" s="45" t="inlineStr">
        <is>
          <t/>
        </is>
      </c>
      <c r="Q220" s="46" t="inlineStr">
        <is>
          <t/>
        </is>
      </c>
      <c r="R220" s="47" t="inlineStr">
        <is>
          <t/>
        </is>
      </c>
      <c r="S220" s="48" t="inlineStr">
        <is>
          <t/>
        </is>
      </c>
      <c r="T220" s="49" t="inlineStr">
        <is>
          <t/>
        </is>
      </c>
      <c r="U220" s="50" t="inlineStr">
        <is>
          <t/>
        </is>
      </c>
    </row>
    <row r="221">
      <c r="A221" s="9" t="inlineStr">
        <is>
          <t>174360-43</t>
        </is>
      </c>
      <c r="B221" s="10" t="inlineStr">
        <is>
          <t>Xingtone</t>
        </is>
      </c>
      <c r="C221" s="97">
        <f>HYPERLINK("https://my.pitchbook.com?rrp=174360-43&amp;type=c",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c r="S221" s="27" t="inlineStr">
        <is>
          <t/>
        </is>
      </c>
      <c r="T221" s="28" t="inlineStr">
        <is>
          <t/>
        </is>
      </c>
      <c r="U221" s="29" t="inlineStr">
        <is>
          <t/>
        </is>
      </c>
    </row>
    <row r="222">
      <c r="A222" s="30" t="inlineStr">
        <is>
          <t>60591-43</t>
        </is>
      </c>
      <c r="B222" s="31" t="inlineStr">
        <is>
          <t>Xingtera</t>
        </is>
      </c>
      <c r="C222" s="32" t="inlineStr">
        <is>
          <t/>
        </is>
      </c>
      <c r="D222" s="33" t="n">
        <v>0.0</v>
      </c>
      <c r="E222" s="34" t="n">
        <v>0.5675675675675675</v>
      </c>
      <c r="F222" s="35" t="n">
        <v>42325.0</v>
      </c>
      <c r="G222" s="36" t="inlineStr">
        <is>
          <t>Corporate</t>
        </is>
      </c>
      <c r="H222" s="37" t="inlineStr">
        <is>
          <t>Corporate</t>
        </is>
      </c>
      <c r="I222" s="38" t="n">
        <v>5.0</v>
      </c>
      <c r="J222" s="39" t="n">
        <v>39.28</v>
      </c>
      <c r="K222" s="40" t="inlineStr">
        <is>
          <t>Completed</t>
        </is>
      </c>
      <c r="L222" s="41" t="inlineStr">
        <is>
          <t>Privately Held (backing)</t>
        </is>
      </c>
      <c r="M222" s="42" t="inlineStr">
        <is>
          <t>Venture Capital-Backed</t>
        </is>
      </c>
      <c r="N222" s="43" t="inlineStr">
        <is>
          <t>A 12.73% stake in the company was acquired by Guangdong Chaohua Technology for $5 million on November 17, 2015.</t>
        </is>
      </c>
      <c r="O222" s="44" t="inlineStr">
        <is>
          <t>Best Buy Capital, Guangdong Chaohua Technology Company</t>
        </is>
      </c>
      <c r="P222" s="45" t="inlineStr">
        <is>
          <t/>
        </is>
      </c>
      <c r="Q222" s="46" t="inlineStr">
        <is>
          <t>Application Specific Semiconductors</t>
        </is>
      </c>
      <c r="R222" s="47" t="inlineStr">
        <is>
          <t>Provider of home networking services. The company's technology allows any appliances and home devices to be connected and managed through electrical transmission and communication network.</t>
        </is>
      </c>
      <c r="S222" s="48" t="inlineStr">
        <is>
          <t>Shanghai, China</t>
        </is>
      </c>
      <c r="T222" s="49" t="inlineStr">
        <is>
          <t>www.xingtera.com</t>
        </is>
      </c>
      <c r="U222" s="132">
        <f>HYPERLINK("https://my.pitchbook.com?c=60591-43", "View company online")</f>
      </c>
    </row>
    <row r="223">
      <c r="A223" s="9" t="inlineStr">
        <is>
          <t>166730-50</t>
        </is>
      </c>
      <c r="B223" s="10" t="inlineStr">
        <is>
          <t>Ximmerse</t>
        </is>
      </c>
      <c r="C223" s="11" t="inlineStr">
        <is>
          <t/>
        </is>
      </c>
      <c r="D223" s="12" t="n">
        <v>-0.6036922863127614</v>
      </c>
      <c r="E223" s="13" t="n">
        <v>2.045194468075824</v>
      </c>
      <c r="F223" s="14" t="n">
        <v>42583.0</v>
      </c>
      <c r="G223" s="15" t="inlineStr">
        <is>
          <t>Early Stage VC</t>
        </is>
      </c>
      <c r="H223" s="16" t="inlineStr">
        <is>
          <t>Series A</t>
        </is>
      </c>
      <c r="I223" s="17" t="inlineStr">
        <is>
          <t/>
        </is>
      </c>
      <c r="J223" s="18" t="inlineStr">
        <is>
          <t/>
        </is>
      </c>
      <c r="K223" s="19" t="inlineStr">
        <is>
          <t>Completed</t>
        </is>
      </c>
      <c r="L223" s="20" t="inlineStr">
        <is>
          <t>Privately Held (backing)</t>
        </is>
      </c>
      <c r="M223" s="21" t="inlineStr">
        <is>
          <t>Venture Capital-Backed</t>
        </is>
      </c>
      <c r="N223" s="22" t="inlineStr">
        <is>
          <t>The company raised an undisclosed amount of venture funding from Qualcomm Ventures on August 1, 2016.</t>
        </is>
      </c>
      <c r="O223" s="23" t="inlineStr">
        <is>
          <t>Alpha Group (China), Chang Ce Investment Management, Qualcomm, Qualcomm Ventures</t>
        </is>
      </c>
      <c r="P223" s="24" t="inlineStr">
        <is>
          <t/>
        </is>
      </c>
      <c r="Q223" s="25" t="inlineStr">
        <is>
          <t>Electronics (B2C)</t>
        </is>
      </c>
      <c r="R223" s="26" t="inlineStr">
        <is>
          <t>Designer and developer of a virtual reality sensing device. The company develops a VR motion scanning device and a joystick that tracks a user's position in 3D space and helps them to create and view 3D simulated scenery from their mobile phones.</t>
        </is>
      </c>
      <c r="S223" s="27" t="inlineStr">
        <is>
          <t>Guangzhou, China</t>
        </is>
      </c>
      <c r="T223" s="28" t="inlineStr">
        <is>
          <t>www.ximmerse.com</t>
        </is>
      </c>
      <c r="U223" s="131">
        <f>HYPERLINK("https://my.pitchbook.com?c=166730-50", "View company online")</f>
      </c>
    </row>
    <row r="224">
      <c r="A224" s="30" t="inlineStr">
        <is>
          <t>99237-34</t>
        </is>
      </c>
      <c r="B224" s="31" t="inlineStr">
        <is>
          <t>Ximedica</t>
        </is>
      </c>
      <c r="C224" s="32" t="inlineStr">
        <is>
          <t/>
        </is>
      </c>
      <c r="D224" s="33" t="n">
        <v>0.20647148050053268</v>
      </c>
      <c r="E224" s="34" t="n">
        <v>1.266657893813384</v>
      </c>
      <c r="F224" s="35" t="n">
        <v>41948.0</v>
      </c>
      <c r="G224" s="36" t="inlineStr">
        <is>
          <t>Buyout/LBO</t>
        </is>
      </c>
      <c r="H224" s="37" t="inlineStr">
        <is>
          <t/>
        </is>
      </c>
      <c r="I224" s="38" t="inlineStr">
        <is>
          <t/>
        </is>
      </c>
      <c r="J224" s="39" t="inlineStr">
        <is>
          <t/>
        </is>
      </c>
      <c r="K224" s="40" t="inlineStr">
        <is>
          <t>Completed</t>
        </is>
      </c>
      <c r="L224" s="41" t="inlineStr">
        <is>
          <t>Privately Held (backing)</t>
        </is>
      </c>
      <c r="M224" s="42" t="inlineStr">
        <is>
          <t>Venture Capital-Backed</t>
        </is>
      </c>
      <c r="N224" s="43" t="inlineStr">
        <is>
          <t>The company was acquired by SV Life Sciences Advisers through an LBO on November 5, 2014 for an undisclosed sum.</t>
        </is>
      </c>
      <c r="O224" s="44" t="inlineStr">
        <is>
          <t>SV Health Investors</t>
        </is>
      </c>
      <c r="P224" s="45" t="inlineStr">
        <is>
          <t/>
        </is>
      </c>
      <c r="Q224" s="46" t="inlineStr">
        <is>
          <t>Medical Supplies</t>
        </is>
      </c>
      <c r="R224" s="47" t="inlineStr">
        <is>
          <t>Provider of research, development, regulatory and manufacturing services to medical device makers. The company operates as a product development firm that focuses on the development, manufacturing and commercialization of medical devices.</t>
        </is>
      </c>
      <c r="S224" s="48" t="inlineStr">
        <is>
          <t>Providence, RI</t>
        </is>
      </c>
      <c r="T224" s="49" t="inlineStr">
        <is>
          <t>www.ximedica.com</t>
        </is>
      </c>
      <c r="U224" s="132">
        <f>HYPERLINK("https://my.pitchbook.com?c=99237-34", "View company online")</f>
      </c>
    </row>
    <row r="225">
      <c r="A225" s="9" t="inlineStr">
        <is>
          <t>91932-13</t>
        </is>
      </c>
      <c r="B225" s="10" t="inlineStr">
        <is>
          <t>Ximble</t>
        </is>
      </c>
      <c r="C225" s="11" t="inlineStr">
        <is>
          <t/>
        </is>
      </c>
      <c r="D225" s="12" t="inlineStr">
        <is>
          <t/>
        </is>
      </c>
      <c r="E225" s="13" t="inlineStr">
        <is>
          <t/>
        </is>
      </c>
      <c r="F225" s="14" t="n">
        <v>42476.0</v>
      </c>
      <c r="G225" s="15" t="inlineStr">
        <is>
          <t>Angel (individual)</t>
        </is>
      </c>
      <c r="H225" s="16" t="inlineStr">
        <is>
          <t>Series A</t>
        </is>
      </c>
      <c r="I225" s="17" t="n">
        <v>4.0</v>
      </c>
      <c r="J225" s="18" t="inlineStr">
        <is>
          <t/>
        </is>
      </c>
      <c r="K225" s="19" t="inlineStr">
        <is>
          <t>Completed</t>
        </is>
      </c>
      <c r="L225" s="20" t="inlineStr">
        <is>
          <t>Privately Held (backing)</t>
        </is>
      </c>
      <c r="M225" s="21" t="inlineStr">
        <is>
          <t>Venture Capital-Backed</t>
        </is>
      </c>
      <c r="N225" s="22" t="inlineStr">
        <is>
          <t>The company raised $4 million of series A angel funding via crowdfunding platform Seed Equity Ventures on April 16, 2016. Other investors participating in the round include SEEK.</t>
        </is>
      </c>
      <c r="O225" s="23" t="inlineStr">
        <is>
          <t>Edna Swaniker, Gregory Ozimec, Kwamina Ewusie, Matt DeWaal, Seed Equity Ventures, SEEK</t>
        </is>
      </c>
      <c r="P225" s="24" t="inlineStr">
        <is>
          <t/>
        </is>
      </c>
      <c r="Q225" s="25" t="inlineStr">
        <is>
          <t>Automation/Workflow Software</t>
        </is>
      </c>
      <c r="R225" s="26" t="inlineStr">
        <is>
          <t>Developer of a workforce management software. The company provides a scheduling and time tracking software to small and medium sized businesses for workforce optimization.</t>
        </is>
      </c>
      <c r="S225" s="27" t="inlineStr">
        <is>
          <t>Carlsbad, CA</t>
        </is>
      </c>
      <c r="T225" s="28" t="inlineStr">
        <is>
          <t>www.ximble.com</t>
        </is>
      </c>
      <c r="U225" s="131">
        <f>HYPERLINK("https://my.pitchbook.com?c=91932-13", "View company online")</f>
      </c>
    </row>
    <row r="226">
      <c r="A226" s="30" t="inlineStr">
        <is>
          <t>52758-73</t>
        </is>
      </c>
      <c r="B226" s="31" t="inlineStr">
        <is>
          <t>Xignite</t>
        </is>
      </c>
      <c r="C226" s="32" t="inlineStr">
        <is>
          <t/>
        </is>
      </c>
      <c r="D226" s="33" t="n">
        <v>-0.4257188873954203</v>
      </c>
      <c r="E226" s="34" t="n">
        <v>28.350969613681478</v>
      </c>
      <c r="F226" s="35" t="n">
        <v>42408.0</v>
      </c>
      <c r="G226" s="36" t="inlineStr">
        <is>
          <t>Later Stage VC</t>
        </is>
      </c>
      <c r="H226" s="37" t="inlineStr">
        <is>
          <t>Series C</t>
        </is>
      </c>
      <c r="I226" s="38" t="n">
        <v>20.5</v>
      </c>
      <c r="J226" s="39" t="n">
        <v>75.5</v>
      </c>
      <c r="K226" s="40" t="inlineStr">
        <is>
          <t>Completed</t>
        </is>
      </c>
      <c r="L226" s="41" t="inlineStr">
        <is>
          <t>Privately Held (backing)</t>
        </is>
      </c>
      <c r="M226" s="42" t="inlineStr">
        <is>
          <t>Venture Capital-Backed</t>
        </is>
      </c>
      <c r="N226" s="43" t="inlineStr">
        <is>
          <t>The company raised $20.5 million of Series C venture funding in a deal led by QUICK Corp on February 8, 2016, putting the company's pre-money valuation at $55 million. StarVest Partners, Altos Ventures and Startup Capital Ventures also participated in this round. The company will use the funds to further scale its sales and marketing efforts and expand its product capabilities.</t>
        </is>
      </c>
      <c r="O226" s="44" t="inlineStr">
        <is>
          <t>Altos Ventures, Individual Investor, QUICK Corp, Spring Mountain Capital, Startup Capital Ventures, StarVest Partners</t>
        </is>
      </c>
      <c r="P226" s="45" t="inlineStr">
        <is>
          <t/>
        </is>
      </c>
      <c r="Q226" s="46" t="inlineStr">
        <is>
          <t>Media and Information Services (B2B)</t>
        </is>
      </c>
      <c r="R226" s="47" t="inlineStr">
        <is>
          <t>Provider of a cloud-based platform designed to offer financial market data APIs for banking. The company's cloud-based platform sources and integrates financial market data, focuses on growing and creating products that delight users, offers real-time and reference data on-demand as well as covers market quotes, news, corporate data, industry information, analytics and tools, providing financial services and fintech companies with real-time and reference market data for easy integration with websites, applications and software.</t>
        </is>
      </c>
      <c r="S226" s="48" t="inlineStr">
        <is>
          <t>San Mateo, CA</t>
        </is>
      </c>
      <c r="T226" s="49" t="inlineStr">
        <is>
          <t>www.xignite.com</t>
        </is>
      </c>
      <c r="U226" s="132">
        <f>HYPERLINK("https://my.pitchbook.com?c=52758-73", "View company online")</f>
      </c>
    </row>
    <row r="227">
      <c r="A227" s="9" t="inlineStr">
        <is>
          <t>52933-42</t>
        </is>
      </c>
      <c r="B227" s="10" t="inlineStr">
        <is>
          <t>Xicato</t>
        </is>
      </c>
      <c r="C227" s="11" t="inlineStr">
        <is>
          <t/>
        </is>
      </c>
      <c r="D227" s="12" t="n">
        <v>-0.19039938139946633</v>
      </c>
      <c r="E227" s="13" t="n">
        <v>7.695494333685196</v>
      </c>
      <c r="F227" s="14" t="n">
        <v>42471.0</v>
      </c>
      <c r="G227" s="15" t="inlineStr">
        <is>
          <t>Debt - General</t>
        </is>
      </c>
      <c r="H227" s="16" t="inlineStr">
        <is>
          <t>Loan</t>
        </is>
      </c>
      <c r="I227" s="17" t="n">
        <v>20.5</v>
      </c>
      <c r="J227" s="18" t="inlineStr">
        <is>
          <t/>
        </is>
      </c>
      <c r="K227" s="19" t="inlineStr">
        <is>
          <t>Completed</t>
        </is>
      </c>
      <c r="L227" s="20" t="inlineStr">
        <is>
          <t>Privately Held (backing)</t>
        </is>
      </c>
      <c r="M227" s="21" t="inlineStr">
        <is>
          <t>Venture Capital-Backed</t>
        </is>
      </c>
      <c r="N227" s="22" t="inlineStr">
        <is>
          <t>The company received $20.5 million of debt financing from White Oak Global Advisors on April 11, 2016.</t>
        </is>
      </c>
      <c r="O227" s="23" t="inlineStr">
        <is>
          <t>Angeleno Group, ATEL Ventures, Mohr Davidow Ventures, US Venture Partners</t>
        </is>
      </c>
      <c r="P227" s="24" t="inlineStr">
        <is>
          <t/>
        </is>
      </c>
      <c r="Q227" s="25" t="inlineStr">
        <is>
          <t>Electronics (B2C)</t>
        </is>
      </c>
      <c r="R227" s="26" t="inlineStr">
        <is>
          <t>Developer of LED modules with integrated electronics. The company develops and manufactures intelligent light sources with software, sensors and connectivity designed to create smart spaces and buildings which can be managed from anywhere, using any device.</t>
        </is>
      </c>
      <c r="S227" s="27" t="inlineStr">
        <is>
          <t>San Jose, CA</t>
        </is>
      </c>
      <c r="T227" s="28" t="inlineStr">
        <is>
          <t>www.xicato.com</t>
        </is>
      </c>
      <c r="U227" s="131">
        <f>HYPERLINK("https://my.pitchbook.com?c=52933-42", "View company online")</f>
      </c>
    </row>
    <row r="228">
      <c r="A228" s="30" t="inlineStr">
        <is>
          <t>97944-31</t>
        </is>
      </c>
      <c r="B228" s="31" t="inlineStr">
        <is>
          <t>Xhockware</t>
        </is>
      </c>
      <c r="C228" s="32" t="inlineStr">
        <is>
          <t/>
        </is>
      </c>
      <c r="D228" s="33" t="n">
        <v>0.0</v>
      </c>
      <c r="E228" s="34" t="n">
        <v>0.13926027301119415</v>
      </c>
      <c r="F228" s="35" t="n">
        <v>42036.0</v>
      </c>
      <c r="G228" s="36" t="inlineStr">
        <is>
          <t>Convertible Debt</t>
        </is>
      </c>
      <c r="H228" s="37" t="inlineStr">
        <is>
          <t/>
        </is>
      </c>
      <c r="I228" s="38" t="n">
        <v>0.91</v>
      </c>
      <c r="J228" s="39" t="inlineStr">
        <is>
          <t/>
        </is>
      </c>
      <c r="K228" s="40" t="inlineStr">
        <is>
          <t>Completed</t>
        </is>
      </c>
      <c r="L228" s="41" t="inlineStr">
        <is>
          <t>Privately Held (backing)</t>
        </is>
      </c>
      <c r="M228" s="42" t="inlineStr">
        <is>
          <t>Venture Capital-Backed</t>
        </is>
      </c>
      <c r="N228" s="43" t="inlineStr">
        <is>
          <t>The company raised EUR 800,000 of convertible debt financing from Portugal Capital Ventures on February 1, 2015. Previously the company joined Carnegie Mellon Portugal Program and received an undisclosed amount in funding on June 12, 2014.</t>
        </is>
      </c>
      <c r="O228" s="44" t="inlineStr">
        <is>
          <t>Busy Angels, Carnegie Mellon Portugal Program, PNV Capital, Portugal Capital Ventures, UPTEC</t>
        </is>
      </c>
      <c r="P228" s="45" t="inlineStr">
        <is>
          <t/>
        </is>
      </c>
      <c r="Q228" s="46" t="inlineStr">
        <is>
          <t>Application Software</t>
        </is>
      </c>
      <c r="R228" s="47" t="inlineStr">
        <is>
          <t>Developer of mobile applications for retail industry. The company's product is a shopping and checkout service delivers in-store POS-compatible and mobile retail systems based on customer's insights and requests for products to improve the in-store shopping experience.</t>
        </is>
      </c>
      <c r="S228" s="48" t="inlineStr">
        <is>
          <t>Porto, Portugal</t>
        </is>
      </c>
      <c r="T228" s="49" t="inlineStr">
        <is>
          <t>www.xhockware.com</t>
        </is>
      </c>
      <c r="U228" s="132">
        <f>HYPERLINK("https://my.pitchbook.com?c=97944-31", "View company online")</f>
      </c>
    </row>
    <row r="229">
      <c r="A229" s="9" t="inlineStr">
        <is>
          <t>53775-82</t>
        </is>
      </c>
      <c r="B229" s="10" t="inlineStr">
        <is>
          <t>Xfund</t>
        </is>
      </c>
      <c r="C229" s="11" t="inlineStr">
        <is>
          <t/>
        </is>
      </c>
      <c r="D229" s="12" t="n">
        <v>0.007746988059839122</v>
      </c>
      <c r="E229" s="13" t="n">
        <v>2.6154083549809415</v>
      </c>
      <c r="F229" s="14" t="n">
        <v>40935.0</v>
      </c>
      <c r="G229" s="15" t="inlineStr">
        <is>
          <t>Seed Round</t>
        </is>
      </c>
      <c r="H229" s="16" t="inlineStr">
        <is>
          <t>Seed</t>
        </is>
      </c>
      <c r="I229" s="17" t="inlineStr">
        <is>
          <t/>
        </is>
      </c>
      <c r="J229" s="18" t="inlineStr">
        <is>
          <t/>
        </is>
      </c>
      <c r="K229" s="19" t="inlineStr">
        <is>
          <t>Completed</t>
        </is>
      </c>
      <c r="L229" s="20" t="inlineStr">
        <is>
          <t>Privately Held (backing)</t>
        </is>
      </c>
      <c r="M229" s="21" t="inlineStr">
        <is>
          <t>Venture Capital-Backed</t>
        </is>
      </c>
      <c r="N229" s="22" t="inlineStr">
        <is>
          <t>The company raised an undisclosed amount of seed funding from New Enterprise Associates, Breyer Capital and Accel Partners on January 27, 2012. Other undisclosed investors also participated in the transaction.</t>
        </is>
      </c>
      <c r="O229" s="23" t="inlineStr">
        <is>
          <t>Accel, Breyer Capital, Individual Investor, New Enterprise Associates</t>
        </is>
      </c>
      <c r="P229" s="24" t="inlineStr">
        <is>
          <t/>
        </is>
      </c>
      <c r="Q229" s="25" t="inlineStr">
        <is>
          <t>Other Capital Markets/Institutions</t>
        </is>
      </c>
      <c r="R229" s="26" t="inlineStr">
        <is>
          <t>Provider of seed and early stage capital. The company offers experimenters seed capital, guidance and access to America's top-tier universities and venture capital firms and the company is focused on information, healthcare and energy technologies.</t>
        </is>
      </c>
      <c r="S229" s="27" t="inlineStr">
        <is>
          <t>Cambridge, MA</t>
        </is>
      </c>
      <c r="T229" s="28" t="inlineStr">
        <is>
          <t>www.xfund.com</t>
        </is>
      </c>
      <c r="U229" s="131">
        <f>HYPERLINK("https://my.pitchbook.com?c=53775-82", "View company online")</f>
      </c>
    </row>
    <row r="230">
      <c r="A230" s="30" t="inlineStr">
        <is>
          <t>56146-51</t>
        </is>
      </c>
      <c r="B230" s="31" t="inlineStr">
        <is>
          <t>Xform Computing</t>
        </is>
      </c>
      <c r="C230" s="32" t="inlineStr">
        <is>
          <t/>
        </is>
      </c>
      <c r="D230" s="33" t="n">
        <v>0.04755732573798924</v>
      </c>
      <c r="E230" s="34" t="n">
        <v>1.0409700546951837</v>
      </c>
      <c r="F230" s="35" t="n">
        <v>41753.0</v>
      </c>
      <c r="G230" s="36" t="inlineStr">
        <is>
          <t>Corporate</t>
        </is>
      </c>
      <c r="H230" s="37" t="inlineStr">
        <is>
          <t>Corporate</t>
        </is>
      </c>
      <c r="I230" s="38" t="inlineStr">
        <is>
          <t/>
        </is>
      </c>
      <c r="J230" s="39" t="inlineStr">
        <is>
          <t/>
        </is>
      </c>
      <c r="K230" s="40" t="inlineStr">
        <is>
          <t>Completed</t>
        </is>
      </c>
      <c r="L230" s="41" t="inlineStr">
        <is>
          <t>Privately Held (backing)</t>
        </is>
      </c>
      <c r="M230" s="42" t="inlineStr">
        <is>
          <t>Venture Capital-Backed</t>
        </is>
      </c>
      <c r="N230" s="43" t="inlineStr">
        <is>
          <t>The company received an undisclosed amount of financing from Parallels Holdings on April 24, 2014.</t>
        </is>
      </c>
      <c r="O230" s="44" t="inlineStr">
        <is>
          <t>Parallels, VoiVoda Ventures</t>
        </is>
      </c>
      <c r="P230" s="45" t="inlineStr">
        <is>
          <t/>
        </is>
      </c>
      <c r="Q230" s="46" t="inlineStr">
        <is>
          <t>Application Software</t>
        </is>
      </c>
      <c r="R230" s="47" t="inlineStr">
        <is>
          <t>Developer of cloud-powered applications for mobile devices. The company offers desktop-class technologies including HTML5, java, flash, silverlight and linux, on mobile devices for consumers and businesses.</t>
        </is>
      </c>
      <c r="S230" s="48" t="inlineStr">
        <is>
          <t>Santa Barbara, CA</t>
        </is>
      </c>
      <c r="T230" s="49" t="inlineStr">
        <is>
          <t>www.xformcomputing.com</t>
        </is>
      </c>
      <c r="U230" s="132">
        <f>HYPERLINK("https://my.pitchbook.com?c=56146-51", "View company online")</f>
      </c>
    </row>
    <row r="231">
      <c r="A231" s="9" t="inlineStr">
        <is>
          <t>166949-65</t>
        </is>
      </c>
      <c r="B231" s="10" t="inlineStr">
        <is>
          <t>Xenio</t>
        </is>
      </c>
      <c r="C231" s="11" t="inlineStr">
        <is>
          <t/>
        </is>
      </c>
      <c r="D231" s="12" t="inlineStr">
        <is>
          <t/>
        </is>
      </c>
      <c r="E231" s="13" t="inlineStr">
        <is>
          <t/>
        </is>
      </c>
      <c r="F231" s="14" t="n">
        <v>42649.0</v>
      </c>
      <c r="G231" s="15" t="inlineStr">
        <is>
          <t>Seed Round</t>
        </is>
      </c>
      <c r="H231" s="16" t="inlineStr">
        <is>
          <t>Seed</t>
        </is>
      </c>
      <c r="I231" s="17" t="inlineStr">
        <is>
          <t/>
        </is>
      </c>
      <c r="J231" s="18" t="inlineStr">
        <is>
          <t/>
        </is>
      </c>
      <c r="K231" s="19" t="inlineStr">
        <is>
          <t>Completed</t>
        </is>
      </c>
      <c r="L231" s="20" t="inlineStr">
        <is>
          <t>Privately Held (backing)</t>
        </is>
      </c>
      <c r="M231" s="21" t="inlineStr">
        <is>
          <t>Venture Capital-Backed</t>
        </is>
      </c>
      <c r="N231" s="22" t="inlineStr">
        <is>
          <t>The company raised an undisclosed amount of seed funding from DCM Ventures, El Dorado Ventures and VantagePoint Capital Partners on October 6, 2016.</t>
        </is>
      </c>
      <c r="O231" s="23" t="inlineStr">
        <is>
          <t>180 Degree Capital, DCM Ventures, El Dorado Ventures, VantagePoint Capital Partners</t>
        </is>
      </c>
      <c r="P231" s="24" t="inlineStr">
        <is>
          <t/>
        </is>
      </c>
      <c r="Q231" s="25" t="inlineStr">
        <is>
          <t>Electrical Equipment</t>
        </is>
      </c>
      <c r="R231" s="26" t="inlineStr">
        <is>
          <t>Provider of light emitting diode lighting services. The company offers light fixtures and electrical wiring for powering and retrieving data from devices by combining embedded intelligence, networking, sensors and cloud-based connections. The devices can be used for commercial public spaces like retail stores, hotels, entertainment venues, offices, health care facilities, and transportation hubs.</t>
        </is>
      </c>
      <c r="S231" s="27" t="inlineStr">
        <is>
          <t>San Francisco, CA</t>
        </is>
      </c>
      <c r="T231" s="28" t="inlineStr">
        <is>
          <t>www.xeniosystems.com</t>
        </is>
      </c>
      <c r="U231" s="131">
        <f>HYPERLINK("https://my.pitchbook.com?c=166949-65", "View company online")</f>
      </c>
    </row>
    <row r="232">
      <c r="A232" s="30" t="inlineStr">
        <is>
          <t>103397-77</t>
        </is>
      </c>
      <c r="B232" s="31" t="inlineStr">
        <is>
          <t>Xendit</t>
        </is>
      </c>
      <c r="C232" s="32" t="inlineStr">
        <is>
          <t/>
        </is>
      </c>
      <c r="D232" s="33" t="n">
        <v>0.2702642651642097</v>
      </c>
      <c r="E232" s="34" t="n">
        <v>2.3205964544394906</v>
      </c>
      <c r="F232" s="35" t="n">
        <v>42305.0</v>
      </c>
      <c r="G232" s="36" t="inlineStr">
        <is>
          <t>Early Stage VC</t>
        </is>
      </c>
      <c r="H232" s="37" t="inlineStr">
        <is>
          <t/>
        </is>
      </c>
      <c r="I232" s="38" t="n">
        <v>1.64</v>
      </c>
      <c r="J232" s="39" t="inlineStr">
        <is>
          <t/>
        </is>
      </c>
      <c r="K232" s="40" t="inlineStr">
        <is>
          <t>Completed</t>
        </is>
      </c>
      <c r="L232" s="41" t="inlineStr">
        <is>
          <t>Privately Held (backing)</t>
        </is>
      </c>
      <c r="M232" s="42" t="inlineStr">
        <is>
          <t>Venture Capital-Backed</t>
        </is>
      </c>
      <c r="N232" s="43" t="inlineStr">
        <is>
          <t>The company raised $1.635 million of venture funding Sovereign's Capital, Convergence Ventures and other undisclosed investors on October 28, 2015.</t>
        </is>
      </c>
      <c r="O232" s="44" t="inlineStr">
        <is>
          <t>Convergence Ventures, Goodwater Capital, LAUNCH (UC Berkeley), Skydeck | Berkeley, Sovereign's Capital, Y Combinator</t>
        </is>
      </c>
      <c r="P232" s="45" t="inlineStr">
        <is>
          <t/>
        </is>
      </c>
      <c r="Q232" s="46" t="inlineStr">
        <is>
          <t>Financial Software</t>
        </is>
      </c>
      <c r="R232" s="47" t="inlineStr">
        <is>
          <t>Provider of payment gateway for Southeast Asia created to make an impact on the world by making the process of sending money as simple and user-friendly as possible. The company's payment gateway offers money remittance application which allows users to send money to others through their mobiles from bank transfer, virtual account, and credit card, enabling businesses to scale without having to worry about how to get paid.</t>
        </is>
      </c>
      <c r="S232" s="48" t="inlineStr">
        <is>
          <t>Jakarta, Indonesia</t>
        </is>
      </c>
      <c r="T232" s="49" t="inlineStr">
        <is>
          <t>www.xendit.co</t>
        </is>
      </c>
      <c r="U232" s="132">
        <f>HYPERLINK("https://my.pitchbook.com?c=103397-77", "View company online")</f>
      </c>
    </row>
    <row r="233">
      <c r="A233" s="9" t="inlineStr">
        <is>
          <t>53888-95</t>
        </is>
      </c>
      <c r="B233" s="10" t="inlineStr">
        <is>
          <t>Xcor Aerospace</t>
        </is>
      </c>
      <c r="C233" s="11" t="n">
        <v>3.59</v>
      </c>
      <c r="D233" s="12" t="n">
        <v>0.04549510231421841</v>
      </c>
      <c r="E233" s="13" t="n">
        <v>37.162632315966874</v>
      </c>
      <c r="F233" s="14" t="n">
        <v>42005.0</v>
      </c>
      <c r="G233" s="15" t="inlineStr">
        <is>
          <t>Angel (individual)</t>
        </is>
      </c>
      <c r="H233" s="16" t="inlineStr">
        <is>
          <t>Series B</t>
        </is>
      </c>
      <c r="I233" s="17" t="inlineStr">
        <is>
          <t/>
        </is>
      </c>
      <c r="J233" s="18" t="inlineStr">
        <is>
          <t/>
        </is>
      </c>
      <c r="K233" s="19" t="inlineStr">
        <is>
          <t>Completed</t>
        </is>
      </c>
      <c r="L233" s="20" t="inlineStr">
        <is>
          <t>Privately Held (backing)</t>
        </is>
      </c>
      <c r="M233" s="21" t="inlineStr">
        <is>
          <t>Venture Capital-Backed</t>
        </is>
      </c>
      <c r="N233" s="22" t="inlineStr">
        <is>
          <t>The company raised an undisclosed amount of Series B funding from Space Angels Network in 2015.</t>
        </is>
      </c>
      <c r="O233" s="23" t="inlineStr">
        <is>
          <t>Boston Harbor Angels, Desert Sky Holdings, Esther Dyson, Individual Investor, Space Angels Network, Space Expedition, Stephen Fleming</t>
        </is>
      </c>
      <c r="P233" s="24" t="inlineStr">
        <is>
          <t/>
        </is>
      </c>
      <c r="Q233" s="25" t="inlineStr">
        <is>
          <t>Aerospace and Defense</t>
        </is>
      </c>
      <c r="R233" s="26" t="inlineStr">
        <is>
          <t>Developer and producer of reusable rocket-powered, horizontal launch vehicles. The company develops horizontal launch vehicles for suborbital and orbital travel. It provides platforms to increase the viability of space missions and opportunities across markets.</t>
        </is>
      </c>
      <c r="S233" s="27" t="inlineStr">
        <is>
          <t>Mojave, CA</t>
        </is>
      </c>
      <c r="T233" s="28" t="inlineStr">
        <is>
          <t>www.xcor.com</t>
        </is>
      </c>
      <c r="U233" s="131">
        <f>HYPERLINK("https://my.pitchbook.com?c=53888-95", "View company online")</f>
      </c>
    </row>
    <row r="234">
      <c r="A234" s="30" t="inlineStr">
        <is>
          <t>98409-70</t>
        </is>
      </c>
      <c r="B234" s="31" t="inlineStr">
        <is>
          <t>Xcell Biosciences</t>
        </is>
      </c>
      <c r="C234" s="32" t="inlineStr">
        <is>
          <t/>
        </is>
      </c>
      <c r="D234" s="33" t="n">
        <v>0.0</v>
      </c>
      <c r="E234" s="34" t="n">
        <v>2.135135135135135</v>
      </c>
      <c r="F234" s="35" t="n">
        <v>42782.0</v>
      </c>
      <c r="G234" s="36" t="inlineStr">
        <is>
          <t>Early Stage VC</t>
        </is>
      </c>
      <c r="H234" s="37" t="inlineStr">
        <is>
          <t>Series A</t>
        </is>
      </c>
      <c r="I234" s="38" t="n">
        <v>12.0</v>
      </c>
      <c r="J234" s="39" t="n">
        <v>24.0</v>
      </c>
      <c r="K234" s="40" t="inlineStr">
        <is>
          <t>Completed</t>
        </is>
      </c>
      <c r="L234" s="41" t="inlineStr">
        <is>
          <t>Privately Held (backing)</t>
        </is>
      </c>
      <c r="M234" s="42" t="inlineStr">
        <is>
          <t>Venture Capital-Backed</t>
        </is>
      </c>
      <c r="N234" s="43" t="inlineStr">
        <is>
          <t>The company raised $12 million of Series A venture funding in a deal led by HBM Healthcare Investments on February 16, 2017, putting the pre-money valuation at $12 million. Viking Global Investors and other undisclosed investors also participated in the round. The funding will be used to launch its commercial platform worldwide, including expanding its US sales force and commercial reach.</t>
        </is>
      </c>
      <c r="O234" s="44" t="inlineStr">
        <is>
          <t>BayBio FAST, Farzad Nazem, HBM Healthcare Investments, Illumina Accelerator, Skydeck | Berkeley, Viking Global Investors</t>
        </is>
      </c>
      <c r="P234" s="45" t="inlineStr">
        <is>
          <t/>
        </is>
      </c>
      <c r="Q234" s="46" t="inlineStr">
        <is>
          <t>Biotechnology</t>
        </is>
      </c>
      <c r="R234" s="47" t="inlineStr">
        <is>
          <t>Developer of research tools and diagnostics solutions intended to enhance scientific development in the fields of oncology, stem cell biology and immunology. The company's research tools and diagnostic solutions replicate physiologically relevant conditions, empowering researchers and drug developers in transfection and gene editing efficiencies in primary cell populations for regenerative medicine and cell-based therapy applications.</t>
        </is>
      </c>
      <c r="S234" s="48" t="inlineStr">
        <is>
          <t>San Francisco, CA</t>
        </is>
      </c>
      <c r="T234" s="49" t="inlineStr">
        <is>
          <t>www.xcellbio.com</t>
        </is>
      </c>
      <c r="U234" s="132">
        <f>HYPERLINK("https://my.pitchbook.com?c=98409-70", "View company online")</f>
      </c>
    </row>
    <row r="235">
      <c r="A235" s="9" t="inlineStr">
        <is>
          <t>103397-14</t>
        </is>
      </c>
      <c r="B235" s="10" t="inlineStr">
        <is>
          <t>Xcelaero</t>
        </is>
      </c>
      <c r="C235" s="11" t="inlineStr">
        <is>
          <t/>
        </is>
      </c>
      <c r="D235" s="12" t="n">
        <v>0.0</v>
      </c>
      <c r="E235" s="13" t="n">
        <v>0.2702702702702703</v>
      </c>
      <c r="F235" s="14" t="n">
        <v>41038.0</v>
      </c>
      <c r="G235" s="15" t="inlineStr">
        <is>
          <t>Early Stage VC</t>
        </is>
      </c>
      <c r="H235" s="16" t="inlineStr">
        <is>
          <t/>
        </is>
      </c>
      <c r="I235" s="17" t="n">
        <v>2.7</v>
      </c>
      <c r="J235" s="18" t="inlineStr">
        <is>
          <t/>
        </is>
      </c>
      <c r="K235" s="19" t="inlineStr">
        <is>
          <t>Completed</t>
        </is>
      </c>
      <c r="L235" s="20" t="inlineStr">
        <is>
          <t>Privately Held (backing)</t>
        </is>
      </c>
      <c r="M235" s="21" t="inlineStr">
        <is>
          <t>Venture Capital-Backed</t>
        </is>
      </c>
      <c r="N235" s="22" t="inlineStr">
        <is>
          <t>The company raised $11.1 million of Series B venture funding from Ritchie Capital Management on July 1, 2008, putting the pre-money valuation at $17.5 million.</t>
        </is>
      </c>
      <c r="O235" s="23" t="inlineStr">
        <is>
          <t>Ritchie Capital Management</t>
        </is>
      </c>
      <c r="P235" s="24" t="inlineStr">
        <is>
          <t/>
        </is>
      </c>
      <c r="Q235" s="25" t="inlineStr">
        <is>
          <t>Electrical Equipment</t>
        </is>
      </c>
      <c r="R235" s="26" t="inlineStr">
        <is>
          <t>Developer of air handling systems. The company develops and markets air handling systems designed to reduce the energy requirement for operating modern thermal management systems. It has a broad range of applications in electronics cooling, industrial and defense applications.</t>
        </is>
      </c>
      <c r="S235" s="27" t="inlineStr">
        <is>
          <t>San Luis Obispo, CA</t>
        </is>
      </c>
      <c r="T235" s="28" t="inlineStr">
        <is>
          <t>www.xcelaero.com</t>
        </is>
      </c>
      <c r="U235" s="131">
        <f>HYPERLINK("https://my.pitchbook.com?c=103397-14", "View company online")</f>
      </c>
    </row>
    <row r="236">
      <c r="A236" s="30" t="inlineStr">
        <is>
          <t>103396-96</t>
        </is>
      </c>
      <c r="B236" s="31" t="inlineStr">
        <is>
          <t>Xceed</t>
        </is>
      </c>
      <c r="C236" s="32" t="inlineStr">
        <is>
          <t/>
        </is>
      </c>
      <c r="D236" s="33" t="n">
        <v>0.04644791791320452</v>
      </c>
      <c r="E236" s="34" t="n">
        <v>8.40260115099835</v>
      </c>
      <c r="F236" s="35" t="n">
        <v>42309.0</v>
      </c>
      <c r="G236" s="36" t="inlineStr">
        <is>
          <t>Early Stage VC</t>
        </is>
      </c>
      <c r="H236" s="37" t="inlineStr">
        <is>
          <t>Series A</t>
        </is>
      </c>
      <c r="I236" s="38" t="n">
        <v>4.3</v>
      </c>
      <c r="J236" s="39" t="inlineStr">
        <is>
          <t/>
        </is>
      </c>
      <c r="K236" s="40" t="inlineStr">
        <is>
          <t>Failed/Cancelled</t>
        </is>
      </c>
      <c r="L236" s="41" t="inlineStr">
        <is>
          <t>Privately Held (backing)</t>
        </is>
      </c>
      <c r="M236" s="42" t="inlineStr">
        <is>
          <t>Venture Capital-Backed</t>
        </is>
      </c>
      <c r="N236" s="43" t="inlineStr">
        <is>
          <t>The company was planning to raise EUR 2 million of a planned EUR 6 million of Series A venture funding from undisclosed investors in February 2016. Subsequently, the deal was canceled. Previously, the company raised $625,000 of seed funding from 360° Capital Partners on July 1, 2015.</t>
        </is>
      </c>
      <c r="O236" s="44" t="inlineStr">
        <is>
          <t>360 Capital Partners</t>
        </is>
      </c>
      <c r="P236" s="45" t="inlineStr">
        <is>
          <t/>
        </is>
      </c>
      <c r="Q236" s="46" t="inlineStr">
        <is>
          <t>Application Software</t>
        </is>
      </c>
      <c r="R236" s="47" t="inlineStr">
        <is>
          <t>Provider of a night club search application designed to discover the events and parties at the top clubs from around the world. The company's night club search application helps to browse through the upcoming events, access guest list and make reservations, enabling consumers to improve their nightlife experience.</t>
        </is>
      </c>
      <c r="S236" s="48" t="inlineStr">
        <is>
          <t>Milan, Italy</t>
        </is>
      </c>
      <c r="T236" s="49" t="inlineStr">
        <is>
          <t>www.xceed.me</t>
        </is>
      </c>
      <c r="U236" s="132">
        <f>HYPERLINK("https://my.pitchbook.com?c=103396-96", "View company online")</f>
      </c>
    </row>
    <row r="237">
      <c r="A237" s="9" t="inlineStr">
        <is>
          <t>54648-91</t>
        </is>
      </c>
      <c r="B237" s="10" t="inlineStr">
        <is>
          <t>Xcast Labs</t>
        </is>
      </c>
      <c r="C237" s="11" t="inlineStr">
        <is>
          <t/>
        </is>
      </c>
      <c r="D237" s="12" t="n">
        <v>0.0</v>
      </c>
      <c r="E237" s="13" t="n">
        <v>0.49793105296052975</v>
      </c>
      <c r="F237" s="14" t="n">
        <v>41364.0</v>
      </c>
      <c r="G237" s="15" t="inlineStr">
        <is>
          <t>Angel (individual)</t>
        </is>
      </c>
      <c r="H237" s="16" t="inlineStr">
        <is>
          <t>Angel</t>
        </is>
      </c>
      <c r="I237" s="17" t="inlineStr">
        <is>
          <t/>
        </is>
      </c>
      <c r="J237" s="18" t="inlineStr">
        <is>
          <t/>
        </is>
      </c>
      <c r="K237" s="19" t="inlineStr">
        <is>
          <t>Completed</t>
        </is>
      </c>
      <c r="L237" s="20" t="inlineStr">
        <is>
          <t>Privately Held (backing)</t>
        </is>
      </c>
      <c r="M237" s="21" t="inlineStr">
        <is>
          <t>Venture Capital-Backed</t>
        </is>
      </c>
      <c r="N237" s="22" t="inlineStr">
        <is>
          <t>The company received an undisclosed amount of venture funding from Pasadena Angels and other investors on March 31, 2013.</t>
        </is>
      </c>
      <c r="O237" s="23" t="inlineStr">
        <is>
          <t>Frontera Group, Pasadena Angels, Wavemaker Partners</t>
        </is>
      </c>
      <c r="P237" s="24" t="inlineStr">
        <is>
          <t/>
        </is>
      </c>
      <c r="Q237" s="25" t="inlineStr">
        <is>
          <t>Other Software</t>
        </is>
      </c>
      <c r="R237" s="26" t="inlineStr">
        <is>
          <t>Developer of software and hardware technology. The company provides IP-based integrated technology.</t>
        </is>
      </c>
      <c r="S237" s="27" t="inlineStr">
        <is>
          <t>Los Angeles, CA</t>
        </is>
      </c>
      <c r="T237" s="28" t="inlineStr">
        <is>
          <t>www.xcastlabs.com</t>
        </is>
      </c>
      <c r="U237" s="131">
        <f>HYPERLINK("https://my.pitchbook.com?c=54648-91", "View company online")</f>
      </c>
    </row>
    <row r="238">
      <c r="A238" s="30" t="inlineStr">
        <is>
          <t>63984-79</t>
        </is>
      </c>
      <c r="B238" s="31" t="inlineStr">
        <is>
          <t>Xcalar</t>
        </is>
      </c>
      <c r="C238" s="32" t="inlineStr">
        <is>
          <t/>
        </is>
      </c>
      <c r="D238" s="33" t="n">
        <v>0.0</v>
      </c>
      <c r="E238" s="34" t="n">
        <v>0.12788211940754315</v>
      </c>
      <c r="F238" s="35" t="n">
        <v>42808.0</v>
      </c>
      <c r="G238" s="36" t="inlineStr">
        <is>
          <t>Accelerator/Incubator</t>
        </is>
      </c>
      <c r="H238" s="37" t="inlineStr">
        <is>
          <t/>
        </is>
      </c>
      <c r="I238" s="38" t="inlineStr">
        <is>
          <t/>
        </is>
      </c>
      <c r="J238" s="39" t="inlineStr">
        <is>
          <t/>
        </is>
      </c>
      <c r="K238" s="40" t="inlineStr">
        <is>
          <t>Completed</t>
        </is>
      </c>
      <c r="L238" s="41" t="inlineStr">
        <is>
          <t>Privately Held (backing)</t>
        </is>
      </c>
      <c r="M238" s="42" t="inlineStr">
        <is>
          <t>Venture Capital-Backed</t>
        </is>
      </c>
      <c r="N238" s="43" t="inlineStr">
        <is>
          <t>The company joined Microsoft Accelerator as a part of its Batch 5 on March 14, 2017. Previously, the company raised $16 million of Series A venture funding from undisclosed investors on March 9, 2016, putting the pre-money valuation at $66.1 million.</t>
        </is>
      </c>
      <c r="O238" s="44" t="inlineStr">
        <is>
          <t>Merus Capital, Microsoft Accelerator</t>
        </is>
      </c>
      <c r="P238" s="45" t="inlineStr">
        <is>
          <t/>
        </is>
      </c>
      <c r="Q238" s="46" t="inlineStr">
        <is>
          <t>Application Software</t>
        </is>
      </c>
      <c r="R238" s="47" t="inlineStr">
        <is>
          <t>Developer of a relational scale-out compute platform designed to offer data infrastructure services. The company's relational scale-out compute platform helps next generation of big data applications, BI and Reporting tools and simplifies the way big data is accessed, managed, modeled and analyzed, enabling users to extract information and deep meaningful insights from petabytes of raw data 100x faster and with 1/10 the compute footprint.</t>
        </is>
      </c>
      <c r="S238" s="48" t="inlineStr">
        <is>
          <t>San Jose, CA</t>
        </is>
      </c>
      <c r="T238" s="49" t="inlineStr">
        <is>
          <t>www.xcalar.com</t>
        </is>
      </c>
      <c r="U238" s="132">
        <f>HYPERLINK("https://my.pitchbook.com?c=63984-79", "View company online")</f>
      </c>
    </row>
    <row r="239">
      <c r="A239" s="9" t="inlineStr">
        <is>
          <t>54150-76</t>
        </is>
      </c>
      <c r="B239" s="10" t="inlineStr">
        <is>
          <t>Xbridge Systems</t>
        </is>
      </c>
      <c r="C239" s="11" t="inlineStr">
        <is>
          <t/>
        </is>
      </c>
      <c r="D239" s="12" t="n">
        <v>0.0</v>
      </c>
      <c r="E239" s="13" t="n">
        <v>0.7993205069476256</v>
      </c>
      <c r="F239" s="14" t="n">
        <v>39363.0</v>
      </c>
      <c r="G239" s="15" t="inlineStr">
        <is>
          <t>Later Stage VC</t>
        </is>
      </c>
      <c r="H239" s="16" t="inlineStr">
        <is>
          <t/>
        </is>
      </c>
      <c r="I239" s="17" t="n">
        <v>8.6</v>
      </c>
      <c r="J239" s="18" t="inlineStr">
        <is>
          <t/>
        </is>
      </c>
      <c r="K239" s="19" t="inlineStr">
        <is>
          <t>Completed</t>
        </is>
      </c>
      <c r="L239" s="20" t="inlineStr">
        <is>
          <t>Privately Held (backing)</t>
        </is>
      </c>
      <c r="M239" s="21" t="inlineStr">
        <is>
          <t>Venture Capital-Backed</t>
        </is>
      </c>
      <c r="N239" s="22" t="inlineStr">
        <is>
          <t>The company raised $8.6 million of venture funding from undisclosed investors on October 8, 2007.</t>
        </is>
      </c>
      <c r="O239" s="23" t="inlineStr">
        <is>
          <t>Band of Angels, Individual Investor, Technology Partners</t>
        </is>
      </c>
      <c r="P239" s="24" t="inlineStr">
        <is>
          <t/>
        </is>
      </c>
      <c r="Q239" s="25" t="inlineStr">
        <is>
          <t>Network Management Software</t>
        </is>
      </c>
      <c r="R239" s="26" t="inlineStr">
        <is>
          <t>Provider of data loss prevention software and services. The company offers a three-tier service that provides access to VSAM, IMS DB, Oracle and MS SQL data, to enable the system to expand inter-networked clients, servers and browsers that access data from multiple mainframes, databases, partitions and data managers along with a data discovery tool for mainframe security compliance.</t>
        </is>
      </c>
      <c r="S239" s="27" t="inlineStr">
        <is>
          <t>San Jose, CA</t>
        </is>
      </c>
      <c r="T239" s="28" t="inlineStr">
        <is>
          <t>www.xbridgesystems.com</t>
        </is>
      </c>
      <c r="U239" s="131">
        <f>HYPERLINK("https://my.pitchbook.com?c=54150-76", "View company online")</f>
      </c>
    </row>
    <row r="240">
      <c r="A240" s="30" t="inlineStr">
        <is>
          <t>164310-94</t>
        </is>
      </c>
      <c r="B240" s="31" t="inlineStr">
        <is>
          <t>Xberts</t>
        </is>
      </c>
      <c r="C240" s="32" t="inlineStr">
        <is>
          <t/>
        </is>
      </c>
      <c r="D240" s="33" t="n">
        <v>5.20997979501435</v>
      </c>
      <c r="E240" s="34" t="n">
        <v>8.720589910365149</v>
      </c>
      <c r="F240" s="35" t="n">
        <v>42604.0</v>
      </c>
      <c r="G240" s="36" t="inlineStr">
        <is>
          <t>Accelerator/Incubator</t>
        </is>
      </c>
      <c r="H240" s="37" t="inlineStr">
        <is>
          <t/>
        </is>
      </c>
      <c r="I240" s="38" t="n">
        <v>0.12</v>
      </c>
      <c r="J240" s="39" t="n">
        <v>1.71</v>
      </c>
      <c r="K240" s="40" t="inlineStr">
        <is>
          <t>Completed</t>
        </is>
      </c>
      <c r="L240" s="41" t="inlineStr">
        <is>
          <t>Privately Held (backing)</t>
        </is>
      </c>
      <c r="M240" s="42" t="inlineStr">
        <is>
          <t>Venture Capital-Backed</t>
        </is>
      </c>
      <c r="N240" s="43" t="inlineStr">
        <is>
          <t>The company graduated from Y Combinator and received $120,000 in funding on August 22, 2016. Previously the company raised an undisclosed amount of venture funding in a deal led by SST in August 2015. Plug and Play and other undisclosed investors also participated in the round.</t>
        </is>
      </c>
      <c r="O240" s="44" t="inlineStr">
        <is>
          <t>Plug and Play Tech Center, SST, Y Combinator</t>
        </is>
      </c>
      <c r="P240" s="45" t="inlineStr">
        <is>
          <t/>
        </is>
      </c>
      <c r="Q240" s="46" t="inlineStr">
        <is>
          <t>Social/Platform Software</t>
        </is>
      </c>
      <c r="R240" s="47" t="inlineStr">
        <is>
          <t>Provider of a platform for feedback and reviews. The company's platform consist of crowdtesting community where hardware innovators release their new products to collect reviews and feedback.</t>
        </is>
      </c>
      <c r="S240" s="48" t="inlineStr">
        <is>
          <t>San Francisco, CA</t>
        </is>
      </c>
      <c r="T240" s="49" t="inlineStr">
        <is>
          <t>www.xberts.com</t>
        </is>
      </c>
      <c r="U240" s="132">
        <f>HYPERLINK("https://my.pitchbook.com?c=164310-94", "View company online")</f>
      </c>
    </row>
    <row r="241">
      <c r="A241" s="9" t="inlineStr">
        <is>
          <t>54968-86</t>
        </is>
      </c>
      <c r="B241" s="10" t="inlineStr">
        <is>
          <t>Xavient Information Systems</t>
        </is>
      </c>
      <c r="C241" s="11" t="inlineStr">
        <is>
          <t/>
        </is>
      </c>
      <c r="D241" s="12" t="n">
        <v>0.639996572063256</v>
      </c>
      <c r="E241" s="13" t="n">
        <v>6.697347776769295</v>
      </c>
      <c r="F241" s="14" t="inlineStr">
        <is>
          <t/>
        </is>
      </c>
      <c r="G241" s="15" t="inlineStr">
        <is>
          <t>Early Stage VC</t>
        </is>
      </c>
      <c r="H241" s="16" t="inlineStr">
        <is>
          <t/>
        </is>
      </c>
      <c r="I241" s="17" t="inlineStr">
        <is>
          <t/>
        </is>
      </c>
      <c r="J241" s="18" t="inlineStr">
        <is>
          <t/>
        </is>
      </c>
      <c r="K241" s="19" t="inlineStr">
        <is>
          <t>Completed</t>
        </is>
      </c>
      <c r="L241" s="20" t="inlineStr">
        <is>
          <t>Privately Held (backing)</t>
        </is>
      </c>
      <c r="M241" s="21" t="inlineStr">
        <is>
          <t>Venture Capital-Backed</t>
        </is>
      </c>
      <c r="N241" s="22" t="inlineStr">
        <is>
          <t>The company raised venture funding from Alta Partners on an undisclosed date.</t>
        </is>
      </c>
      <c r="O241" s="23" t="inlineStr">
        <is>
          <t>Alta Partners</t>
        </is>
      </c>
      <c r="P241" s="24" t="inlineStr">
        <is>
          <t/>
        </is>
      </c>
      <c r="Q241" s="25" t="inlineStr">
        <is>
          <t>IT Consulting and Outsourcing</t>
        </is>
      </c>
      <c r="R241" s="26" t="inlineStr">
        <is>
          <t>Provider of information technology consulting and software services. The company offers enterprise services and also provides quality assurance and testing operations support services.</t>
        </is>
      </c>
      <c r="S241" s="27" t="inlineStr">
        <is>
          <t>Simi Valley, CA</t>
        </is>
      </c>
      <c r="T241" s="28" t="inlineStr">
        <is>
          <t>www.xavient.com</t>
        </is>
      </c>
      <c r="U241" s="131">
        <f>HYPERLINK("https://my.pitchbook.com?c=54968-86", "View company online")</f>
      </c>
    </row>
    <row r="242">
      <c r="A242" s="30" t="inlineStr">
        <is>
          <t>61963-48</t>
        </is>
      </c>
      <c r="B242" s="31" t="inlineStr">
        <is>
          <t>Xapo</t>
        </is>
      </c>
      <c r="C242" s="32" t="inlineStr">
        <is>
          <t/>
        </is>
      </c>
      <c r="D242" s="33" t="n">
        <v>0.04156385495045645</v>
      </c>
      <c r="E242" s="34" t="n">
        <v>34.6179188373551</v>
      </c>
      <c r="F242" s="35" t="n">
        <v>41791.0</v>
      </c>
      <c r="G242" s="36" t="inlineStr">
        <is>
          <t>Early Stage VC</t>
        </is>
      </c>
      <c r="H242" s="37" t="inlineStr">
        <is>
          <t>Series A1</t>
        </is>
      </c>
      <c r="I242" s="38" t="n">
        <v>20.03</v>
      </c>
      <c r="J242" s="39" t="inlineStr">
        <is>
          <t/>
        </is>
      </c>
      <c r="K242" s="40" t="inlineStr">
        <is>
          <t>Completed</t>
        </is>
      </c>
      <c r="L242" s="41" t="inlineStr">
        <is>
          <t>Privately Held (backing)</t>
        </is>
      </c>
      <c r="M242" s="42" t="inlineStr">
        <is>
          <t>Venture Capital-Backed</t>
        </is>
      </c>
      <c r="N242" s="43" t="inlineStr">
        <is>
          <t>The company raised $20 million of Series A1 venture funding in a deal led by Greylock Partners and Index Ventures on June 1, 2014. Santi Subotovsky, Slow Ventures, Crypto Currency Partners, AME Cloud Ventures, Emergence Capital Partners, Dave Morin, Jerry Yang, Digital Sky Technologies, Max Levchin, Joe Greenstein, Kevin Colleran, Yuri Milner, BitFury Capital and Digital Currency Group also participated in the round. The company will use the funds to make bitcoin more accessible to the general user and to further protect BTC in "cold storage" on its servers. Previously the company raised $20 million of Series A venture funding in a deal led by Benchmark Capital on March 14, 2014. Ribbit Capital, Winklevoss Capital Management, Pantera Capital and Fortress Investment Group also participated in the round.</t>
        </is>
      </c>
      <c r="O242" s="44" t="inlineStr">
        <is>
          <t>AME Cloud Ventures, Benchmark Capital, BitFury Capital, Blockchain Capital, Dave Morin, David Marcus, Digital Currency Group, DST Global, Emergence Capital Partners, Fortress Investment Group, Greylock Partners, Index Ventures (UK), Jerry Yang, Joe Greenstein, Kevin Colleran, Max Levchin, Pantera Capital, Ribbit Capital, Slow Ventures, Swiss Finance Startups, Winklevoss Capital Management, Yuri Milner</t>
        </is>
      </c>
      <c r="P242" s="45" t="inlineStr">
        <is>
          <t/>
        </is>
      </c>
      <c r="Q242" s="46" t="inlineStr">
        <is>
          <t>Financial Software</t>
        </is>
      </c>
      <c r="R242" s="47" t="inlineStr">
        <is>
          <t>Provider of bitcoin security services. The company provides a peer to peer payment system and digital currency to its clients. It also provides customers with access to a digital wallet and digital vault for their bitcoin accounts.</t>
        </is>
      </c>
      <c r="S242" s="48" t="inlineStr">
        <is>
          <t>Zurich, Switzerland</t>
        </is>
      </c>
      <c r="T242" s="49" t="inlineStr">
        <is>
          <t>www.xapo.com</t>
        </is>
      </c>
      <c r="U242" s="132">
        <f>HYPERLINK("https://my.pitchbook.com?c=61963-48", "View company online")</f>
      </c>
    </row>
    <row r="243">
      <c r="A243" s="9" t="inlineStr">
        <is>
          <t>167950-63</t>
        </is>
      </c>
      <c r="B243" s="10" t="inlineStr">
        <is>
          <t>Xanadu Heights</t>
        </is>
      </c>
      <c r="C243" s="11" t="inlineStr">
        <is>
          <t/>
        </is>
      </c>
      <c r="D243" s="12" t="n">
        <v>0.0</v>
      </c>
      <c r="E243" s="13" t="n">
        <v>0.09053741076585586</v>
      </c>
      <c r="F243" s="14" t="n">
        <v>42677.0</v>
      </c>
      <c r="G243" s="15" t="inlineStr">
        <is>
          <t>Seed Round</t>
        </is>
      </c>
      <c r="H243" s="16" t="inlineStr">
        <is>
          <t>Seed</t>
        </is>
      </c>
      <c r="I243" s="17" t="n">
        <v>2.45</v>
      </c>
      <c r="J243" s="18" t="inlineStr">
        <is>
          <t/>
        </is>
      </c>
      <c r="K243" s="19" t="inlineStr">
        <is>
          <t>Completed</t>
        </is>
      </c>
      <c r="L243" s="20" t="inlineStr">
        <is>
          <t>Privately Held (backing)</t>
        </is>
      </c>
      <c r="M243" s="21" t="inlineStr">
        <is>
          <t>Venture Capital-Backed</t>
        </is>
      </c>
      <c r="N243" s="22" t="inlineStr">
        <is>
          <t>The company raised $2.45 million of seed funding led by Redcliffe Capital on November 3, 2016. Other undisclosed family fund also participated. The funds will be used for building and launching the game's first chapter.</t>
        </is>
      </c>
      <c r="O243" s="23" t="inlineStr">
        <is>
          <t>Redcliffe Capital</t>
        </is>
      </c>
      <c r="P243" s="24" t="inlineStr">
        <is>
          <t/>
        </is>
      </c>
      <c r="Q243" s="25" t="inlineStr">
        <is>
          <t>Entertainment Software</t>
        </is>
      </c>
      <c r="R243" s="26" t="inlineStr">
        <is>
          <t>Developer of virtual reality games. The company is a gaming studio which develops high-speed motion games in virtual reality. It s building a VR-focused game franchise.</t>
        </is>
      </c>
      <c r="S243" s="27" t="inlineStr">
        <is>
          <t>San Francisco, CA</t>
        </is>
      </c>
      <c r="T243" s="28" t="inlineStr">
        <is>
          <t>xanaduheights.com</t>
        </is>
      </c>
      <c r="U243" s="131">
        <f>HYPERLINK("https://my.pitchbook.com?c=167950-63", "View company online")</f>
      </c>
    </row>
    <row r="244">
      <c r="A244" s="30" t="inlineStr">
        <is>
          <t>52933-24</t>
        </is>
      </c>
      <c r="B244" s="31" t="inlineStr">
        <is>
          <t>Xambala</t>
        </is>
      </c>
      <c r="C244" s="32" t="inlineStr">
        <is>
          <t/>
        </is>
      </c>
      <c r="D244" s="33" t="n">
        <v>0.0</v>
      </c>
      <c r="E244" s="34" t="n">
        <v>1.2162162162162162</v>
      </c>
      <c r="F244" s="35" t="n">
        <v>41933.0</v>
      </c>
      <c r="G244" s="36" t="inlineStr">
        <is>
          <t>Later Stage VC</t>
        </is>
      </c>
      <c r="H244" s="37" t="inlineStr">
        <is>
          <t>Series CC</t>
        </is>
      </c>
      <c r="I244" s="38" t="n">
        <v>24.6</v>
      </c>
      <c r="J244" s="39" t="n">
        <v>25.6</v>
      </c>
      <c r="K244" s="40" t="inlineStr">
        <is>
          <t>Completed</t>
        </is>
      </c>
      <c r="L244" s="41" t="inlineStr">
        <is>
          <t>Privately Held (backing)</t>
        </is>
      </c>
      <c r="M244" s="42" t="inlineStr">
        <is>
          <t>Venture Capital-Backed</t>
        </is>
      </c>
      <c r="N244" s="43" t="inlineStr">
        <is>
          <t>The company raised $24.59 million of Series CC venture funding from undisclosed investors on October 21, 2014, putting the pre-money valuation at $6 million. Of the total amount, $5 million was raised via convertible debt.</t>
        </is>
      </c>
      <c r="O244" s="44" t="inlineStr">
        <is>
          <t>Artiman Ventures, EGORA Holding, Icon Ventures, Mohr Davidow Ventures, TeleSoft Partners</t>
        </is>
      </c>
      <c r="P244" s="45" t="inlineStr">
        <is>
          <t/>
        </is>
      </c>
      <c r="Q244" s="46" t="inlineStr">
        <is>
          <t>Other Financial Services</t>
        </is>
      </c>
      <c r="R244" s="47" t="inlineStr">
        <is>
          <t>Provider of processing subsystem for the financial marketplace. The company offers networking and computing technologies that respond as markets change and provide quotes.</t>
        </is>
      </c>
      <c r="S244" s="48" t="inlineStr">
        <is>
          <t>Sunnyvale, CA</t>
        </is>
      </c>
      <c r="T244" s="49" t="inlineStr">
        <is>
          <t>www.xambala.com</t>
        </is>
      </c>
      <c r="U244" s="132">
        <f>HYPERLINK("https://my.pitchbook.com?c=52933-24", "View company online")</f>
      </c>
    </row>
    <row r="245">
      <c r="A245" s="9" t="inlineStr">
        <is>
          <t>51119-56</t>
        </is>
      </c>
      <c r="B245" s="10" t="inlineStr">
        <is>
          <t>xAd</t>
        </is>
      </c>
      <c r="C245" s="11" t="n">
        <v>250.0</v>
      </c>
      <c r="D245" s="12" t="n">
        <v>0.12214617478768643</v>
      </c>
      <c r="E245" s="13" t="n">
        <v>14.710723746169583</v>
      </c>
      <c r="F245" s="14" t="n">
        <v>42714.0</v>
      </c>
      <c r="G245" s="15" t="inlineStr">
        <is>
          <t>Later Stage VC</t>
        </is>
      </c>
      <c r="H245" s="16" t="inlineStr">
        <is>
          <t/>
        </is>
      </c>
      <c r="I245" s="17" t="inlineStr">
        <is>
          <t/>
        </is>
      </c>
      <c r="J245" s="18" t="inlineStr">
        <is>
          <t/>
        </is>
      </c>
      <c r="K245" s="19" t="inlineStr">
        <is>
          <t>Completed</t>
        </is>
      </c>
      <c r="L245" s="20" t="inlineStr">
        <is>
          <t>Privately Held (backing)</t>
        </is>
      </c>
      <c r="M245" s="21" t="inlineStr">
        <is>
          <t>Venture Capital-Backed</t>
        </is>
      </c>
      <c r="N245" s="22" t="inlineStr">
        <is>
          <t>The company raised an undisclosed amount of venture funding from Microsoft Ventures on December 10, 2016. Previously, the company raised $42.5 million of Series E venture funding in a deal led by Eminence Capital on October 31, 2016, putting the pre-money valuation at $345 million. W Capital Partners, IVP, SharePost and Emergence Capital Partners also participated in the round.</t>
        </is>
      </c>
      <c r="O245" s="23" t="inlineStr">
        <is>
          <t>Acumen Venture Partners, Arcturus Capital, Emergence Capital Partners, Eminence Capital, IVP, Microsoft Ventures, Palisades Growth Capital, Plug and Play Tech Center, Poole Investment Ventures, SharesPost, Silicon Valley Bank, Smac Partners, SoftBank Capital, Sorrento Associates, Tech Coast Angels, W Capital Partners</t>
        </is>
      </c>
      <c r="P245" s="24" t="inlineStr">
        <is>
          <t/>
        </is>
      </c>
      <c r="Q245" s="25" t="inlineStr">
        <is>
          <t>Business/Productivity Software</t>
        </is>
      </c>
      <c r="R245" s="26" t="inlineStr">
        <is>
          <t>Provider of a location-based marketing platform designed to drive sales. The company's location-based marketing platform offers in-store visitation insights by market, brand and specific competitors, enabling marketers to close the gap between online activities and offline sales.</t>
        </is>
      </c>
      <c r="S245" s="27" t="inlineStr">
        <is>
          <t>New York, NY</t>
        </is>
      </c>
      <c r="T245" s="28" t="inlineStr">
        <is>
          <t>www.xad.com</t>
        </is>
      </c>
      <c r="U245" s="131">
        <f>HYPERLINK("https://my.pitchbook.com?c=51119-56", "View company online")</f>
      </c>
    </row>
    <row r="246">
      <c r="A246" s="30" t="inlineStr">
        <is>
          <t>155540-62</t>
        </is>
      </c>
      <c r="B246" s="31" t="inlineStr">
        <is>
          <t>X2AI</t>
        </is>
      </c>
      <c r="C246" s="32" t="inlineStr">
        <is>
          <t/>
        </is>
      </c>
      <c r="D246" s="33" t="n">
        <v>0.34808176231170335</v>
      </c>
      <c r="E246" s="34" t="n">
        <v>1.8402709057093725</v>
      </c>
      <c r="F246" s="35" t="inlineStr">
        <is>
          <t/>
        </is>
      </c>
      <c r="G246" s="36" t="inlineStr">
        <is>
          <t>Early Stage VC</t>
        </is>
      </c>
      <c r="H246" s="37" t="inlineStr">
        <is>
          <t/>
        </is>
      </c>
      <c r="I246" s="38" t="n">
        <v>0.1</v>
      </c>
      <c r="J246" s="39" t="inlineStr">
        <is>
          <t/>
        </is>
      </c>
      <c r="K246" s="40" t="inlineStr">
        <is>
          <t>Completed</t>
        </is>
      </c>
      <c r="L246" s="41" t="inlineStr">
        <is>
          <t>Privately Held (backing)</t>
        </is>
      </c>
      <c r="M246" s="42" t="inlineStr">
        <is>
          <t>Venture Capital-Backed</t>
        </is>
      </c>
      <c r="N246" s="43" t="inlineStr">
        <is>
          <t>The company raised B37 Ventures on an undisclosed date.</t>
        </is>
      </c>
      <c r="O246" s="44" t="inlineStr">
        <is>
          <t>B37 Ventures, Singularity University</t>
        </is>
      </c>
      <c r="P246" s="45" t="inlineStr">
        <is>
          <t/>
        </is>
      </c>
      <c r="Q246" s="46" t="inlineStr">
        <is>
          <t>Other Healthcare Technology Systems</t>
        </is>
      </c>
      <c r="R246" s="47" t="inlineStr">
        <is>
          <t>Provider of psychological artificial intelligence tools intended to administer personalized psychotherapy, psycho-education and health-related reminders as per demand. The company's psychological artificial intelligence tools works through conversation, exclusively via existing communication channels, such as messaging services and Web browsing, enabling the patients to improve therapy adherence and receive psychological coaching.</t>
        </is>
      </c>
      <c r="S246" s="48" t="inlineStr">
        <is>
          <t>San Francisco, CA</t>
        </is>
      </c>
      <c r="T246" s="49" t="inlineStr">
        <is>
          <t>x2.ai</t>
        </is>
      </c>
      <c r="U246" s="132">
        <f>HYPERLINK("https://my.pitchbook.com?c=155540-62", "View company online")</f>
      </c>
    </row>
    <row r="247">
      <c r="A247" s="9" t="inlineStr">
        <is>
          <t>53946-10</t>
        </is>
      </c>
      <c r="B247" s="10" t="inlineStr">
        <is>
          <t>X2 Biosystems</t>
        </is>
      </c>
      <c r="C247" s="11" t="inlineStr">
        <is>
          <t/>
        </is>
      </c>
      <c r="D247" s="12" t="n">
        <v>0.015548375998919593</v>
      </c>
      <c r="E247" s="13" t="n">
        <v>2.1875268046233414</v>
      </c>
      <c r="F247" s="14" t="n">
        <v>42552.0</v>
      </c>
      <c r="G247" s="15" t="inlineStr">
        <is>
          <t>Later Stage VC</t>
        </is>
      </c>
      <c r="H247" s="16" t="inlineStr">
        <is>
          <t/>
        </is>
      </c>
      <c r="I247" s="17" t="n">
        <v>2.0</v>
      </c>
      <c r="J247" s="18" t="inlineStr">
        <is>
          <t/>
        </is>
      </c>
      <c r="K247" s="19" t="inlineStr">
        <is>
          <t>Completed</t>
        </is>
      </c>
      <c r="L247" s="20" t="inlineStr">
        <is>
          <t>Privately Held (backing)</t>
        </is>
      </c>
      <c r="M247" s="21" t="inlineStr">
        <is>
          <t>Venture Capital-Backed</t>
        </is>
      </c>
      <c r="N247" s="22" t="inlineStr">
        <is>
          <t>The company raised $2 million of venture funding from Maxim Ventures in July 2016.</t>
        </is>
      </c>
      <c r="O247" s="23" t="inlineStr">
        <is>
          <t>Kodiak Financial Group, Maxim Ventures, New Ground Ventures, Tom Arrix</t>
        </is>
      </c>
      <c r="P247" s="24" t="inlineStr">
        <is>
          <t/>
        </is>
      </c>
      <c r="Q247" s="25" t="inlineStr">
        <is>
          <t>Electronic Equipment and Instruments</t>
        </is>
      </c>
      <c r="R247" s="26" t="inlineStr">
        <is>
          <t>Provider of impact-monitoring systems designed to assess for sports brain injury (SBI). The company provides a sensor system that generates real-time data related to head impacts. The system entails sensor modules attached to the head or in mouth guards, that transit impact data that is transmitted and recorded onto a cloud database, which can then be accessed by coaches, trainers and doctors to assess the impact event, as well as a player's history of impacts.</t>
        </is>
      </c>
      <c r="S247" s="27" t="inlineStr">
        <is>
          <t>Seattle, WA</t>
        </is>
      </c>
      <c r="T247" s="28" t="inlineStr">
        <is>
          <t>www.x2biosystems.com</t>
        </is>
      </c>
      <c r="U247" s="131">
        <f>HYPERLINK("https://my.pitchbook.com?c=53946-10", "View company online")</f>
      </c>
    </row>
    <row r="248">
      <c r="A248" s="30" t="inlineStr">
        <is>
          <t>144284-95</t>
        </is>
      </c>
      <c r="B248" s="31" t="inlineStr">
        <is>
          <t>X15 Software</t>
        </is>
      </c>
      <c r="C248" s="32" t="inlineStr">
        <is>
          <t/>
        </is>
      </c>
      <c r="D248" s="33" t="n">
        <v>0.0</v>
      </c>
      <c r="E248" s="34" t="n">
        <v>0.1891891891891892</v>
      </c>
      <c r="F248" s="35" t="n">
        <v>41642.0</v>
      </c>
      <c r="G248" s="36" t="inlineStr">
        <is>
          <t>Seed Round</t>
        </is>
      </c>
      <c r="H248" s="37" t="inlineStr">
        <is>
          <t>Seed</t>
        </is>
      </c>
      <c r="I248" s="38" t="n">
        <v>1.7</v>
      </c>
      <c r="J248" s="39" t="n">
        <v>10.0</v>
      </c>
      <c r="K248" s="40" t="inlineStr">
        <is>
          <t>Completed</t>
        </is>
      </c>
      <c r="L248" s="41" t="inlineStr">
        <is>
          <t>Privately Held (backing)</t>
        </is>
      </c>
      <c r="M248" s="42" t="inlineStr">
        <is>
          <t>Venture Capital-Backed</t>
        </is>
      </c>
      <c r="N248" s="43" t="inlineStr">
        <is>
          <t>The company raised $1.7 million of seed venture funding from undisclosed investors on January 3, 2014, putting the pre-money valuation at $8.29 million.</t>
        </is>
      </c>
      <c r="O248" s="44" t="inlineStr">
        <is>
          <t>Synapse Partners</t>
        </is>
      </c>
      <c r="P248" s="45" t="inlineStr">
        <is>
          <t/>
        </is>
      </c>
      <c r="Q248" s="46" t="inlineStr">
        <is>
          <t>Business/Productivity Software</t>
        </is>
      </c>
      <c r="R248" s="47" t="inlineStr">
        <is>
          <t>Provider of a machine and log data management and analytics solutions. The company offers X15 Enterprise, a modern operational intelligence platform that helps in collecting, indexing, querying and visualizing very large volumes of machine-generated data in real-time. The company's technology enables continuous monitoring and deep analytics for security, IT and business operations.</t>
        </is>
      </c>
      <c r="S248" s="48" t="inlineStr">
        <is>
          <t>Sunnyvale, CA</t>
        </is>
      </c>
      <c r="T248" s="49" t="inlineStr">
        <is>
          <t>www.x15soft.com</t>
        </is>
      </c>
      <c r="U248" s="132">
        <f>HYPERLINK("https://my.pitchbook.com?c=144284-95", "View company online")</f>
      </c>
    </row>
    <row r="249">
      <c r="A249" s="9" t="inlineStr">
        <is>
          <t>55880-83</t>
        </is>
      </c>
      <c r="B249" s="10" t="inlineStr">
        <is>
          <t>X1 Discovery</t>
        </is>
      </c>
      <c r="C249" s="11" t="inlineStr">
        <is>
          <t/>
        </is>
      </c>
      <c r="D249" s="12" t="n">
        <v>2.1583184159377997</v>
      </c>
      <c r="E249" s="13" t="n">
        <v>24.703186869362256</v>
      </c>
      <c r="F249" s="14" t="n">
        <v>41695.0</v>
      </c>
      <c r="G249" s="15" t="inlineStr">
        <is>
          <t>Later Stage VC</t>
        </is>
      </c>
      <c r="H249" s="16" t="inlineStr">
        <is>
          <t>Series C</t>
        </is>
      </c>
      <c r="I249" s="17" t="n">
        <v>2.2</v>
      </c>
      <c r="J249" s="18" t="n">
        <v>14.17</v>
      </c>
      <c r="K249" s="19" t="inlineStr">
        <is>
          <t>Completed</t>
        </is>
      </c>
      <c r="L249" s="20" t="inlineStr">
        <is>
          <t>Privately Held (backing)</t>
        </is>
      </c>
      <c r="M249" s="21" t="inlineStr">
        <is>
          <t>Venture Capital-Backed</t>
        </is>
      </c>
      <c r="N249" s="22" t="inlineStr">
        <is>
          <t>The company raised $2.2 million of Series C venture funding from undisclosed investors on February 25, 2014, putting the pre-money valuation at $12 million.</t>
        </is>
      </c>
      <c r="O249" s="23" t="inlineStr">
        <is>
          <t>Idealab, US Venture Partners</t>
        </is>
      </c>
      <c r="P249" s="24" t="inlineStr">
        <is>
          <t/>
        </is>
      </c>
      <c r="Q249" s="25" t="inlineStr">
        <is>
          <t>Application Software</t>
        </is>
      </c>
      <c r="R249" s="26" t="inlineStr">
        <is>
          <t>Developer of desktop search software and services. The company develops desktop search software and services for customers ranging from individual professional users to large enterprises. Its flagship product, X1 Desktop Search, along with the forthcoming X1 Enterprise Edition, provides users in every industry, the way to find what they're looking for, whether they need content from email, attachments, files, contacts, networks, exchange servers or other sources of unstructured local and enterprise data.</t>
        </is>
      </c>
      <c r="S249" s="27" t="inlineStr">
        <is>
          <t>Pasadena, CA</t>
        </is>
      </c>
      <c r="T249" s="28" t="inlineStr">
        <is>
          <t>www.x1.com</t>
        </is>
      </c>
      <c r="U249" s="131">
        <f>HYPERLINK("https://my.pitchbook.com?c=55880-83", "View company online")</f>
      </c>
    </row>
    <row r="250">
      <c r="A250" s="30" t="inlineStr">
        <is>
          <t>154711-63</t>
        </is>
      </c>
      <c r="B250" s="31" t="inlineStr">
        <is>
          <t>X Empire</t>
        </is>
      </c>
      <c r="C250" s="32" t="inlineStr">
        <is>
          <t/>
        </is>
      </c>
      <c r="D250" s="33" t="n">
        <v>0.0</v>
      </c>
      <c r="E250" s="34" t="n">
        <v>0.2972972972972973</v>
      </c>
      <c r="F250" s="35" t="n">
        <v>42420.0</v>
      </c>
      <c r="G250" s="36" t="inlineStr">
        <is>
          <t>Early Stage VC</t>
        </is>
      </c>
      <c r="H250" s="37" t="inlineStr">
        <is>
          <t/>
        </is>
      </c>
      <c r="I250" s="38" t="n">
        <v>3.0</v>
      </c>
      <c r="J250" s="39" t="n">
        <v>13.64</v>
      </c>
      <c r="K250" s="40" t="inlineStr">
        <is>
          <t>Completed</t>
        </is>
      </c>
      <c r="L250" s="41" t="inlineStr">
        <is>
          <t>Privately Held (backing)</t>
        </is>
      </c>
      <c r="M250" s="42" t="inlineStr">
        <is>
          <t>Venture Capital-Backed</t>
        </is>
      </c>
      <c r="N250" s="43" t="inlineStr">
        <is>
          <t>The company raised $3.0 million of venture funding from Greycroft Partners and other undisclosed investors on February 20, 2016, putting the company's pre-money valuation at $10.64 million. The funds will be used for general working capital purposes.</t>
        </is>
      </c>
      <c r="O250" s="44" t="inlineStr">
        <is>
          <t>Greycroft Partners</t>
        </is>
      </c>
      <c r="P250" s="45" t="inlineStr">
        <is>
          <t/>
        </is>
      </c>
      <c r="Q250" s="46" t="inlineStr">
        <is>
          <t>Communication Software</t>
        </is>
      </c>
      <c r="R250" s="47" t="inlineStr">
        <is>
          <t>Developer of an application for streaming communications. The company develops a downloadable application which allows streaming of communications with entertainers, politicians and celebrities.</t>
        </is>
      </c>
      <c r="S250" s="48" t="inlineStr">
        <is>
          <t>Santa Monica, CA</t>
        </is>
      </c>
      <c r="T250" s="49" t="inlineStr">
        <is>
          <t>www.xempireinc.com</t>
        </is>
      </c>
      <c r="U250" s="132">
        <f>HYPERLINK("https://my.pitchbook.com?c=154711-63", "View company online")</f>
      </c>
    </row>
    <row r="251">
      <c r="A251" s="9" t="inlineStr">
        <is>
          <t>168982-48</t>
        </is>
      </c>
      <c r="B251" s="10" t="inlineStr">
        <is>
          <t>Wyre</t>
        </is>
      </c>
      <c r="C251" s="11" t="inlineStr">
        <is>
          <t/>
        </is>
      </c>
      <c r="D251" s="12" t="inlineStr">
        <is>
          <t/>
        </is>
      </c>
      <c r="E251" s="13" t="inlineStr">
        <is>
          <t/>
        </is>
      </c>
      <c r="F251" s="14" t="n">
        <v>42720.0</v>
      </c>
      <c r="G251" s="15" t="inlineStr">
        <is>
          <t>Early Stage VC</t>
        </is>
      </c>
      <c r="H251" s="16" t="inlineStr">
        <is>
          <t>Series A</t>
        </is>
      </c>
      <c r="I251" s="17" t="n">
        <v>5.8</v>
      </c>
      <c r="J251" s="18" t="inlineStr">
        <is>
          <t/>
        </is>
      </c>
      <c r="K251" s="19" t="inlineStr">
        <is>
          <t>Completed</t>
        </is>
      </c>
      <c r="L251" s="20" t="inlineStr">
        <is>
          <t>Privately Held (backing)</t>
        </is>
      </c>
      <c r="M251" s="21" t="inlineStr">
        <is>
          <t>Venture Capital-Backed</t>
        </is>
      </c>
      <c r="N251" s="22" t="inlineStr">
        <is>
          <t>The company raised $5.8 million of Series A venture funding in a deal led by Amphora Capital on December 16, 2016. Baofoo.com, 9fBank, Digital Currency Group, Draper Associates and other undisclosed investors also participated in the round. The funds will be used to expand to Europe and Latin America.</t>
        </is>
      </c>
      <c r="O251" s="23" t="inlineStr">
        <is>
          <t>9fbank.com, Amphora Capital, Baofoo.com, Digital Currency Group, Draper Associates, Seabed VC</t>
        </is>
      </c>
      <c r="P251" s="24" t="inlineStr">
        <is>
          <t/>
        </is>
      </c>
      <c r="Q251" s="25" t="inlineStr">
        <is>
          <t>Financial Software</t>
        </is>
      </c>
      <c r="R251" s="26" t="inlineStr">
        <is>
          <t>Provider of a blockchain-based cross-border payments platform. The company engages in providing a platform for businesses to transfer money country-to-country in a 24-72 hour basis.</t>
        </is>
      </c>
      <c r="S251" s="27" t="inlineStr">
        <is>
          <t>San Francisco, CA</t>
        </is>
      </c>
      <c r="T251" s="28" t="inlineStr">
        <is>
          <t>www.sendwyre.com</t>
        </is>
      </c>
      <c r="U251" s="131">
        <f>HYPERLINK("https://my.pitchbook.com?c=168982-48", "View company online")</f>
      </c>
    </row>
    <row r="252">
      <c r="A252" s="30" t="inlineStr">
        <is>
          <t>160606-81</t>
        </is>
      </c>
      <c r="B252" s="31" t="inlineStr">
        <is>
          <t>Wynd (Electronics)</t>
        </is>
      </c>
      <c r="C252" s="32" t="inlineStr">
        <is>
          <t/>
        </is>
      </c>
      <c r="D252" s="33" t="n">
        <v>0.6164909903111004</v>
      </c>
      <c r="E252" s="34" t="n">
        <v>2.144632768361582</v>
      </c>
      <c r="F252" s="35" t="n">
        <v>42641.0</v>
      </c>
      <c r="G252" s="36" t="inlineStr">
        <is>
          <t>Seed Round</t>
        </is>
      </c>
      <c r="H252" s="37" t="inlineStr">
        <is>
          <t>Seed</t>
        </is>
      </c>
      <c r="I252" s="38" t="n">
        <v>2.5</v>
      </c>
      <c r="J252" s="39" t="inlineStr">
        <is>
          <t/>
        </is>
      </c>
      <c r="K252" s="40" t="inlineStr">
        <is>
          <t>Completed</t>
        </is>
      </c>
      <c r="L252" s="41" t="inlineStr">
        <is>
          <t>Privately Held (backing)</t>
        </is>
      </c>
      <c r="M252" s="42" t="inlineStr">
        <is>
          <t>Venture Capital-Backed</t>
        </is>
      </c>
      <c r="N252" s="43" t="inlineStr">
        <is>
          <t>The company raised $2.5 million of seed funding from WI Harper Group, Acorn Pacific Ventures and Baruch Future Ventures on September 28, 2016. KCK Group, Delta Electronics and David Chao also participated in this round. Earlier in July 12, 2016, the company raised $1.27 million of product crowdfunding via Kickstarter and Indiegogo.</t>
        </is>
      </c>
      <c r="O252" s="44" t="inlineStr">
        <is>
          <t>Acorn Pacific Ventures, Baruch Future Ventures, David Chao, Delta Electronics, KCK Group, WI Harper Group</t>
        </is>
      </c>
      <c r="P252" s="45" t="inlineStr">
        <is>
          <t/>
        </is>
      </c>
      <c r="Q252" s="46" t="inlineStr">
        <is>
          <t>Electronics (B2C)</t>
        </is>
      </c>
      <c r="R252" s="47" t="inlineStr">
        <is>
          <t>Developer air purifier designed to purify air for personal space. The company's air purifier offers a air tracker and purifier which is portable and embedded with an air quality sensor that monitors for particulates and displays measurements in real time, enabling users to have fresh air in the surrounding and stay healthy.</t>
        </is>
      </c>
      <c r="S252" s="48" t="inlineStr">
        <is>
          <t>Redwood City, CA</t>
        </is>
      </c>
      <c r="T252" s="49" t="inlineStr">
        <is>
          <t>shop.hellowynd.com</t>
        </is>
      </c>
      <c r="U252" s="132">
        <f>HYPERLINK("https://my.pitchbook.com?c=160606-81", "View company online")</f>
      </c>
    </row>
    <row r="253">
      <c r="A253" s="9" t="inlineStr">
        <is>
          <t>12254-41</t>
        </is>
      </c>
      <c r="B253" s="10" t="inlineStr">
        <is>
          <t>WX Brands</t>
        </is>
      </c>
      <c r="C253" s="11" t="n">
        <v>67.37</v>
      </c>
      <c r="D253" s="12" t="n">
        <v>6.093843128344833</v>
      </c>
      <c r="E253" s="13" t="n">
        <v>3.380061201321334</v>
      </c>
      <c r="F253" s="14" t="n">
        <v>40708.0</v>
      </c>
      <c r="G253" s="15" t="inlineStr">
        <is>
          <t>Secondary Transaction - Private</t>
        </is>
      </c>
      <c r="H253" s="16" t="inlineStr">
        <is>
          <t/>
        </is>
      </c>
      <c r="I253" s="17" t="inlineStr">
        <is>
          <t/>
        </is>
      </c>
      <c r="J253" s="18" t="inlineStr">
        <is>
          <t/>
        </is>
      </c>
      <c r="K253" s="19" t="inlineStr">
        <is>
          <t>Completed</t>
        </is>
      </c>
      <c r="L253" s="20" t="inlineStr">
        <is>
          <t>Privately Held (backing)</t>
        </is>
      </c>
      <c r="M253" s="21" t="inlineStr">
        <is>
          <t>Venture Capital-Backed</t>
        </is>
      </c>
      <c r="N253" s="22" t="inlineStr">
        <is>
          <t>Shea Ventures and other undisclosed investors purchased a minority stake in the company through a secondary transaction on June 14, 2011.</t>
        </is>
      </c>
      <c r="O253" s="23" t="inlineStr">
        <is>
          <t>3i Group, Camden Partners, Charter Venture Capital, D. E. Shaw &amp; Co., Shea Ventures, Startup Capital Ventures, VCFA Group</t>
        </is>
      </c>
      <c r="P253" s="24" t="inlineStr">
        <is>
          <t/>
        </is>
      </c>
      <c r="Q253" s="25" t="inlineStr">
        <is>
          <t>Beverages</t>
        </is>
      </c>
      <c r="R253" s="26" t="inlineStr">
        <is>
          <t>Developer of wines, spirits and beers under private label and national brands. The company operates a full-service, value-added, private brand beverage alcohol company that sources beer, wine and spirits from the finest regions worldwide.</t>
        </is>
      </c>
      <c r="S253" s="27" t="inlineStr">
        <is>
          <t>Novato, CA</t>
        </is>
      </c>
      <c r="T253" s="28" t="inlineStr">
        <is>
          <t>www.wxbrands.com</t>
        </is>
      </c>
      <c r="U253" s="131">
        <f>HYPERLINK("https://my.pitchbook.com?c=12254-41", "View company online")</f>
      </c>
    </row>
    <row r="254">
      <c r="A254" s="30" t="inlineStr">
        <is>
          <t>56962-27</t>
        </is>
      </c>
      <c r="B254" s="31" t="inlineStr">
        <is>
          <t>Wubyu</t>
        </is>
      </c>
      <c r="C254" s="32" t="inlineStr">
        <is>
          <t/>
        </is>
      </c>
      <c r="D254" s="33" t="n">
        <v>0.0</v>
      </c>
      <c r="E254" s="34" t="n">
        <v>0.06560915847946061</v>
      </c>
      <c r="F254" s="35" t="inlineStr">
        <is>
          <t/>
        </is>
      </c>
      <c r="G254" s="36" t="inlineStr">
        <is>
          <t>Early Stage VC</t>
        </is>
      </c>
      <c r="H254" s="37" t="inlineStr">
        <is>
          <t>Series A</t>
        </is>
      </c>
      <c r="I254" s="38" t="inlineStr">
        <is>
          <t/>
        </is>
      </c>
      <c r="J254" s="39" t="inlineStr">
        <is>
          <t/>
        </is>
      </c>
      <c r="K254" s="40" t="inlineStr">
        <is>
          <t>Completed</t>
        </is>
      </c>
      <c r="L254" s="41" t="inlineStr">
        <is>
          <t>Privately Held (backing)</t>
        </is>
      </c>
      <c r="M254" s="42" t="inlineStr">
        <is>
          <t>Venture Capital-Backed</t>
        </is>
      </c>
      <c r="N254" s="43" t="inlineStr">
        <is>
          <t>The company raised Series A venture funding on an undisclosed date.</t>
        </is>
      </c>
      <c r="O254" s="44" t="inlineStr">
        <is>
          <t/>
        </is>
      </c>
      <c r="P254" s="45" t="inlineStr">
        <is>
          <t/>
        </is>
      </c>
      <c r="Q254" s="46" t="inlineStr">
        <is>
          <t>Entertainment Software</t>
        </is>
      </c>
      <c r="R254" s="47" t="inlineStr">
        <is>
          <t>Developer of online gaming applications. The company designs and develops mobile and computer games for kids.</t>
        </is>
      </c>
      <c r="S254" s="48" t="inlineStr">
        <is>
          <t>Oakland, CA</t>
        </is>
      </c>
      <c r="T254" s="49" t="inlineStr">
        <is>
          <t>www.wubyu.com</t>
        </is>
      </c>
      <c r="U254" s="132">
        <f>HYPERLINK("https://my.pitchbook.com?c=56962-27", "View company online")</f>
      </c>
    </row>
    <row r="255">
      <c r="A255" s="9" t="inlineStr">
        <is>
          <t>52180-93</t>
        </is>
      </c>
      <c r="B255" s="10" t="inlineStr">
        <is>
          <t>WSO2</t>
        </is>
      </c>
      <c r="C255" s="11" t="n">
        <v>16.88</v>
      </c>
      <c r="D255" s="12" t="n">
        <v>0.41559504936661873</v>
      </c>
      <c r="E255" s="13" t="n">
        <v>14.291652582680587</v>
      </c>
      <c r="F255" s="14" t="n">
        <v>42223.0</v>
      </c>
      <c r="G255" s="15" t="inlineStr">
        <is>
          <t>Later Stage VC</t>
        </is>
      </c>
      <c r="H255" s="16" t="inlineStr">
        <is>
          <t>Series D</t>
        </is>
      </c>
      <c r="I255" s="17" t="n">
        <v>20.04</v>
      </c>
      <c r="J255" s="18" t="n">
        <v>200.04</v>
      </c>
      <c r="K255" s="19" t="inlineStr">
        <is>
          <t>Completed</t>
        </is>
      </c>
      <c r="L255" s="20" t="inlineStr">
        <is>
          <t>Privately Held (backing)</t>
        </is>
      </c>
      <c r="M255" s="21" t="inlineStr">
        <is>
          <t>Venture Capital-Backed</t>
        </is>
      </c>
      <c r="N255" s="22" t="inlineStr">
        <is>
          <t>The company raised $20.04 million of Series D venture funding in a deal led by Pacific Control System on August 7, 2015, putting the pre-money valuation at $180 million. Toba Capital also participate din the round.</t>
        </is>
      </c>
      <c r="O255" s="23" t="inlineStr">
        <is>
          <t>Cisco Investments, Intel Capital, Pacific Control Systems, Quest Innovation Accelerator, Toba Capital</t>
        </is>
      </c>
      <c r="P255" s="24" t="inlineStr">
        <is>
          <t/>
        </is>
      </c>
      <c r="Q255" s="25" t="inlineStr">
        <is>
          <t>Other Software</t>
        </is>
      </c>
      <c r="R255" s="26" t="inlineStr">
        <is>
          <t>Provider of an open source middleware platform. The company delivers an open source enterprise SOA middleware stack purpose-built as an integrated platform to support heterogeneous enterprise environments, both internally and in the cloud, enabling multiple project teams to create, run, and manage enterprise applications.</t>
        </is>
      </c>
      <c r="S255" s="27" t="inlineStr">
        <is>
          <t>Mountain View, CA</t>
        </is>
      </c>
      <c r="T255" s="28" t="inlineStr">
        <is>
          <t>www.wso2.com</t>
        </is>
      </c>
      <c r="U255" s="131">
        <f>HYPERLINK("https://my.pitchbook.com?c=52180-93", "View company online")</f>
      </c>
    </row>
    <row r="256">
      <c r="A256" s="30" t="inlineStr">
        <is>
          <t>122104-90</t>
        </is>
      </c>
      <c r="B256" s="31" t="inlineStr">
        <is>
          <t>WriteLab</t>
        </is>
      </c>
      <c r="C256" s="32" t="inlineStr">
        <is>
          <t/>
        </is>
      </c>
      <c r="D256" s="33" t="n">
        <v>3.39729018389495</v>
      </c>
      <c r="E256" s="34" t="n">
        <v>4.746520686388041</v>
      </c>
      <c r="F256" s="35" t="n">
        <v>42752.0</v>
      </c>
      <c r="G256" s="36" t="inlineStr">
        <is>
          <t>Seed Round</t>
        </is>
      </c>
      <c r="H256" s="37" t="inlineStr">
        <is>
          <t>Seed</t>
        </is>
      </c>
      <c r="I256" s="38" t="n">
        <v>1.12</v>
      </c>
      <c r="J256" s="39" t="n">
        <v>10.5</v>
      </c>
      <c r="K256" s="40" t="inlineStr">
        <is>
          <t>Completed</t>
        </is>
      </c>
      <c r="L256" s="41" t="inlineStr">
        <is>
          <t>Privately Held (backing)</t>
        </is>
      </c>
      <c r="M256" s="42" t="inlineStr">
        <is>
          <t>Venture Capital-Backed</t>
        </is>
      </c>
      <c r="N256" s="43" t="inlineStr">
        <is>
          <t>The company raised $1.12 million of Seed C venture funding from undisclosed investors on January 17, 2017, putting the pre-money valuation at $9.38 million.</t>
        </is>
      </c>
      <c r="O256" s="44" t="inlineStr">
        <is>
          <t>Co.lab, Coleman Fung, Jake Fuentes, Kapor Capital, Learn Capital, Michael Tedesco, Reach Capital</t>
        </is>
      </c>
      <c r="P256" s="45" t="inlineStr">
        <is>
          <t/>
        </is>
      </c>
      <c r="Q256" s="46" t="inlineStr">
        <is>
          <t>Educational Software</t>
        </is>
      </c>
      <c r="R256" s="47" t="inlineStr">
        <is>
          <t>Provider of an all-in-one writing tool designed to polish writing skills. The company's writing tool based on actionable analytics delivers instant feedback on drafts and essays with suggestions and explanations enabling students and instructors to understand their writing strengths and weaknesses.</t>
        </is>
      </c>
      <c r="S256" s="48" t="inlineStr">
        <is>
          <t>Berkeley, CA</t>
        </is>
      </c>
      <c r="T256" s="49" t="inlineStr">
        <is>
          <t>home.writelab.com</t>
        </is>
      </c>
      <c r="U256" s="132">
        <f>HYPERLINK("https://my.pitchbook.com?c=122104-90", "View company online")</f>
      </c>
    </row>
    <row r="257">
      <c r="A257" s="9" t="inlineStr">
        <is>
          <t>54633-88</t>
        </is>
      </c>
      <c r="B257" s="10" t="inlineStr">
        <is>
          <t>Wrike</t>
        </is>
      </c>
      <c r="C257" s="11" t="inlineStr">
        <is>
          <t/>
        </is>
      </c>
      <c r="D257" s="12" t="n">
        <v>0.23965699462608916</v>
      </c>
      <c r="E257" s="13" t="n">
        <v>108.94979668319756</v>
      </c>
      <c r="F257" s="14" t="n">
        <v>42130.0</v>
      </c>
      <c r="G257" s="15" t="inlineStr">
        <is>
          <t>Later Stage VC</t>
        </is>
      </c>
      <c r="H257" s="16" t="inlineStr">
        <is>
          <t>Series B</t>
        </is>
      </c>
      <c r="I257" s="17" t="n">
        <v>15.0</v>
      </c>
      <c r="J257" s="18" t="n">
        <v>125.46</v>
      </c>
      <c r="K257" s="19" t="inlineStr">
        <is>
          <t>Completed</t>
        </is>
      </c>
      <c r="L257" s="20" t="inlineStr">
        <is>
          <t>Privately Held (backing)</t>
        </is>
      </c>
      <c r="M257" s="21" t="inlineStr">
        <is>
          <t>Venture Capital-Backed</t>
        </is>
      </c>
      <c r="N257" s="22" t="inlineStr">
        <is>
          <t>The company raised $15 million of Series B venture funding led by Scale Venture Partners on May 6, 2015, putting the company's pre-money valuation at $110.46 million. DCM Ventures and Bain Capital Ventures also participated in the round. The funding wll be used for hiring staff and business expansion to international markets.</t>
        </is>
      </c>
      <c r="O257" s="23" t="inlineStr">
        <is>
          <t>Bain Capital Ventures, DCM Ventures, Scale Venture Partners, TMT Investments</t>
        </is>
      </c>
      <c r="P257" s="24" t="inlineStr">
        <is>
          <t/>
        </is>
      </c>
      <c r="Q257" s="25" t="inlineStr">
        <is>
          <t>Business/Productivity Software</t>
        </is>
      </c>
      <c r="R257" s="26" t="inlineStr">
        <is>
          <t>Provider of a work management and collaboration platform. The company provides a platform that combines project management with a real-time workspace for collaboration, discussion and document sharing.</t>
        </is>
      </c>
      <c r="S257" s="27" t="inlineStr">
        <is>
          <t>Mountain View, CA</t>
        </is>
      </c>
      <c r="T257" s="28" t="inlineStr">
        <is>
          <t>www.wrike.com</t>
        </is>
      </c>
      <c r="U257" s="131">
        <f>HYPERLINK("https://my.pitchbook.com?c=54633-88", "View company online")</f>
      </c>
    </row>
    <row r="258">
      <c r="A258" s="30" t="inlineStr">
        <is>
          <t>53792-92</t>
        </is>
      </c>
      <c r="B258" s="31" t="inlineStr">
        <is>
          <t>Wrightspeed</t>
        </is>
      </c>
      <c r="C258" s="32" t="inlineStr">
        <is>
          <t/>
        </is>
      </c>
      <c r="D258" s="33" t="n">
        <v>-0.10487252275214301</v>
      </c>
      <c r="E258" s="34" t="n">
        <v>21.661818313734305</v>
      </c>
      <c r="F258" s="35" t="n">
        <v>42816.0</v>
      </c>
      <c r="G258" s="36" t="inlineStr">
        <is>
          <t>Later Stage VC</t>
        </is>
      </c>
      <c r="H258" s="37" t="inlineStr">
        <is>
          <t>Series F</t>
        </is>
      </c>
      <c r="I258" s="38" t="n">
        <v>8.0</v>
      </c>
      <c r="J258" s="39" t="n">
        <v>134.78</v>
      </c>
      <c r="K258" s="40" t="inlineStr">
        <is>
          <t>Announced/In Progress</t>
        </is>
      </c>
      <c r="L258" s="41" t="inlineStr">
        <is>
          <t>Privately Held (backing)</t>
        </is>
      </c>
      <c r="M258" s="42" t="inlineStr">
        <is>
          <t>Venture Capital-Backed</t>
        </is>
      </c>
      <c r="N258" s="43" t="inlineStr">
        <is>
          <t>The company has closed on $8 million of Series F venture funding from an undisclosed investor as of April 11, 2017. The funds are intended to be used for working capital and to ramp up production. The round is anticipated to close on May 25, 2017. The company is being actively tracked by PitchBook.</t>
        </is>
      </c>
      <c r="O258" s="44" t="inlineStr">
        <is>
          <t>California Energy Commission, Firsthand Technology Value Fund</t>
        </is>
      </c>
      <c r="P258" s="45" t="inlineStr">
        <is>
          <t/>
        </is>
      </c>
      <c r="Q258" s="46" t="inlineStr">
        <is>
          <t>Road</t>
        </is>
      </c>
      <c r="R258" s="47" t="inlineStr">
        <is>
          <t>Developer of electric vehicle powertrains designed to improve engine performance of commercial medium-duty trucks. The company's electric vehicle powertrains use electric drive, regenerative braking and an unique approach to onboard power generation using a micro turbine which is fully integrated and extremely high power system and the first to use a software controlled clutchless transmission, enabling vehicle manufacturers to reduce fuel consumption and increase overall efficiency and performance of trucks.</t>
        </is>
      </c>
      <c r="S258" s="48" t="inlineStr">
        <is>
          <t>Alameda, CA</t>
        </is>
      </c>
      <c r="T258" s="49" t="inlineStr">
        <is>
          <t>www.wrightspeed.com</t>
        </is>
      </c>
      <c r="U258" s="132">
        <f>HYPERLINK("https://my.pitchbook.com?c=53792-92", "View company online")</f>
      </c>
    </row>
    <row r="259">
      <c r="A259" s="9" t="inlineStr">
        <is>
          <t>53652-88</t>
        </is>
      </c>
      <c r="B259" s="10" t="inlineStr">
        <is>
          <t>Wrapp</t>
        </is>
      </c>
      <c r="C259" s="11" t="inlineStr">
        <is>
          <t/>
        </is>
      </c>
      <c r="D259" s="12" t="n">
        <v>-0.1870243470137767</v>
      </c>
      <c r="E259" s="13" t="n">
        <v>37.96605071752455</v>
      </c>
      <c r="F259" s="14" t="n">
        <v>42382.0</v>
      </c>
      <c r="G259" s="15" t="inlineStr">
        <is>
          <t>Later Stage VC</t>
        </is>
      </c>
      <c r="H259" s="16" t="inlineStr">
        <is>
          <t>Series C</t>
        </is>
      </c>
      <c r="I259" s="17" t="n">
        <v>4.7</v>
      </c>
      <c r="J259" s="18" t="inlineStr">
        <is>
          <t/>
        </is>
      </c>
      <c r="K259" s="19" t="inlineStr">
        <is>
          <t>Completed</t>
        </is>
      </c>
      <c r="L259" s="20" t="inlineStr">
        <is>
          <t>Privately Held (backing)</t>
        </is>
      </c>
      <c r="M259" s="21" t="inlineStr">
        <is>
          <t>Venture Capital-Backed</t>
        </is>
      </c>
      <c r="N259" s="22" t="inlineStr">
        <is>
          <t>The company raised $4.7 million of Series C venture funding from Nordea bank on January 13, 2016. The company raised $15 million of Series B venture funding from Greylock Partners, Atomico and Creandum on June 13, 2013, putting the valuation $45.3 million. American Express Ventures, Qualcomm Ventures and SEB Private Equity also participated in the round. This brings the total funding raised to $25.5 million.</t>
        </is>
      </c>
      <c r="O259" s="23" t="inlineStr">
        <is>
          <t>Adam Nash, American Express Ventures, Atomico Uk Partners, Creandum, Greylock Partners, Nordea Bank, Qualcomm Ventures, SEB Private Equity</t>
        </is>
      </c>
      <c r="P259" s="24" t="inlineStr">
        <is>
          <t/>
        </is>
      </c>
      <c r="Q259" s="25" t="inlineStr">
        <is>
          <t>Social/Platform Software</t>
        </is>
      </c>
      <c r="R259" s="26" t="inlineStr">
        <is>
          <t>Provider of an online platform that connects clients with retailers. The company allows the client to discover, plan and send digital gift cards to the customers and helps the users follow the brands of their choice.</t>
        </is>
      </c>
      <c r="S259" s="27" t="inlineStr">
        <is>
          <t>Stockholm, Sweden</t>
        </is>
      </c>
      <c r="T259" s="28" t="inlineStr">
        <is>
          <t>www.wrapp.com</t>
        </is>
      </c>
      <c r="U259" s="131">
        <f>HYPERLINK("https://my.pitchbook.com?c=53652-88", "View company online")</f>
      </c>
    </row>
    <row r="260">
      <c r="A260" s="30" t="inlineStr">
        <is>
          <t>115403-68</t>
        </is>
      </c>
      <c r="B260" s="31" t="inlineStr">
        <is>
          <t>Wrapify</t>
        </is>
      </c>
      <c r="C260" s="32" t="n">
        <v>10.0</v>
      </c>
      <c r="D260" s="33" t="n">
        <v>0.47751131645252276</v>
      </c>
      <c r="E260" s="34" t="n">
        <v>7.9791537326356785</v>
      </c>
      <c r="F260" s="35" t="n">
        <v>42810.0</v>
      </c>
      <c r="G260" s="36" t="inlineStr">
        <is>
          <t>Seed Round</t>
        </is>
      </c>
      <c r="H260" s="37" t="inlineStr">
        <is>
          <t>Seed</t>
        </is>
      </c>
      <c r="I260" s="38" t="n">
        <v>9.13</v>
      </c>
      <c r="J260" s="39" t="n">
        <v>28.59</v>
      </c>
      <c r="K260" s="40" t="inlineStr">
        <is>
          <t>Completed</t>
        </is>
      </c>
      <c r="L260" s="41" t="inlineStr">
        <is>
          <t>Privately Held (backing)</t>
        </is>
      </c>
      <c r="M260" s="42" t="inlineStr">
        <is>
          <t>Venture Capital-Backed</t>
        </is>
      </c>
      <c r="N260" s="43" t="inlineStr">
        <is>
          <t>The company raised $9.13 million of seed funding from Avery Dennison and other undisclosed investors on March 16, 2017, putting the pre-money valuation at $19.46 million. The funds will be used to expand its car-wrapping campaigns before the end of the year, to grow the company's sales and engineering teams, as well as build out more features for its brand-facing portal.</t>
        </is>
      </c>
      <c r="O260" s="44" t="inlineStr">
        <is>
          <t>Avery Dennison, Doug Hecht, EvoNexus, Haystack, Jason Calacanis, Ludlow Ventures, Mingfeng Wu, Saad AlSogair, Seed Sumo, Serra Ventures, Social Capital, The LAUNCH Incubator, ZenStone Venture Capital</t>
        </is>
      </c>
      <c r="P260" s="45" t="inlineStr">
        <is>
          <t/>
        </is>
      </c>
      <c r="Q260" s="46" t="inlineStr">
        <is>
          <t>Application Software</t>
        </is>
      </c>
      <c r="R260" s="47" t="inlineStr">
        <is>
          <t>Developer of an out-of-home (OOH) advertising platform designed to connect drivers and brands to create powerful on-vehicle marketing messages. The company's advertising platform provide brands and drivers access to powerful tracking, analytics and reporting and also provides impression data and analytics on their campaigns in real-time, enabling them to create on-vehicle marketing messages as well as manage and scale ad campaigns on vehicles all over the country.</t>
        </is>
      </c>
      <c r="S260" s="48" t="inlineStr">
        <is>
          <t>Solana Beach, CA</t>
        </is>
      </c>
      <c r="T260" s="49" t="inlineStr">
        <is>
          <t>www.wrapify.com</t>
        </is>
      </c>
      <c r="U260" s="132">
        <f>HYPERLINK("https://my.pitchbook.com?c=115403-68", "View company online")</f>
      </c>
    </row>
    <row r="261">
      <c r="A261" s="9" t="inlineStr">
        <is>
          <t>125636-23</t>
        </is>
      </c>
      <c r="B261" s="10" t="inlineStr">
        <is>
          <t>Wranggle</t>
        </is>
      </c>
      <c r="C261" s="11" t="inlineStr">
        <is>
          <t/>
        </is>
      </c>
      <c r="D261" s="12" t="n">
        <v>0.0</v>
      </c>
      <c r="E261" s="13" t="n">
        <v>0.061576657191985115</v>
      </c>
      <c r="F261" s="14" t="n">
        <v>42054.0</v>
      </c>
      <c r="G261" s="15" t="inlineStr">
        <is>
          <t>Seed Round</t>
        </is>
      </c>
      <c r="H261" s="16" t="inlineStr">
        <is>
          <t>Seed</t>
        </is>
      </c>
      <c r="I261" s="17" t="inlineStr">
        <is>
          <t/>
        </is>
      </c>
      <c r="J261" s="18" t="inlineStr">
        <is>
          <t/>
        </is>
      </c>
      <c r="K261" s="19" t="inlineStr">
        <is>
          <t>Completed</t>
        </is>
      </c>
      <c r="L261" s="20" t="inlineStr">
        <is>
          <t>Privately Held (backing)</t>
        </is>
      </c>
      <c r="M261" s="21" t="inlineStr">
        <is>
          <t>Venture Capital-Backed</t>
        </is>
      </c>
      <c r="N261" s="22" t="inlineStr">
        <is>
          <t>The company raised an undisclosed amount of seed funding from Surender Punia, Kevin Mahaffey and Bodley Group on February 19, 2015.</t>
        </is>
      </c>
      <c r="O261" s="23" t="inlineStr">
        <is>
          <t>Bodley Group, Kevin Mahaffey, Surender Punia</t>
        </is>
      </c>
      <c r="P261" s="24" t="inlineStr">
        <is>
          <t/>
        </is>
      </c>
      <c r="Q261" s="25" t="inlineStr">
        <is>
          <t>Other Financial Services</t>
        </is>
      </c>
      <c r="R261" s="26" t="inlineStr">
        <is>
          <t>Developer of a cloud-based accounting software. The company's software enables users to organize requests, automatically build shopping carts on the vendor's e-commerce website, generate purchase orders and expense reports.</t>
        </is>
      </c>
      <c r="S261" s="27" t="inlineStr">
        <is>
          <t>San Francisco, CA</t>
        </is>
      </c>
      <c r="T261" s="28" t="inlineStr">
        <is>
          <t>www.wranggle.com</t>
        </is>
      </c>
      <c r="U261" s="131">
        <f>HYPERLINK("https://my.pitchbook.com?c=125636-23", "View company online")</f>
      </c>
    </row>
    <row r="262">
      <c r="A262" s="30" t="inlineStr">
        <is>
          <t>60487-39</t>
        </is>
      </c>
      <c r="B262" s="31" t="inlineStr">
        <is>
          <t>WPS Office</t>
        </is>
      </c>
      <c r="C262" s="32" t="inlineStr">
        <is>
          <t/>
        </is>
      </c>
      <c r="D262" s="33" t="n">
        <v>0.7745897647466484</v>
      </c>
      <c r="E262" s="34" t="n">
        <v>98.85953481115604</v>
      </c>
      <c r="F262" s="35" t="n">
        <v>41603.0</v>
      </c>
      <c r="G262" s="36" t="inlineStr">
        <is>
          <t>Later Stage VC</t>
        </is>
      </c>
      <c r="H262" s="37" t="inlineStr">
        <is>
          <t/>
        </is>
      </c>
      <c r="I262" s="38" t="n">
        <v>50.0</v>
      </c>
      <c r="J262" s="39" t="inlineStr">
        <is>
          <t/>
        </is>
      </c>
      <c r="K262" s="40" t="inlineStr">
        <is>
          <t>Completed</t>
        </is>
      </c>
      <c r="L262" s="41" t="inlineStr">
        <is>
          <t>Privately Held (backing)</t>
        </is>
      </c>
      <c r="M262" s="42" t="inlineStr">
        <is>
          <t>Venture Capital-Backed</t>
        </is>
      </c>
      <c r="N262" s="43" t="inlineStr">
        <is>
          <t>The company raised $50 million of venture funding from Morningside Group, GGV Capital and Shunwei Capital on November 24, 2013. The company will use the funds to support its U.S. operations and expand globally.</t>
        </is>
      </c>
      <c r="O262" s="44" t="inlineStr">
        <is>
          <t>Chinese Ministry of Science and Technology, GGV Capital, Ministry of Industry and Information Technology, Morningside Group, Shunwei Capital</t>
        </is>
      </c>
      <c r="P262" s="45" t="inlineStr">
        <is>
          <t/>
        </is>
      </c>
      <c r="Q262" s="46" t="inlineStr">
        <is>
          <t>Operating Systems Software</t>
        </is>
      </c>
      <c r="R262" s="47" t="inlineStr">
        <is>
          <t>Provider of office productivity suite designed to offer an alternative to Micosoft Office and is fully compatible and comparable to Microsoft PowerPoint, Excel and Word. The company's office productivity suite includes Kingsoft Writer, Kingsoft Presentation and Kingsoft Spreadsheets to be used with Windows, Linux, iOS and Android OS.</t>
        </is>
      </c>
      <c r="S262" s="48" t="inlineStr">
        <is>
          <t>Palo Alto, CA</t>
        </is>
      </c>
      <c r="T262" s="49" t="inlineStr">
        <is>
          <t>www.wps.com</t>
        </is>
      </c>
      <c r="U262" s="132">
        <f>HYPERLINK("https://my.pitchbook.com?c=60487-39", "View company online")</f>
      </c>
    </row>
    <row r="263">
      <c r="A263" s="9" t="inlineStr">
        <is>
          <t>156593-17</t>
        </is>
      </c>
      <c r="B263" s="10" t="inlineStr">
        <is>
          <t>WOW Explorations</t>
        </is>
      </c>
      <c r="C263" s="11" t="inlineStr">
        <is>
          <t/>
        </is>
      </c>
      <c r="D263" s="12" t="n">
        <v>0.0</v>
      </c>
      <c r="E263" s="13" t="n">
        <v>0.10810810810810811</v>
      </c>
      <c r="F263" s="14" t="n">
        <v>42491.0</v>
      </c>
      <c r="G263" s="15" t="inlineStr">
        <is>
          <t>Early Stage VC</t>
        </is>
      </c>
      <c r="H263" s="16" t="inlineStr">
        <is>
          <t>Series A</t>
        </is>
      </c>
      <c r="I263" s="17" t="inlineStr">
        <is>
          <t/>
        </is>
      </c>
      <c r="J263" s="18" t="inlineStr">
        <is>
          <t/>
        </is>
      </c>
      <c r="K263" s="19" t="inlineStr">
        <is>
          <t>Completed</t>
        </is>
      </c>
      <c r="L263" s="20" t="inlineStr">
        <is>
          <t>Privately Held (backing)</t>
        </is>
      </c>
      <c r="M263" s="21" t="inlineStr">
        <is>
          <t>Venture Capital-Backed</t>
        </is>
      </c>
      <c r="N263" s="22" t="inlineStr">
        <is>
          <t>The company raised an undisclosed amount of Series A venture funding from Lyrical Partners in May 2016. It also raised $500,000 of seed funding from Lyrical Partners on March 30, 2016. The company intends to use the proceeds to design, build and launch the first WOWtopia tour, targeted to begin in the United States in Fall 2017.</t>
        </is>
      </c>
      <c r="O263" s="23" t="inlineStr">
        <is>
          <t>Lyrical Partners</t>
        </is>
      </c>
      <c r="P263" s="24" t="inlineStr">
        <is>
          <t/>
        </is>
      </c>
      <c r="Q263" s="25" t="inlineStr">
        <is>
          <t>Other Services (B2C Non-Financial)</t>
        </is>
      </c>
      <c r="R263" s="26" t="inlineStr">
        <is>
          <t>Provider of recreation experiences for kids and families. The company designs and develops recreation experiences for kids and families which will focus on inspiring kids with the wonder of the world through physical play, hands-on creating and active multi-sensory experiences.</t>
        </is>
      </c>
      <c r="S263" s="27" t="inlineStr">
        <is>
          <t>San Francisco, CA</t>
        </is>
      </c>
      <c r="T263" s="28" t="inlineStr">
        <is>
          <t>www.wowexplorations.com</t>
        </is>
      </c>
      <c r="U263" s="131">
        <f>HYPERLINK("https://my.pitchbook.com?c=156593-17", "View company online")</f>
      </c>
    </row>
    <row r="264">
      <c r="A264" s="30" t="inlineStr">
        <is>
          <t>113850-64</t>
        </is>
      </c>
      <c r="B264" s="31" t="inlineStr">
        <is>
          <t>Worthix</t>
        </is>
      </c>
      <c r="C264" s="32" t="inlineStr">
        <is>
          <t/>
        </is>
      </c>
      <c r="D264" s="33" t="n">
        <v>-0.008491160010083912</v>
      </c>
      <c r="E264" s="34" t="n">
        <v>0.6538766053135987</v>
      </c>
      <c r="F264" s="35" t="n">
        <v>42688.0</v>
      </c>
      <c r="G264" s="36" t="inlineStr">
        <is>
          <t>Seed Round</t>
        </is>
      </c>
      <c r="H264" s="37" t="inlineStr">
        <is>
          <t>Seed</t>
        </is>
      </c>
      <c r="I264" s="38" t="n">
        <v>1.5</v>
      </c>
      <c r="J264" s="39" t="n">
        <v>6.5</v>
      </c>
      <c r="K264" s="40" t="inlineStr">
        <is>
          <t>Completed</t>
        </is>
      </c>
      <c r="L264" s="41" t="inlineStr">
        <is>
          <t>Privately Held (backing)</t>
        </is>
      </c>
      <c r="M264" s="42" t="inlineStr">
        <is>
          <t>Venture Capital-Backed</t>
        </is>
      </c>
      <c r="N264" s="43" t="inlineStr">
        <is>
          <t>The company raised $1.5 million of seed funding in a deal led by Valor Capital Group on November 14, 2016, putting the pre-money valuation at $5 million. 500 Startups Management Company, Fundersclub, and Redpoint eventures also participated in the deal.</t>
        </is>
      </c>
      <c r="O264" s="44" t="inlineStr">
        <is>
          <t>500 Startups, FundersClub, Geraldo Majela, QuestManager.com, Redpoint eventures, Ricardo Majela, Valor Capital Group</t>
        </is>
      </c>
      <c r="P264" s="45" t="inlineStr">
        <is>
          <t/>
        </is>
      </c>
      <c r="Q264" s="46" t="inlineStr">
        <is>
          <t>Business/Productivity Software</t>
        </is>
      </c>
      <c r="R264" s="47" t="inlineStr">
        <is>
          <t>Developer of a platform for customer survey designed to give its users the power to drive customers to positive decisions. The company's platform for customer survey pinpoints the top influencing factors behind customers' decisions, enabling enterprises to retain their customers and increase sales.</t>
        </is>
      </c>
      <c r="S264" s="48" t="inlineStr">
        <is>
          <t>San Francisco, CA</t>
        </is>
      </c>
      <c r="T264" s="49" t="inlineStr">
        <is>
          <t>www.worthix.com</t>
        </is>
      </c>
      <c r="U264" s="132">
        <f>HYPERLINK("https://my.pitchbook.com?c=113850-64", "View company online")</f>
      </c>
    </row>
    <row r="265">
      <c r="A265" s="9" t="inlineStr">
        <is>
          <t>54749-26</t>
        </is>
      </c>
      <c r="B265" s="10" t="inlineStr">
        <is>
          <t>Wortal</t>
        </is>
      </c>
      <c r="C265" s="11" t="n">
        <v>1.25</v>
      </c>
      <c r="D265" s="12" t="n">
        <v>0.0</v>
      </c>
      <c r="E265" s="13" t="n">
        <v>0.40540540540540543</v>
      </c>
      <c r="F265" s="14" t="n">
        <v>40529.0</v>
      </c>
      <c r="G265" s="15" t="inlineStr">
        <is>
          <t>Early Stage VC</t>
        </is>
      </c>
      <c r="H265" s="16" t="inlineStr">
        <is>
          <t>Series B</t>
        </is>
      </c>
      <c r="I265" s="17" t="n">
        <v>0.5</v>
      </c>
      <c r="J265" s="18" t="n">
        <v>9.03</v>
      </c>
      <c r="K265" s="19" t="inlineStr">
        <is>
          <t>Completed</t>
        </is>
      </c>
      <c r="L265" s="20" t="inlineStr">
        <is>
          <t>Privately Held (backing)</t>
        </is>
      </c>
      <c r="M265" s="21" t="inlineStr">
        <is>
          <t>Venture Capital-Backed</t>
        </is>
      </c>
      <c r="N265" s="22" t="inlineStr">
        <is>
          <t>The company raised $500,000 of Series B venture funding from Intel Capital and other undisclosed investors on December 17, 2010, putting the company's pre-money valuation at $8.53 million.</t>
        </is>
      </c>
      <c r="O265" s="23" t="inlineStr">
        <is>
          <t>Intel Capital</t>
        </is>
      </c>
      <c r="P265" s="24" t="inlineStr">
        <is>
          <t/>
        </is>
      </c>
      <c r="Q265" s="25" t="inlineStr">
        <is>
          <t>Application Software</t>
        </is>
      </c>
      <c r="R265" s="26" t="inlineStr">
        <is>
          <t>Owner and operator of a website for events and entertainment promotions. The company provides information for consumers to make choices in the areas of entertainment, home needs and work related aspects.</t>
        </is>
      </c>
      <c r="S265" s="27" t="inlineStr">
        <is>
          <t>Palo Alto, CA</t>
        </is>
      </c>
      <c r="T265" s="28" t="inlineStr">
        <is>
          <t>www.wortalinc.com</t>
        </is>
      </c>
      <c r="U265" s="131">
        <f>HYPERLINK("https://my.pitchbook.com?c=54749-26", "View company online")</f>
      </c>
    </row>
    <row r="266">
      <c r="A266" s="30" t="inlineStr">
        <is>
          <t>99642-25</t>
        </is>
      </c>
      <c r="B266" s="31" t="inlineStr">
        <is>
          <t>WorldViz</t>
        </is>
      </c>
      <c r="C266" s="32" t="inlineStr">
        <is>
          <t/>
        </is>
      </c>
      <c r="D266" s="33" t="n">
        <v>0.09834622202090339</v>
      </c>
      <c r="E266" s="34" t="n">
        <v>8.234318572177822</v>
      </c>
      <c r="F266" s="35" t="n">
        <v>42748.0</v>
      </c>
      <c r="G266" s="36" t="inlineStr">
        <is>
          <t>Convertible Debt</t>
        </is>
      </c>
      <c r="H266" s="37" t="inlineStr">
        <is>
          <t/>
        </is>
      </c>
      <c r="I266" s="38" t="n">
        <v>0.68</v>
      </c>
      <c r="J266" s="39" t="inlineStr">
        <is>
          <t/>
        </is>
      </c>
      <c r="K266" s="40" t="inlineStr">
        <is>
          <t>Completed</t>
        </is>
      </c>
      <c r="L266" s="41" t="inlineStr">
        <is>
          <t>Privately Held (backing)</t>
        </is>
      </c>
      <c r="M266" s="42" t="inlineStr">
        <is>
          <t>Venture Capital-Backed</t>
        </is>
      </c>
      <c r="N266" s="43" t="inlineStr">
        <is>
          <t>The company closed on $675,000 of convertible debt financing from undisclosed investors on January 13, 2017. The company is being actively tracked by PitchBook.</t>
        </is>
      </c>
      <c r="O266" s="44" t="inlineStr">
        <is>
          <t>Intel Capital</t>
        </is>
      </c>
      <c r="P266" s="45" t="inlineStr">
        <is>
          <t/>
        </is>
      </c>
      <c r="Q266" s="46" t="inlineStr">
        <is>
          <t>Multimedia and Design Software</t>
        </is>
      </c>
      <c r="R266" s="47" t="inlineStr">
        <is>
          <t>Provider of virtual reality (VR) platform technology and services. The company provides interactive 3D visualization and simulation software, VR systems, custom design services and application development to research scientists, government leaders and business entities.</t>
        </is>
      </c>
      <c r="S266" s="48" t="inlineStr">
        <is>
          <t>Santa Barbara, CA</t>
        </is>
      </c>
      <c r="T266" s="49" t="inlineStr">
        <is>
          <t>www.worldviz.com</t>
        </is>
      </c>
      <c r="U266" s="132">
        <f>HYPERLINK("https://my.pitchbook.com?c=99642-25", "View company online")</f>
      </c>
    </row>
    <row r="267">
      <c r="A267" s="9" t="inlineStr">
        <is>
          <t>55178-65</t>
        </is>
      </c>
      <c r="B267" s="10" t="inlineStr">
        <is>
          <t>World Wrapps International</t>
        </is>
      </c>
      <c r="C267" s="11" t="inlineStr">
        <is>
          <t/>
        </is>
      </c>
      <c r="D267" s="12" t="n">
        <v>0.010814319603506983</v>
      </c>
      <c r="E267" s="13" t="n">
        <v>2.244198203888698</v>
      </c>
      <c r="F267" s="14" t="inlineStr">
        <is>
          <t/>
        </is>
      </c>
      <c r="G267" s="15" t="inlineStr">
        <is>
          <t>Early Stage VC</t>
        </is>
      </c>
      <c r="H267" s="16" t="inlineStr">
        <is>
          <t/>
        </is>
      </c>
      <c r="I267" s="17" t="inlineStr">
        <is>
          <t/>
        </is>
      </c>
      <c r="J267" s="18" t="inlineStr">
        <is>
          <t/>
        </is>
      </c>
      <c r="K267" s="19" t="inlineStr">
        <is>
          <t>Completed</t>
        </is>
      </c>
      <c r="L267" s="20" t="inlineStr">
        <is>
          <t>Privately Held (backing)</t>
        </is>
      </c>
      <c r="M267" s="21" t="inlineStr">
        <is>
          <t>Venture Capital-Backed</t>
        </is>
      </c>
      <c r="N267" s="22" t="inlineStr">
        <is>
          <t>The company raised venture funding from Northwest Venture Associates and Tennessee Community Ventures on an undisclosed date.</t>
        </is>
      </c>
      <c r="O267" s="23" t="inlineStr">
        <is>
          <t>Northwest Venture Associates, Tennessee Community Ventures</t>
        </is>
      </c>
      <c r="P267" s="24" t="inlineStr">
        <is>
          <t/>
        </is>
      </c>
      <c r="Q267" s="25" t="inlineStr">
        <is>
          <t>Restaurants and Bars</t>
        </is>
      </c>
      <c r="R267" s="26" t="inlineStr">
        <is>
          <t>Operator of franchise restaurants in Washington and Northern California. The company offers salads, hot soups, boxes and fresh fruit smoothies and gift certificates for birthdays, holidays, stocking-stuffers, bosses' day, graduation presents or employee appreciation.</t>
        </is>
      </c>
      <c r="S267" s="27" t="inlineStr">
        <is>
          <t>Corte Madera, CA</t>
        </is>
      </c>
      <c r="T267" s="28" t="inlineStr">
        <is>
          <t>www.worldwrapps.com</t>
        </is>
      </c>
      <c r="U267" s="131">
        <f>HYPERLINK("https://my.pitchbook.com?c=55178-65", "View company online")</f>
      </c>
    </row>
    <row r="268">
      <c r="A268" s="30" t="inlineStr">
        <is>
          <t>52902-73</t>
        </is>
      </c>
      <c r="B268" s="31" t="inlineStr">
        <is>
          <t>WorkWell</t>
        </is>
      </c>
      <c r="C268" s="32" t="inlineStr">
        <is>
          <t/>
        </is>
      </c>
      <c r="D268" s="33" t="n">
        <v>0.0</v>
      </c>
      <c r="E268" s="34" t="n">
        <v>0.03295747584620098</v>
      </c>
      <c r="F268" s="35" t="n">
        <v>42592.0</v>
      </c>
      <c r="G268" s="36" t="inlineStr">
        <is>
          <t>Later Stage VC</t>
        </is>
      </c>
      <c r="H268" s="37" t="inlineStr">
        <is>
          <t/>
        </is>
      </c>
      <c r="I268" s="38" t="inlineStr">
        <is>
          <t/>
        </is>
      </c>
      <c r="J268" s="39" t="inlineStr">
        <is>
          <t/>
        </is>
      </c>
      <c r="K268" s="40" t="inlineStr">
        <is>
          <t>Completed</t>
        </is>
      </c>
      <c r="L268" s="41" t="inlineStr">
        <is>
          <t>Privately Held (backing)</t>
        </is>
      </c>
      <c r="M268" s="42" t="inlineStr">
        <is>
          <t>Venture Capital-Backed</t>
        </is>
      </c>
      <c r="N268" s="43" t="inlineStr">
        <is>
          <t>The company raised an undisclosed amount of venture funding from Trinity Capital Investment on August 10, 2016. The company intends to use the funds to expand its services and national network of providers. Previously, the company received a $5.5 million venture loan from Trinity Capital Investment on September 29, 2015. Square 1 Bank also provided an undisclosed amount of senior debt to the company.</t>
        </is>
      </c>
      <c r="O268" s="44" t="inlineStr">
        <is>
          <t>Chrysalis Ventures, Trinity Capital Investment</t>
        </is>
      </c>
      <c r="P268" s="45" t="inlineStr">
        <is>
          <t/>
        </is>
      </c>
      <c r="Q268" s="46" t="inlineStr">
        <is>
          <t>Clinics/Outpatient Services</t>
        </is>
      </c>
      <c r="R268" s="47" t="inlineStr">
        <is>
          <t>Provider of radiology services management. The company offers health care diagnostic services for worker's compensation insurance, group health insurance, self-insured employers, third party administrators and other consumers.</t>
        </is>
      </c>
      <c r="S268" s="48" t="inlineStr">
        <is>
          <t>Duluth, MN</t>
        </is>
      </c>
      <c r="T268" s="49" t="inlineStr">
        <is>
          <t>www.workwellpreventionandcare.com</t>
        </is>
      </c>
      <c r="U268" s="132">
        <f>HYPERLINK("https://my.pitchbook.com?c=52902-73", "View company online")</f>
      </c>
    </row>
    <row r="269">
      <c r="A269" s="9" t="inlineStr">
        <is>
          <t>56145-88</t>
        </is>
      </c>
      <c r="B269" s="10" t="inlineStr">
        <is>
          <t>Workspot</t>
        </is>
      </c>
      <c r="C269" s="11" t="inlineStr">
        <is>
          <t/>
        </is>
      </c>
      <c r="D269" s="12" t="n">
        <v>0.857080599684596</v>
      </c>
      <c r="E269" s="13" t="n">
        <v>6.989731256680409</v>
      </c>
      <c r="F269" s="14" t="n">
        <v>42661.0</v>
      </c>
      <c r="G269" s="15" t="inlineStr">
        <is>
          <t>Early Stage VC</t>
        </is>
      </c>
      <c r="H269" s="16" t="inlineStr">
        <is>
          <t>Series B</t>
        </is>
      </c>
      <c r="I269" s="17" t="n">
        <v>6.2</v>
      </c>
      <c r="J269" s="18" t="n">
        <v>29.79</v>
      </c>
      <c r="K269" s="19" t="inlineStr">
        <is>
          <t>Completed</t>
        </is>
      </c>
      <c r="L269" s="20" t="inlineStr">
        <is>
          <t>Privately Held (backing)</t>
        </is>
      </c>
      <c r="M269" s="21" t="inlineStr">
        <is>
          <t>Venture Capital-Backed</t>
        </is>
      </c>
      <c r="N269" s="22" t="inlineStr">
        <is>
          <t>The company raised $6.2 million of Series B venture funding in a deal led by Presidio Ventures on October 18, 2016, putting the pre-money valuation at $23.6 million. Follow[the]Seed, WTI, Helion, TransLink Capital and Qualcomm Ventures also participated in the round. The company will use the funds to advance the company's technology and expand marketing initiatives.</t>
        </is>
      </c>
      <c r="O269" s="23" t="inlineStr">
        <is>
          <t>Cloud Capital Partners, Follow [the] Seed, Gaurav Garg, Helion Venture Partners, Ignition Venture Partners, Kleiner Perkins Caufield &amp; Byers, Norwest Venture Partners, Peter Wagner, Presidio Ventures, Qualcomm Ventures, Redpoint Ventures, TransLink Capital, Webb Investment Network, Wing Venture Partners, WTI</t>
        </is>
      </c>
      <c r="P269" s="24" t="inlineStr">
        <is>
          <t/>
        </is>
      </c>
      <c r="Q269" s="25" t="inlineStr">
        <is>
          <t>Business/Productivity Software</t>
        </is>
      </c>
      <c r="R269" s="26" t="inlineStr">
        <is>
          <t>Provider of enterprise mobility and remote access technology. The company's product allows users to securely transfer business data to any device - phone, tablet or personal computers.</t>
        </is>
      </c>
      <c r="S269" s="27" t="inlineStr">
        <is>
          <t>Cupertino, CA</t>
        </is>
      </c>
      <c r="T269" s="28" t="inlineStr">
        <is>
          <t>www.workspot.com</t>
        </is>
      </c>
      <c r="U269" s="131">
        <f>HYPERLINK("https://my.pitchbook.com?c=56145-88", "View company online")</f>
      </c>
    </row>
    <row r="270">
      <c r="A270" s="30" t="inlineStr">
        <is>
          <t>103751-92</t>
        </is>
      </c>
      <c r="B270" s="31" t="inlineStr">
        <is>
          <t>Workshop Cafe</t>
        </is>
      </c>
      <c r="C270" s="32" t="inlineStr">
        <is>
          <t/>
        </is>
      </c>
      <c r="D270" s="33" t="n">
        <v>-0.03989417537864853</v>
      </c>
      <c r="E270" s="34" t="n">
        <v>2.9735874994902263</v>
      </c>
      <c r="F270" s="35" t="n">
        <v>42332.0</v>
      </c>
      <c r="G270" s="36" t="inlineStr">
        <is>
          <t>Early Stage VC</t>
        </is>
      </c>
      <c r="H270" s="37" t="inlineStr">
        <is>
          <t/>
        </is>
      </c>
      <c r="I270" s="38" t="n">
        <v>2.5</v>
      </c>
      <c r="J270" s="39" t="n">
        <v>20.5</v>
      </c>
      <c r="K270" s="40" t="inlineStr">
        <is>
          <t>Completed</t>
        </is>
      </c>
      <c r="L270" s="41" t="inlineStr">
        <is>
          <t>Privately Held (backing)</t>
        </is>
      </c>
      <c r="M270" s="42" t="inlineStr">
        <is>
          <t>Venture Capital-Backed</t>
        </is>
      </c>
      <c r="N270" s="43" t="inlineStr">
        <is>
          <t>The company raised $2.5 million of venture funding from Servando Saavedra and CSC Venture Capital on November 24, 2015, putting the pre-money valuation at $18 million.</t>
        </is>
      </c>
      <c r="O270" s="44" t="inlineStr">
        <is>
          <t>Hone Capital, Pete Szymanski, Servando Saavedra</t>
        </is>
      </c>
      <c r="P270" s="45" t="inlineStr">
        <is>
          <t/>
        </is>
      </c>
      <c r="Q270" s="46" t="inlineStr">
        <is>
          <t>Restaurants and Bars</t>
        </is>
      </c>
      <c r="R270" s="47" t="inlineStr">
        <is>
          <t>Provider of leased working space designed to offer a healthy and productive lifestyle. The company's cafe offers a high-paced dynamic environment along with hand-crafted food, as well as a mobile application, enabling consumers to connect with other people in real-time.</t>
        </is>
      </c>
      <c r="S270" s="48" t="inlineStr">
        <is>
          <t>San Francisco, CA</t>
        </is>
      </c>
      <c r="T270" s="49" t="inlineStr">
        <is>
          <t>www.workshopcafe.com</t>
        </is>
      </c>
      <c r="U270" s="132">
        <f>HYPERLINK("https://my.pitchbook.com?c=103751-92", "View company online")</f>
      </c>
    </row>
    <row r="271">
      <c r="A271" s="9" t="inlineStr">
        <is>
          <t>172460-62</t>
        </is>
      </c>
      <c r="B271" s="10" t="inlineStr">
        <is>
          <t>WorkSeek.com</t>
        </is>
      </c>
      <c r="C271" s="97">
        <f>HYPERLINK("https://my.pitchbook.com?rrp=172460-62&amp;type=c", "This Company's information is not available to download. Need this Company? Request availability")</f>
      </c>
      <c r="D271" s="12" t="inlineStr">
        <is>
          <t/>
        </is>
      </c>
      <c r="E271" s="13" t="inlineStr">
        <is>
          <t/>
        </is>
      </c>
      <c r="F271" s="14" t="inlineStr">
        <is>
          <t/>
        </is>
      </c>
      <c r="G271" s="15" t="inlineStr">
        <is>
          <t/>
        </is>
      </c>
      <c r="H271" s="16" t="inlineStr">
        <is>
          <t/>
        </is>
      </c>
      <c r="I271" s="17" t="inlineStr">
        <is>
          <t/>
        </is>
      </c>
      <c r="J271" s="18" t="inlineStr">
        <is>
          <t/>
        </is>
      </c>
      <c r="K271" s="19" t="inlineStr">
        <is>
          <t/>
        </is>
      </c>
      <c r="L271" s="20" t="inlineStr">
        <is>
          <t/>
        </is>
      </c>
      <c r="M271" s="21" t="inlineStr">
        <is>
          <t/>
        </is>
      </c>
      <c r="N271" s="22" t="inlineStr">
        <is>
          <t/>
        </is>
      </c>
      <c r="O271" s="23" t="inlineStr">
        <is>
          <t/>
        </is>
      </c>
      <c r="P271" s="24" t="inlineStr">
        <is>
          <t/>
        </is>
      </c>
      <c r="Q271" s="25" t="inlineStr">
        <is>
          <t/>
        </is>
      </c>
      <c r="R271" s="26" t="inlineStr">
        <is>
          <t/>
        </is>
      </c>
      <c r="S271" s="27" t="inlineStr">
        <is>
          <t/>
        </is>
      </c>
      <c r="T271" s="28" t="inlineStr">
        <is>
          <t/>
        </is>
      </c>
      <c r="U271" s="29" t="inlineStr">
        <is>
          <t/>
        </is>
      </c>
    </row>
    <row r="272">
      <c r="A272" s="30" t="inlineStr">
        <is>
          <t>164355-31</t>
        </is>
      </c>
      <c r="B272" s="31" t="inlineStr">
        <is>
          <t>WorkRamp</t>
        </is>
      </c>
      <c r="C272" s="32" t="inlineStr">
        <is>
          <t/>
        </is>
      </c>
      <c r="D272" s="33" t="n">
        <v>0.05190597921855406</v>
      </c>
      <c r="E272" s="34" t="n">
        <v>2.874208664923477</v>
      </c>
      <c r="F272" s="35" t="n">
        <v>42739.0</v>
      </c>
      <c r="G272" s="36" t="inlineStr">
        <is>
          <t>Early Stage VC</t>
        </is>
      </c>
      <c r="H272" s="37" t="inlineStr">
        <is>
          <t/>
        </is>
      </c>
      <c r="I272" s="38" t="inlineStr">
        <is>
          <t/>
        </is>
      </c>
      <c r="J272" s="39" t="inlineStr">
        <is>
          <t/>
        </is>
      </c>
      <c r="K272" s="40" t="inlineStr">
        <is>
          <t>Completed</t>
        </is>
      </c>
      <c r="L272" s="41" t="inlineStr">
        <is>
          <t>Privately Held (backing)</t>
        </is>
      </c>
      <c r="M272" s="42" t="inlineStr">
        <is>
          <t>Venture Capital-Backed</t>
        </is>
      </c>
      <c r="N272" s="43" t="inlineStr">
        <is>
          <t>The company raised an undisclosed amount of venture funding from Slack Technologies on January 4, 2017. Previously, the company raised $1.8 million of seed funding in a deal led by Susa Ventures on December 1, 2016.</t>
        </is>
      </c>
      <c r="O272" s="44" t="inlineStr">
        <is>
          <t>Adrian Aoun, Charles Songhurst, Elad Gil, Haystack, Initialized Capital, Liquid 2 Ventures, Slack Technologies, Susa Ventures, Wei Guo, Y Combinator</t>
        </is>
      </c>
      <c r="P272" s="45" t="inlineStr">
        <is>
          <t/>
        </is>
      </c>
      <c r="Q272" s="46" t="inlineStr">
        <is>
          <t>Application Software</t>
        </is>
      </c>
      <c r="R272" s="47" t="inlineStr">
        <is>
          <t>Developer of an employee training software. The company provides an employee training platform with real-time analytics tools that allow managers to interact with team development data as well as enrich performance data with training insights to identify knowledge gaps and improve skill development.</t>
        </is>
      </c>
      <c r="S272" s="48" t="inlineStr">
        <is>
          <t>Menlo Park, CA</t>
        </is>
      </c>
      <c r="T272" s="49" t="inlineStr">
        <is>
          <t>www.workramp.com</t>
        </is>
      </c>
      <c r="U272" s="132">
        <f>HYPERLINK("https://my.pitchbook.com?c=164355-31", "View company online")</f>
      </c>
    </row>
    <row r="273">
      <c r="A273" s="9" t="inlineStr">
        <is>
          <t>164216-53</t>
        </is>
      </c>
      <c r="B273" s="10" t="inlineStr">
        <is>
          <t>WorkPuls</t>
        </is>
      </c>
      <c r="C273" s="11" t="inlineStr">
        <is>
          <t/>
        </is>
      </c>
      <c r="D273" s="12" t="n">
        <v>0.626791711641872</v>
      </c>
      <c r="E273" s="13" t="n">
        <v>1.077753063622629</v>
      </c>
      <c r="F273" s="14" t="n">
        <v>42600.0</v>
      </c>
      <c r="G273" s="15" t="inlineStr">
        <is>
          <t>Seed Round</t>
        </is>
      </c>
      <c r="H273" s="16" t="inlineStr">
        <is>
          <t>Seed</t>
        </is>
      </c>
      <c r="I273" s="17" t="n">
        <v>0.13</v>
      </c>
      <c r="J273" s="18" t="n">
        <v>0.87</v>
      </c>
      <c r="K273" s="19" t="inlineStr">
        <is>
          <t>Completed</t>
        </is>
      </c>
      <c r="L273" s="20" t="inlineStr">
        <is>
          <t>Privately Held (backing)</t>
        </is>
      </c>
      <c r="M273" s="21" t="inlineStr">
        <is>
          <t>Venture Capital-Backed</t>
        </is>
      </c>
      <c r="N273" s="22" t="inlineStr">
        <is>
          <t>The company raised an estimated $132,039 of seed funding from South Central (San Francisco) on August 18, 2016, putting the company's pre-money valuation at $738,360. The funding will be used by the company to grow the team and support the global expansion of the company.</t>
        </is>
      </c>
      <c r="O273" s="23" t="inlineStr">
        <is>
          <t>South Central Ventures, StartLabs (San Francisco)</t>
        </is>
      </c>
      <c r="P273" s="24" t="inlineStr">
        <is>
          <t/>
        </is>
      </c>
      <c r="Q273" s="25" t="inlineStr">
        <is>
          <t>Automation/Workflow Software</t>
        </is>
      </c>
      <c r="R273" s="26" t="inlineStr">
        <is>
          <t>Developer and provider of a productivity assessment technology. The company provides an automatic time tracking software for organizations. It monitors applications and websites which employees use, shows how they work and generates productivity reports.</t>
        </is>
      </c>
      <c r="S273" s="27" t="inlineStr">
        <is>
          <t>San Francisco, CA</t>
        </is>
      </c>
      <c r="T273" s="28" t="inlineStr">
        <is>
          <t>www.workpuls.com</t>
        </is>
      </c>
      <c r="U273" s="131">
        <f>HYPERLINK("https://my.pitchbook.com?c=164216-53", "View company online")</f>
      </c>
    </row>
    <row r="274">
      <c r="A274" s="30" t="inlineStr">
        <is>
          <t>97131-07</t>
        </is>
      </c>
      <c r="B274" s="31" t="inlineStr">
        <is>
          <t>Workpop</t>
        </is>
      </c>
      <c r="C274" s="32" t="inlineStr">
        <is>
          <t/>
        </is>
      </c>
      <c r="D274" s="33" t="n">
        <v>0.06801953929838812</v>
      </c>
      <c r="E274" s="34" t="n">
        <v>5.077569568726533</v>
      </c>
      <c r="F274" s="35" t="n">
        <v>42530.0</v>
      </c>
      <c r="G274" s="36" t="inlineStr">
        <is>
          <t>Early Stage VC</t>
        </is>
      </c>
      <c r="H274" s="37" t="inlineStr">
        <is>
          <t/>
        </is>
      </c>
      <c r="I274" s="38" t="inlineStr">
        <is>
          <t/>
        </is>
      </c>
      <c r="J274" s="39" t="inlineStr">
        <is>
          <t/>
        </is>
      </c>
      <c r="K274" s="40" t="inlineStr">
        <is>
          <t>Completed</t>
        </is>
      </c>
      <c r="L274" s="41" t="inlineStr">
        <is>
          <t>Privately Held (backing)</t>
        </is>
      </c>
      <c r="M274" s="42" t="inlineStr">
        <is>
          <t>Venture Capital-Backed</t>
        </is>
      </c>
      <c r="N274" s="43" t="inlineStr">
        <is>
          <t>The company raised an undisclosed amount of venture funding from Vectr Ventures in January 2016.</t>
        </is>
      </c>
      <c r="O274" s="44" t="inlineStr">
        <is>
          <t>Aaron Levie, Biz Stone, BoxGroup, Cornerstone OnDemand, Dave Morin, Dennis Phelps, Evan Williams, Ironfire Ventures, James Joaquin, James Pallotta, Joe Lonsdale, Kevin Colleran, Lee Linden, Michael Marchetti, Obvious Ventures, Plus Capital, Raptor Group, Slow Ventures, SV Angel, Trinity Ventures, Vectr Ventures</t>
        </is>
      </c>
      <c r="P274" s="45" t="inlineStr">
        <is>
          <t/>
        </is>
      </c>
      <c r="Q274" s="46" t="inlineStr">
        <is>
          <t>Social/Platform Software</t>
        </is>
      </c>
      <c r="R274" s="47" t="inlineStr">
        <is>
          <t>Provider of a online platform for searching jobs. The company offers an online marketplace that enable recruiters to create job listings by filling out requirements, job descriptions and information about the workplace.</t>
        </is>
      </c>
      <c r="S274" s="48" t="inlineStr">
        <is>
          <t>Santa Monica, CA</t>
        </is>
      </c>
      <c r="T274" s="49" t="inlineStr">
        <is>
          <t>www.workpop.com</t>
        </is>
      </c>
      <c r="U274" s="132">
        <f>HYPERLINK("https://my.pitchbook.com?c=97131-07", "View company online")</f>
      </c>
    </row>
    <row r="275">
      <c r="A275" s="9" t="inlineStr">
        <is>
          <t>128454-76</t>
        </is>
      </c>
      <c r="B275" s="10" t="inlineStr">
        <is>
          <t>Workit Health</t>
        </is>
      </c>
      <c r="C275" s="11" t="inlineStr">
        <is>
          <t/>
        </is>
      </c>
      <c r="D275" s="12" t="n">
        <v>1.0040695597605998</v>
      </c>
      <c r="E275" s="13" t="n">
        <v>2.5971905530122186</v>
      </c>
      <c r="F275" s="14" t="n">
        <v>42702.0</v>
      </c>
      <c r="G275" s="15" t="inlineStr">
        <is>
          <t>Seed Round</t>
        </is>
      </c>
      <c r="H275" s="16" t="inlineStr">
        <is>
          <t>Seed</t>
        </is>
      </c>
      <c r="I275" s="17" t="n">
        <v>2.0</v>
      </c>
      <c r="J275" s="18" t="inlineStr">
        <is>
          <t/>
        </is>
      </c>
      <c r="K275" s="19" t="inlineStr">
        <is>
          <t>Announced/In Progress</t>
        </is>
      </c>
      <c r="L275" s="20" t="inlineStr">
        <is>
          <t>Privately Held (backing)</t>
        </is>
      </c>
      <c r="M275" s="21" t="inlineStr">
        <is>
          <t>Venture Capital-Backed</t>
        </is>
      </c>
      <c r="N275" s="22" t="inlineStr">
        <is>
          <t>The company is in the process of raising $2 million of seed funding in the form of convertible debt from Montage Ventures and other undisclosed investors on November 28, 2016. Previously, the company participated in the Accelerate Michigan Innovation Competition and received $25,000 of prize money on November 4, 2016. The company is being actively being tracked by PitchBook.</t>
        </is>
      </c>
      <c r="O275" s="23" t="inlineStr">
        <is>
          <t>Accelerate Michigan Innovation Competition, Ann Arbor SPARK, Impact Engine, Invest Detroit Ventures, Lux Capital, Montage Ventures, National Science Foundation, Seamless Accelerator, Wakestream Ventures</t>
        </is>
      </c>
      <c r="P275" s="24" t="inlineStr">
        <is>
          <t/>
        </is>
      </c>
      <c r="Q275" s="25" t="inlineStr">
        <is>
          <t>Application Software</t>
        </is>
      </c>
      <c r="R275" s="26" t="inlineStr">
        <is>
          <t>Developer of mobile recovery tools for substance abuse disorders designed to deliver treatment to people who are unwilling or unable to access conventional analog services. The company's mobile application software offers engaging programs to help people overcome addictive behaviors and to provide support to the loved ones of individuals struggling with these behaviors.</t>
        </is>
      </c>
      <c r="S275" s="27" t="inlineStr">
        <is>
          <t>Ann Arbor, MI</t>
        </is>
      </c>
      <c r="T275" s="28" t="inlineStr">
        <is>
          <t>www.workithealth.com</t>
        </is>
      </c>
      <c r="U275" s="131">
        <f>HYPERLINK("https://my.pitchbook.com?c=128454-76", "View company online")</f>
      </c>
    </row>
    <row r="276">
      <c r="A276" s="30" t="inlineStr">
        <is>
          <t>103730-14</t>
        </is>
      </c>
      <c r="B276" s="31" t="inlineStr">
        <is>
          <t>WorkingGroupLink</t>
        </is>
      </c>
      <c r="C276" s="32" t="inlineStr">
        <is>
          <t/>
        </is>
      </c>
      <c r="D276" s="33" t="n">
        <v>0.0</v>
      </c>
      <c r="E276" s="34" t="n">
        <v>0.1891891891891892</v>
      </c>
      <c r="F276" s="35" t="n">
        <v>42634.0</v>
      </c>
      <c r="G276" s="36" t="inlineStr">
        <is>
          <t>Seed Round</t>
        </is>
      </c>
      <c r="H276" s="37" t="inlineStr">
        <is>
          <t>Seed</t>
        </is>
      </c>
      <c r="I276" s="38" t="n">
        <v>1.0</v>
      </c>
      <c r="J276" s="39" t="inlineStr">
        <is>
          <t/>
        </is>
      </c>
      <c r="K276" s="40" t="inlineStr">
        <is>
          <t>Completed</t>
        </is>
      </c>
      <c r="L276" s="41" t="inlineStr">
        <is>
          <t>Privately Held (backing)</t>
        </is>
      </c>
      <c r="M276" s="42" t="inlineStr">
        <is>
          <t>Venture Capital-Backed</t>
        </is>
      </c>
      <c r="N276" s="43" t="inlineStr">
        <is>
          <t>The company raised $1 million in seed funding led by Inspiration Ventures on September 20, 2016. The investment will help the company to expand its engineering, customer success and customer support operations to aid a growing base of customers in the global investment banking industry.</t>
        </is>
      </c>
      <c r="O276" s="44" t="inlineStr">
        <is>
          <t>Acceleprise, Inspiration Ventures, Landscape Capital Management, Right Side Capital Management, Tihan Seale</t>
        </is>
      </c>
      <c r="P276" s="45" t="inlineStr">
        <is>
          <t/>
        </is>
      </c>
      <c r="Q276" s="46" t="inlineStr">
        <is>
          <t>Financial Software</t>
        </is>
      </c>
      <c r="R276" s="47" t="inlineStr">
        <is>
          <t>Provider of a vertical-specific collaboration tool to the global corporate and investment banking industry. Company has a SaaS application that allows professionals executing capital markets and M&amp;A transactions to work more efficiently and accurately, make themselves more available to their clients, and differentiate themselves from competitors.</t>
        </is>
      </c>
      <c r="S276" s="48" t="inlineStr">
        <is>
          <t>San Mateo, CA</t>
        </is>
      </c>
      <c r="T276" s="49" t="inlineStr">
        <is>
          <t>www.workinggrouplink.com</t>
        </is>
      </c>
      <c r="U276" s="132">
        <f>HYPERLINK("https://my.pitchbook.com?c=103730-14", "View company online")</f>
      </c>
    </row>
    <row r="277">
      <c r="A277" s="9" t="inlineStr">
        <is>
          <t>179964-55</t>
        </is>
      </c>
      <c r="B277" s="10" t="inlineStr">
        <is>
          <t>Workhood</t>
        </is>
      </c>
      <c r="C277" s="11" t="inlineStr">
        <is>
          <t/>
        </is>
      </c>
      <c r="D277" s="12" t="n">
        <v>0.0</v>
      </c>
      <c r="E277" s="13" t="n">
        <v>0.0718048557031608</v>
      </c>
      <c r="F277" s="14" t="inlineStr">
        <is>
          <t/>
        </is>
      </c>
      <c r="G277" s="15" t="inlineStr">
        <is>
          <t>Seed Round</t>
        </is>
      </c>
      <c r="H277" s="16" t="inlineStr">
        <is>
          <t>Seed</t>
        </is>
      </c>
      <c r="I277" s="17" t="inlineStr">
        <is>
          <t/>
        </is>
      </c>
      <c r="J277" s="18" t="inlineStr">
        <is>
          <t/>
        </is>
      </c>
      <c r="K277" s="19" t="inlineStr">
        <is>
          <t>Completed</t>
        </is>
      </c>
      <c r="L277" s="20" t="inlineStr">
        <is>
          <t>Privately Held (backing)</t>
        </is>
      </c>
      <c r="M277" s="21" t="inlineStr">
        <is>
          <t>Venture Capital-Backed</t>
        </is>
      </c>
      <c r="N277" s="22" t="inlineStr">
        <is>
          <t>The company raised an undisclosed amount of seed funding from Precursor Ventures.</t>
        </is>
      </c>
      <c r="O277" s="23" t="inlineStr">
        <is>
          <t>Precursor Ventures</t>
        </is>
      </c>
      <c r="P277" s="24" t="inlineStr">
        <is>
          <t/>
        </is>
      </c>
      <c r="Q277" s="25" t="inlineStr">
        <is>
          <t>Social/Platform Software</t>
        </is>
      </c>
      <c r="R277" s="26" t="inlineStr">
        <is>
          <t>Developer of location-based social network designed to make it easier for users to connect with the people working around them. The company's social network Workhood, offers each other local insight and up-to-date information specific to user's shared area, enabling users to see on their news feed information relevant to the community from restaurant suggestions and traffic updates to outsourcing recommendations for the office.</t>
        </is>
      </c>
      <c r="S277" s="27" t="inlineStr">
        <is>
          <t>Palo Alto, CA</t>
        </is>
      </c>
      <c r="T277" s="28" t="inlineStr">
        <is>
          <t>www.workhood.com</t>
        </is>
      </c>
      <c r="U277" s="131">
        <f>HYPERLINK("https://my.pitchbook.com?c=179964-55", "View company online")</f>
      </c>
    </row>
    <row r="278">
      <c r="A278" s="30" t="inlineStr">
        <is>
          <t>103651-21</t>
        </is>
      </c>
      <c r="B278" s="31" t="inlineStr">
        <is>
          <t>WorkHands</t>
        </is>
      </c>
      <c r="C278" s="32" t="inlineStr">
        <is>
          <t/>
        </is>
      </c>
      <c r="D278" s="33" t="n">
        <v>-0.4552270293725131</v>
      </c>
      <c r="E278" s="34" t="n">
        <v>11.809690256632038</v>
      </c>
      <c r="F278" s="35" t="n">
        <v>42038.0</v>
      </c>
      <c r="G278" s="36" t="inlineStr">
        <is>
          <t>Early Stage VC</t>
        </is>
      </c>
      <c r="H278" s="37" t="inlineStr">
        <is>
          <t/>
        </is>
      </c>
      <c r="I278" s="38" t="inlineStr">
        <is>
          <t/>
        </is>
      </c>
      <c r="J278" s="39" t="inlineStr">
        <is>
          <t/>
        </is>
      </c>
      <c r="K278" s="40" t="inlineStr">
        <is>
          <t>Completed</t>
        </is>
      </c>
      <c r="L278" s="41" t="inlineStr">
        <is>
          <t>Privately Held (backing)</t>
        </is>
      </c>
      <c r="M278" s="42" t="inlineStr">
        <is>
          <t>Venture Capital-Backed</t>
        </is>
      </c>
      <c r="N278" s="43" t="inlineStr">
        <is>
          <t>The company raised an undisclosed amount of venture funding from Steelhead Ventures on February 3, 2015. Previously the company raised an undisclosed amount of angel funding from Patrick Jones and Sean Byrnes on January 22, 2015 and the company joined Alchemist Accelerator as part of the Class 8 on January 22, 2015 and received $0.25 million of seed capital from Lowe's Ventures and Alchemist Accelerator on November 14, 2014. Moreover, the company also raised an undisclosed amount of angel funding from Patrick Jones, again on June 5, 2014.</t>
        </is>
      </c>
      <c r="O278" s="44" t="inlineStr">
        <is>
          <t>Alchemist Accelerator, Deciens Capital, Lawrence Goode, Lowe's Ventures, Patrick Jones, Sean Byrnes, Steelhead Ventures, Tumml</t>
        </is>
      </c>
      <c r="P278" s="45" t="inlineStr">
        <is>
          <t/>
        </is>
      </c>
      <c r="Q278" s="46" t="inlineStr">
        <is>
          <t>Human Capital Services</t>
        </is>
      </c>
      <c r="R278" s="47" t="inlineStr">
        <is>
          <t>Provider of an online social platform for skilled trades workers. The company offers blue collar jobs that makes it easier to showcase the skills and find work in the market through online portal.</t>
        </is>
      </c>
      <c r="S278" s="48" t="inlineStr">
        <is>
          <t>San Francisco, CA</t>
        </is>
      </c>
      <c r="T278" s="49" t="inlineStr">
        <is>
          <t>www.workhands.us</t>
        </is>
      </c>
      <c r="U278" s="132">
        <f>HYPERLINK("https://my.pitchbook.com?c=103651-21", "View company online")</f>
      </c>
    </row>
    <row r="279">
      <c r="A279" s="9" t="inlineStr">
        <is>
          <t>61712-47</t>
        </is>
      </c>
      <c r="B279" s="10" t="inlineStr">
        <is>
          <t>WorkFlowy</t>
        </is>
      </c>
      <c r="C279" s="11" t="inlineStr">
        <is>
          <t/>
        </is>
      </c>
      <c r="D279" s="12" t="n">
        <v>-0.16059537451738604</v>
      </c>
      <c r="E279" s="13" t="n">
        <v>15.596370907701047</v>
      </c>
      <c r="F279" s="14" t="inlineStr">
        <is>
          <t/>
        </is>
      </c>
      <c r="G279" s="15" t="inlineStr">
        <is>
          <t>Early Stage VC</t>
        </is>
      </c>
      <c r="H279" s="16" t="inlineStr">
        <is>
          <t/>
        </is>
      </c>
      <c r="I279" s="17" t="inlineStr">
        <is>
          <t/>
        </is>
      </c>
      <c r="J279" s="18" t="inlineStr">
        <is>
          <t/>
        </is>
      </c>
      <c r="K279" s="19" t="inlineStr">
        <is>
          <t>Completed</t>
        </is>
      </c>
      <c r="L279" s="20" t="inlineStr">
        <is>
          <t>Privately Held (backing)</t>
        </is>
      </c>
      <c r="M279" s="21" t="inlineStr">
        <is>
          <t>Venture Capital-Backed</t>
        </is>
      </c>
      <c r="N279" s="22" t="inlineStr">
        <is>
          <t>The company raised venture funding from New Ground Ventures on an undisclosed date.</t>
        </is>
      </c>
      <c r="O279" s="23" t="inlineStr">
        <is>
          <t>New Ground Ventures, Y Combinator</t>
        </is>
      </c>
      <c r="P279" s="24" t="inlineStr">
        <is>
          <t/>
        </is>
      </c>
      <c r="Q279" s="25" t="inlineStr">
        <is>
          <t>Automation/Workflow Software</t>
        </is>
      </c>
      <c r="R279" s="26" t="inlineStr">
        <is>
          <t>Developer of a Web-based application designed to manage daily workflows of people. The company's Web-based application uses a powerful interface to organize activities such as daily work, team projects, research papers and journals, enabling users to organize their personal work and collaborate with others.</t>
        </is>
      </c>
      <c r="S279" s="27" t="inlineStr">
        <is>
          <t>San Francisco, CA</t>
        </is>
      </c>
      <c r="T279" s="28" t="inlineStr">
        <is>
          <t>www.workflowy.com</t>
        </is>
      </c>
      <c r="U279" s="131">
        <f>HYPERLINK("https://my.pitchbook.com?c=61712-47", "View company online")</f>
      </c>
    </row>
    <row r="280">
      <c r="A280" s="30" t="inlineStr">
        <is>
          <t>170959-51</t>
        </is>
      </c>
      <c r="B280" s="31" t="inlineStr">
        <is>
          <t>Workfit</t>
        </is>
      </c>
      <c r="C280" s="32" t="inlineStr">
        <is>
          <t/>
        </is>
      </c>
      <c r="D280" s="33" t="n">
        <v>0.8984958619435222</v>
      </c>
      <c r="E280" s="34" t="n">
        <v>1.6532274615915</v>
      </c>
      <c r="F280" s="35" t="n">
        <v>42793.0</v>
      </c>
      <c r="G280" s="36" t="inlineStr">
        <is>
          <t>Seed Round</t>
        </is>
      </c>
      <c r="H280" s="37" t="inlineStr">
        <is>
          <t>Seed</t>
        </is>
      </c>
      <c r="I280" s="38" t="n">
        <v>5.5</v>
      </c>
      <c r="J280" s="39" t="inlineStr">
        <is>
          <t/>
        </is>
      </c>
      <c r="K280" s="40" t="inlineStr">
        <is>
          <t>Completed</t>
        </is>
      </c>
      <c r="L280" s="41" t="inlineStr">
        <is>
          <t>Privately Held (backing)</t>
        </is>
      </c>
      <c r="M280" s="42" t="inlineStr">
        <is>
          <t>Venture Capital-Backed</t>
        </is>
      </c>
      <c r="N280" s="43" t="inlineStr">
        <is>
          <t>The company raised $5.5 million of seed funding from Battery Ventures, Greycroft Partners and Salesforce Ventures on February 27, 2017. Other undisclosed angel investors also participated in the round. The funds will be used to grow the team and roll out its inaugural products this spring.</t>
        </is>
      </c>
      <c r="O280" s="44" t="inlineStr">
        <is>
          <t>Battery Ventures, Greycroft Partners, Salesforce Ventures</t>
        </is>
      </c>
      <c r="P280" s="45" t="inlineStr">
        <is>
          <t/>
        </is>
      </c>
      <c r="Q280" s="46" t="inlineStr">
        <is>
          <t>Business/Productivity Software</t>
        </is>
      </c>
      <c r="R280" s="47" t="inlineStr">
        <is>
          <t>Developer of enterprise voice assistant created to transform how business users interact with company systems, and bridge the gap between complex workflows and simple voice interactions. The company's enterprise voice assistant, Eva, is an intelligent meeting facilitator that helps people have more productive meetings by making meetings searchable, taking note of decisions, and encouraging follow-up on action-items, take note of important decisions, and highlight key moments of a call by leveraging a blend of artificial intelligence and speech recognition, enabling, professionals to facilitate meetings and be efficient, effective and creative.</t>
        </is>
      </c>
      <c r="S280" s="48" t="inlineStr">
        <is>
          <t>Menlo Park, CA</t>
        </is>
      </c>
      <c r="T280" s="49" t="inlineStr">
        <is>
          <t>www.workfit.com</t>
        </is>
      </c>
      <c r="U280" s="132">
        <f>HYPERLINK("https://my.pitchbook.com?c=170959-51", "View company online")</f>
      </c>
    </row>
    <row r="281">
      <c r="A281" s="9" t="inlineStr">
        <is>
          <t>61664-77</t>
        </is>
      </c>
      <c r="B281" s="10" t="inlineStr">
        <is>
          <t>Workboard</t>
        </is>
      </c>
      <c r="C281" s="11" t="inlineStr">
        <is>
          <t/>
        </is>
      </c>
      <c r="D281" s="12" t="n">
        <v>0.8241681807396279</v>
      </c>
      <c r="E281" s="13" t="n">
        <v>10.264377449878555</v>
      </c>
      <c r="F281" s="14" t="n">
        <v>41695.0</v>
      </c>
      <c r="G281" s="15" t="inlineStr">
        <is>
          <t>Early Stage VC</t>
        </is>
      </c>
      <c r="H281" s="16" t="inlineStr">
        <is>
          <t>Series A</t>
        </is>
      </c>
      <c r="I281" s="17" t="n">
        <v>2.75</v>
      </c>
      <c r="J281" s="18" t="inlineStr">
        <is>
          <t/>
        </is>
      </c>
      <c r="K281" s="19" t="inlineStr">
        <is>
          <t>Completed</t>
        </is>
      </c>
      <c r="L281" s="20" t="inlineStr">
        <is>
          <t>Privately Held (backing)</t>
        </is>
      </c>
      <c r="M281" s="21" t="inlineStr">
        <is>
          <t>Venture Capital-Backed</t>
        </is>
      </c>
      <c r="N281" s="22" t="inlineStr">
        <is>
          <t>The company raised $2.75 million of Series A venture funding in a deal led by Granite Ventures and Opus Capital on February 25, 2014. Shea Ventures and Crosslink Capital also participated in this round. The company will use the capital to accelerate product development and grow its customer base.</t>
        </is>
      </c>
      <c r="O281" s="23" t="inlineStr">
        <is>
          <t>Crosslink Capital, Granite Ventures, Opus Capital, Shea Ventures</t>
        </is>
      </c>
      <c r="P281" s="24" t="inlineStr">
        <is>
          <t/>
        </is>
      </c>
      <c r="Q281" s="25" t="inlineStr">
        <is>
          <t>Business/Productivity Software</t>
        </is>
      </c>
      <c r="R281" s="26" t="inlineStr">
        <is>
          <t>Provider of an execution intelligence application for enterprise managers. The company offers real-time goal management services that allow leaders and teams to operate efficiently and achieve goals.</t>
        </is>
      </c>
      <c r="S281" s="27" t="inlineStr">
        <is>
          <t/>
        </is>
      </c>
      <c r="T281" s="28" t="inlineStr">
        <is>
          <t>www.workboard.com</t>
        </is>
      </c>
      <c r="U281" s="131">
        <f>HYPERLINK("https://my.pitchbook.com?c=61664-77", "View company online")</f>
      </c>
    </row>
    <row r="282">
      <c r="A282" s="30" t="inlineStr">
        <is>
          <t>104504-05</t>
        </is>
      </c>
      <c r="B282" s="31" t="inlineStr">
        <is>
          <t>Workato</t>
        </is>
      </c>
      <c r="C282" s="32" t="inlineStr">
        <is>
          <t/>
        </is>
      </c>
      <c r="D282" s="33" t="n">
        <v>0.8991852610275977</v>
      </c>
      <c r="E282" s="34" t="n">
        <v>5.3896084841552785</v>
      </c>
      <c r="F282" s="35" t="n">
        <v>42775.0</v>
      </c>
      <c r="G282" s="36" t="inlineStr">
        <is>
          <t>Early Stage VC</t>
        </is>
      </c>
      <c r="H282" s="37" t="inlineStr">
        <is>
          <t>Series A</t>
        </is>
      </c>
      <c r="I282" s="38" t="n">
        <v>5.97</v>
      </c>
      <c r="J282" s="39" t="n">
        <v>39.8</v>
      </c>
      <c r="K282" s="40" t="inlineStr">
        <is>
          <t>Completed</t>
        </is>
      </c>
      <c r="L282" s="41" t="inlineStr">
        <is>
          <t>Privately Held (backing)</t>
        </is>
      </c>
      <c r="M282" s="42" t="inlineStr">
        <is>
          <t>Venture Capital-Backed</t>
        </is>
      </c>
      <c r="N282" s="43" t="inlineStr">
        <is>
          <t>The company raised $5.97 million of Series A venture funding from Storm Ventures on February 9, 2017, putting the pre-money valuation at $33.83 million. Previously, the company raised $6.2 million of seed venture funding from Anshu Sharma, Bhaskar Roy and Rishi Mallik on December 29, 2015, putting the pre-money valuation at $15 million.</t>
        </is>
      </c>
      <c r="O282" s="44" t="inlineStr">
        <is>
          <t>Anshu Sharma, Bhaskar Roy, Rishi Mallik, Storm Ventures</t>
        </is>
      </c>
      <c r="P282" s="45" t="inlineStr">
        <is>
          <t/>
        </is>
      </c>
      <c r="Q282" s="46" t="inlineStr">
        <is>
          <t>Automation/Workflow Software</t>
        </is>
      </c>
      <c r="R282" s="47" t="inlineStr">
        <is>
          <t>Developer of an integration platform designed to automate businesses. The company's Workato platform is a cloud application integration platform that enables users to connect multiple applications and automate their work, enabling businesses to connect their cloud based apps.</t>
        </is>
      </c>
      <c r="S282" s="48" t="inlineStr">
        <is>
          <t>Cupertino, CA</t>
        </is>
      </c>
      <c r="T282" s="49" t="inlineStr">
        <is>
          <t>www.workato.com</t>
        </is>
      </c>
      <c r="U282" s="132">
        <f>HYPERLINK("https://my.pitchbook.com?c=104504-05", "View company online")</f>
      </c>
    </row>
    <row r="283">
      <c r="A283" s="9" t="inlineStr">
        <is>
          <t>56244-97</t>
        </is>
      </c>
      <c r="B283" s="10" t="inlineStr">
        <is>
          <t>Workable</t>
        </is>
      </c>
      <c r="C283" s="11" t="inlineStr">
        <is>
          <t/>
        </is>
      </c>
      <c r="D283" s="12" t="n">
        <v>1.6007329977401736</v>
      </c>
      <c r="E283" s="13" t="n">
        <v>24.541914203391727</v>
      </c>
      <c r="F283" s="14" t="n">
        <v>42277.0</v>
      </c>
      <c r="G283" s="15" t="inlineStr">
        <is>
          <t>Early Stage VC</t>
        </is>
      </c>
      <c r="H283" s="16" t="inlineStr">
        <is>
          <t>Series B</t>
        </is>
      </c>
      <c r="I283" s="17" t="n">
        <v>27.0</v>
      </c>
      <c r="J283" s="18" t="inlineStr">
        <is>
          <t/>
        </is>
      </c>
      <c r="K283" s="19" t="inlineStr">
        <is>
          <t>Completed</t>
        </is>
      </c>
      <c r="L283" s="20" t="inlineStr">
        <is>
          <t>Privately Held (backing)</t>
        </is>
      </c>
      <c r="M283" s="21" t="inlineStr">
        <is>
          <t>Venture Capital-Backed</t>
        </is>
      </c>
      <c r="N283" s="22" t="inlineStr">
        <is>
          <t>The company raised $27 million of Series B venture funding in a deal led by Balderton Capital on September 30, 2015. Notion Capital and 83North also participated in the round. The company will use the funding for business expansion. Previously, the company raised $5 million of venture funding from 83North and Openfund on February 26, 2015.</t>
        </is>
      </c>
      <c r="O283" s="23" t="inlineStr">
        <is>
          <t>83North, Alexis Pantazis, Balderton Capital, Chrysanthos Chrysanthou, Dimitris Vranopoulos, Marco Veremis, Notion Capital, OpenFund</t>
        </is>
      </c>
      <c r="P283" s="24" t="inlineStr">
        <is>
          <t/>
        </is>
      </c>
      <c r="Q283" s="25" t="inlineStr">
        <is>
          <t>Application Software</t>
        </is>
      </c>
      <c r="R283" s="26" t="inlineStr">
        <is>
          <t>Provider of recruiting software designed to streamline the hiring process. The company's recruiting software has single-submission posting to all the important job boards that makes it easy to browse, enabling candidates to keep track of new jobs as soon as they are notified.</t>
        </is>
      </c>
      <c r="S283" s="27" t="inlineStr">
        <is>
          <t>London, United Kingdom</t>
        </is>
      </c>
      <c r="T283" s="28" t="inlineStr">
        <is>
          <t>www.workable.com</t>
        </is>
      </c>
      <c r="U283" s="131">
        <f>HYPERLINK("https://my.pitchbook.com?c=56244-97", "View company online")</f>
      </c>
    </row>
    <row r="284">
      <c r="A284" s="30" t="inlineStr">
        <is>
          <t>55203-76</t>
        </is>
      </c>
      <c r="B284" s="31" t="inlineStr">
        <is>
          <t>Work4 Labs</t>
        </is>
      </c>
      <c r="C284" s="32" t="inlineStr">
        <is>
          <t/>
        </is>
      </c>
      <c r="D284" s="33" t="n">
        <v>0.5964845491056324</v>
      </c>
      <c r="E284" s="34" t="n">
        <v>15.025024919645405</v>
      </c>
      <c r="F284" s="35" t="n">
        <v>41746.0</v>
      </c>
      <c r="G284" s="36" t="inlineStr">
        <is>
          <t>Early Stage VC</t>
        </is>
      </c>
      <c r="H284" s="37" t="inlineStr">
        <is>
          <t>Series B</t>
        </is>
      </c>
      <c r="I284" s="38" t="n">
        <v>7.0</v>
      </c>
      <c r="J284" s="39" t="inlineStr">
        <is>
          <t/>
        </is>
      </c>
      <c r="K284" s="40" t="inlineStr">
        <is>
          <t>Completed</t>
        </is>
      </c>
      <c r="L284" s="41" t="inlineStr">
        <is>
          <t>Privately Held (backing)</t>
        </is>
      </c>
      <c r="M284" s="42" t="inlineStr">
        <is>
          <t>Venture Capital-Backed</t>
        </is>
      </c>
      <c r="N284" s="43" t="inlineStr">
        <is>
          <t>The company raised an undisclosed amount of convertible debt financing from Serena Capital and Matrix Partners on December 15, 2014. Previously the company raised $7 million of Series B venture funding in a deal led by Serena Capital on April 17, 2014. Matrix Partners and Pinnacle Ventures also participated in the round.</t>
        </is>
      </c>
      <c r="O284" s="44" t="inlineStr">
        <is>
          <t>Clara Shih, Matrix Partners, Pinnacle Ventures, Serena Capital, Steve Pogorzelski, Yuri Milner</t>
        </is>
      </c>
      <c r="P284" s="45" t="inlineStr">
        <is>
          <t/>
        </is>
      </c>
      <c r="Q284" s="46" t="inlineStr">
        <is>
          <t>Social/Platform Software</t>
        </is>
      </c>
      <c r="R284" s="47" t="inlineStr">
        <is>
          <t>Developer of recruiting tools for social networking sites. The company's technology transforms social networks into a source of quality talent, enabling enterprises to extend their employer brands, drive referrals organically and target specific profiles.</t>
        </is>
      </c>
      <c r="S284" s="48" t="inlineStr">
        <is>
          <t>San Francisco, CA</t>
        </is>
      </c>
      <c r="T284" s="49" t="inlineStr">
        <is>
          <t>www.work4labs.com</t>
        </is>
      </c>
      <c r="U284" s="132">
        <f>HYPERLINK("https://my.pitchbook.com?c=55203-76", "View company online")</f>
      </c>
    </row>
    <row r="285">
      <c r="A285" s="9" t="inlineStr">
        <is>
          <t>114429-07</t>
        </is>
      </c>
      <c r="B285" s="10" t="inlineStr">
        <is>
          <t>Work Truck Solutions</t>
        </is>
      </c>
      <c r="C285" s="11" t="inlineStr">
        <is>
          <t/>
        </is>
      </c>
      <c r="D285" s="12" t="n">
        <v>0.0</v>
      </c>
      <c r="E285" s="13" t="n">
        <v>0.7152236982745457</v>
      </c>
      <c r="F285" s="14" t="n">
        <v>42881.0</v>
      </c>
      <c r="G285" s="15" t="inlineStr">
        <is>
          <t>Early Stage VC</t>
        </is>
      </c>
      <c r="H285" s="16" t="inlineStr">
        <is>
          <t>Series B</t>
        </is>
      </c>
      <c r="I285" s="17" t="n">
        <v>4.44</v>
      </c>
      <c r="J285" s="18" t="n">
        <v>19.44</v>
      </c>
      <c r="K285" s="19" t="inlineStr">
        <is>
          <t>Completed</t>
        </is>
      </c>
      <c r="L285" s="20" t="inlineStr">
        <is>
          <t>Privately Held (backing)</t>
        </is>
      </c>
      <c r="M285" s="21" t="inlineStr">
        <is>
          <t>Venture Capital-Backed</t>
        </is>
      </c>
      <c r="N285" s="22" t="inlineStr">
        <is>
          <t>The company raised $4.44 million of Series B funding from undisclosed investors on May 26, 2017, putting the pre-money valuation at $15 million.</t>
        </is>
      </c>
      <c r="O285" s="23" t="inlineStr">
        <is>
          <t>Alicia Syrett, BELLE Michigan, Chicostart, Dustin Weirich, Golden Seeds, Moneta Ventures, Sacramento Angels, Supply Chain Ventures, Wakestream Ventures</t>
        </is>
      </c>
      <c r="P285" s="24" t="inlineStr">
        <is>
          <t/>
        </is>
      </c>
      <c r="Q285" s="25" t="inlineStr">
        <is>
          <t>Business/Productivity Software</t>
        </is>
      </c>
      <c r="R285" s="26" t="inlineStr">
        <is>
          <t>Provider of an online truck inventory platform designed for displaying and reporting on commercial truck inventory. The company's online truck inventory platform partners with OEM's, body manufacturers, distributors and commercial dealers in an effort to streamline the process of getting the right commercial vehicle to the end buyer in the most effective and efficient manner, enabling potential buyers to search for trucks by upfit and vocation, provides a trade network for commercial dealers subscribing to its SaaS products and also provides inventory data to the commercial truck industry.</t>
        </is>
      </c>
      <c r="S285" s="27" t="inlineStr">
        <is>
          <t>Chico, CA</t>
        </is>
      </c>
      <c r="T285" s="28" t="inlineStr">
        <is>
          <t>www.worktrucksolutions.com</t>
        </is>
      </c>
      <c r="U285" s="131">
        <f>HYPERLINK("https://my.pitchbook.com?c=114429-07", "View company online")</f>
      </c>
    </row>
    <row r="286">
      <c r="A286" s="30" t="inlineStr">
        <is>
          <t>52386-94</t>
        </is>
      </c>
      <c r="B286" s="31" t="inlineStr">
        <is>
          <t>WordWatch</t>
        </is>
      </c>
      <c r="C286" s="32" t="inlineStr">
        <is>
          <t/>
        </is>
      </c>
      <c r="D286" s="33" t="n">
        <v>0.0311091272942473</v>
      </c>
      <c r="E286" s="34" t="n">
        <v>4.679101996511724</v>
      </c>
      <c r="F286" s="35" t="n">
        <v>40738.0</v>
      </c>
      <c r="G286" s="36" t="inlineStr">
        <is>
          <t>Early Stage VC</t>
        </is>
      </c>
      <c r="H286" s="37" t="inlineStr">
        <is>
          <t>Series A</t>
        </is>
      </c>
      <c r="I286" s="38" t="n">
        <v>1.4</v>
      </c>
      <c r="J286" s="39" t="inlineStr">
        <is>
          <t/>
        </is>
      </c>
      <c r="K286" s="40" t="inlineStr">
        <is>
          <t>Completed</t>
        </is>
      </c>
      <c r="L286" s="41" t="inlineStr">
        <is>
          <t>Privately Held (backing)</t>
        </is>
      </c>
      <c r="M286" s="42" t="inlineStr">
        <is>
          <t>Venture Capital-Backed</t>
        </is>
      </c>
      <c r="N286" s="43" t="inlineStr">
        <is>
          <t>The company raised $1.4 million of Series A venture funding from Credo Ventures on July 14, 2011. The company will use the funds to execute a growth plan for marketing and sales, as well as further expanding its algorithm and technology base.</t>
        </is>
      </c>
      <c r="O286" s="44" t="inlineStr">
        <is>
          <t>Credo Ventures</t>
        </is>
      </c>
      <c r="P286" s="45" t="inlineStr">
        <is>
          <t/>
        </is>
      </c>
      <c r="Q286" s="46" t="inlineStr">
        <is>
          <t>Business/Productivity Software</t>
        </is>
      </c>
      <c r="R286" s="47" t="inlineStr">
        <is>
          <t>Provider of pay-per-click (PPC) bid management services for online marketing. The company helps to manage keyword bidding and product listing advertisements automatically while helping advertisers and agencies in automated bid management for Google AdWords and Google shopping.</t>
        </is>
      </c>
      <c r="S286" s="48" t="inlineStr">
        <is>
          <t>Foster City, CA</t>
        </is>
      </c>
      <c r="T286" s="49" t="inlineStr">
        <is>
          <t>www.wordwatch.com</t>
        </is>
      </c>
      <c r="U286" s="132">
        <f>HYPERLINK("https://my.pitchbook.com?c=52386-94", "View company online")</f>
      </c>
    </row>
    <row r="287">
      <c r="A287" s="9" t="inlineStr">
        <is>
          <t>103623-94</t>
        </is>
      </c>
      <c r="B287" s="10" t="inlineStr">
        <is>
          <t>Wootric</t>
        </is>
      </c>
      <c r="C287" s="11" t="inlineStr">
        <is>
          <t/>
        </is>
      </c>
      <c r="D287" s="12" t="n">
        <v>0.5027961912761088</v>
      </c>
      <c r="E287" s="13" t="n">
        <v>14.536356482285</v>
      </c>
      <c r="F287" s="14" t="n">
        <v>42479.0</v>
      </c>
      <c r="G287" s="15" t="inlineStr">
        <is>
          <t>Early Stage VC</t>
        </is>
      </c>
      <c r="H287" s="16" t="inlineStr">
        <is>
          <t>Series A</t>
        </is>
      </c>
      <c r="I287" s="17" t="n">
        <v>2.59</v>
      </c>
      <c r="J287" s="18" t="n">
        <v>10.86</v>
      </c>
      <c r="K287" s="19" t="inlineStr">
        <is>
          <t>Completed</t>
        </is>
      </c>
      <c r="L287" s="20" t="inlineStr">
        <is>
          <t>Privately Held (backing)</t>
        </is>
      </c>
      <c r="M287" s="21" t="inlineStr">
        <is>
          <t>Venture Capital-Backed</t>
        </is>
      </c>
      <c r="N287" s="22" t="inlineStr">
        <is>
          <t>The company raised $2.6 million of Series A venture funding in a deal led by Cloud Apps Capital Partners on April 19, 2016, putting the company's pre-money valuation at $8.27 million. Green D Ventures, CSC UpShot Ventures and other undisclosed investors also participated in this round. The company intends to use the funds for product development and expansion of sales and marketing efforts.</t>
        </is>
      </c>
      <c r="O287" s="23" t="inlineStr">
        <is>
          <t>ArcheMatrix Ventures, Array Ventures, Cloud Apps Capital Partners, CSC UpShot Ventures, Green D Ventures, The Salesforce Incubator</t>
        </is>
      </c>
      <c r="P287" s="24" t="inlineStr">
        <is>
          <t/>
        </is>
      </c>
      <c r="Q287" s="25" t="inlineStr">
        <is>
          <t>Social/Platform Software</t>
        </is>
      </c>
      <c r="R287" s="26" t="inlineStr">
        <is>
          <t>Provider of an in-application net promoter score platform. The company offers a net promoter (NPS) management and tracking tool for online businesses, that helps them to measure their customer's happiness.</t>
        </is>
      </c>
      <c r="S287" s="27" t="inlineStr">
        <is>
          <t>San Francisco, CA</t>
        </is>
      </c>
      <c r="T287" s="28" t="inlineStr">
        <is>
          <t>www.wootric.com</t>
        </is>
      </c>
      <c r="U287" s="131">
        <f>HYPERLINK("https://my.pitchbook.com?c=103623-94", "View company online")</f>
      </c>
    </row>
    <row r="288">
      <c r="A288" s="30" t="inlineStr">
        <is>
          <t>102805-66</t>
        </is>
      </c>
      <c r="B288" s="31" t="inlineStr">
        <is>
          <t>Wooqer</t>
        </is>
      </c>
      <c r="C288" s="32" t="inlineStr">
        <is>
          <t/>
        </is>
      </c>
      <c r="D288" s="33" t="n">
        <v>0.12417301451016918</v>
      </c>
      <c r="E288" s="34" t="n">
        <v>1.024173241564546</v>
      </c>
      <c r="F288" s="35" t="inlineStr">
        <is>
          <t/>
        </is>
      </c>
      <c r="G288" s="36" t="inlineStr">
        <is>
          <t>Early Stage VC</t>
        </is>
      </c>
      <c r="H288" s="37" t="inlineStr">
        <is>
          <t/>
        </is>
      </c>
      <c r="I288" s="38" t="inlineStr">
        <is>
          <t/>
        </is>
      </c>
      <c r="J288" s="39" t="inlineStr">
        <is>
          <t/>
        </is>
      </c>
      <c r="K288" s="40" t="inlineStr">
        <is>
          <t>Completed</t>
        </is>
      </c>
      <c r="L288" s="41" t="inlineStr">
        <is>
          <t>Privately Held (backing)</t>
        </is>
      </c>
      <c r="M288" s="42" t="inlineStr">
        <is>
          <t>Venture Capital-Backed</t>
        </is>
      </c>
      <c r="N288" s="43" t="inlineStr">
        <is>
          <t>The company raised Venture funding from IndusAge Partners, Harsh Mariwala and Michael Marks on an undisclosed date. Bijou Kurien, BS Nagesh, Jim Davidson and other undisclosed investors also participated in this round.</t>
        </is>
      </c>
      <c r="O288" s="44" t="inlineStr">
        <is>
          <t>B. Nagesh, Bijou Kurien, Harsh Mariwala, IndusAge Partners, Jim Davidson, Michael Marks</t>
        </is>
      </c>
      <c r="P288" s="45" t="inlineStr">
        <is>
          <t/>
        </is>
      </c>
      <c r="Q288" s="46" t="inlineStr">
        <is>
          <t>Social/Platform Software</t>
        </is>
      </c>
      <c r="R288" s="47" t="inlineStr">
        <is>
          <t>Provider of a cloud based mobile and Web application for organizations. The company helps large companies and forums to communicate and share files via a single online platform.</t>
        </is>
      </c>
      <c r="S288" s="48" t="inlineStr">
        <is>
          <t>Menlo Park, CA</t>
        </is>
      </c>
      <c r="T288" s="49" t="inlineStr">
        <is>
          <t>www.wooqer.com</t>
        </is>
      </c>
      <c r="U288" s="132">
        <f>HYPERLINK("https://my.pitchbook.com?c=102805-66", "View company online")</f>
      </c>
    </row>
    <row r="289">
      <c r="A289" s="9" t="inlineStr">
        <is>
          <t>60266-26</t>
        </is>
      </c>
      <c r="B289" s="10" t="inlineStr">
        <is>
          <t>Woopra</t>
        </is>
      </c>
      <c r="C289" s="11" t="inlineStr">
        <is>
          <t/>
        </is>
      </c>
      <c r="D289" s="12" t="n">
        <v>-0.008329895706936874</v>
      </c>
      <c r="E289" s="13" t="n">
        <v>56.08483263766978</v>
      </c>
      <c r="F289" s="14" t="n">
        <v>40909.0</v>
      </c>
      <c r="G289" s="15" t="inlineStr">
        <is>
          <t>Early Stage VC</t>
        </is>
      </c>
      <c r="H289" s="16" t="inlineStr">
        <is>
          <t>Series A</t>
        </is>
      </c>
      <c r="I289" s="17" t="inlineStr">
        <is>
          <t/>
        </is>
      </c>
      <c r="J289" s="18" t="inlineStr">
        <is>
          <t/>
        </is>
      </c>
      <c r="K289" s="19" t="inlineStr">
        <is>
          <t>Completed</t>
        </is>
      </c>
      <c r="L289" s="20" t="inlineStr">
        <is>
          <t>Privately Held (backing)</t>
        </is>
      </c>
      <c r="M289" s="21" t="inlineStr">
        <is>
          <t>Venture Capital-Backed</t>
        </is>
      </c>
      <c r="N289" s="22" t="inlineStr">
        <is>
          <t>The company raised an undisclosed amount of Series A venture funding from MENA Venture Investments, Wamda Capital and John Pozadzides on January 1, 2012. Other undisclosed investors also participated in this round.</t>
        </is>
      </c>
      <c r="O289" s="23" t="inlineStr">
        <is>
          <t>Individual Investor, MENA Venture Investments, Wamda Capital</t>
        </is>
      </c>
      <c r="P289" s="24" t="inlineStr">
        <is>
          <t/>
        </is>
      </c>
      <c r="Q289" s="25" t="inlineStr">
        <is>
          <t>Media and Information Services (B2B)</t>
        </is>
      </c>
      <c r="R289" s="26" t="inlineStr">
        <is>
          <t>Developer of a real-time web-analytic tool. The company offers a platform that provides real-time customer analytics and customer engagement services and helps businesses to track, analyze, and take action on live customer data.</t>
        </is>
      </c>
      <c r="S289" s="27" t="inlineStr">
        <is>
          <t>San Francisco, CA</t>
        </is>
      </c>
      <c r="T289" s="28" t="inlineStr">
        <is>
          <t>www.woopra.com</t>
        </is>
      </c>
      <c r="U289" s="131">
        <f>HYPERLINK("https://my.pitchbook.com?c=60266-26", "View company online")</f>
      </c>
    </row>
    <row r="290">
      <c r="A290" s="30" t="inlineStr">
        <is>
          <t>57052-00</t>
        </is>
      </c>
      <c r="B290" s="31" t="inlineStr">
        <is>
          <t>Woopie</t>
        </is>
      </c>
      <c r="C290" s="32" t="inlineStr">
        <is>
          <t/>
        </is>
      </c>
      <c r="D290" s="33" t="n">
        <v>-0.017648692255432166</v>
      </c>
      <c r="E290" s="34" t="n">
        <v>0.9880153577095361</v>
      </c>
      <c r="F290" s="35" t="n">
        <v>41564.0</v>
      </c>
      <c r="G290" s="36" t="inlineStr">
        <is>
          <t>Accelerator/Incubator</t>
        </is>
      </c>
      <c r="H290" s="37" t="inlineStr">
        <is>
          <t/>
        </is>
      </c>
      <c r="I290" s="38" t="n">
        <v>0.05</v>
      </c>
      <c r="J290" s="39" t="inlineStr">
        <is>
          <t/>
        </is>
      </c>
      <c r="K290" s="40" t="inlineStr">
        <is>
          <t>Completed</t>
        </is>
      </c>
      <c r="L290" s="41" t="inlineStr">
        <is>
          <t>Privately Held (backing)</t>
        </is>
      </c>
      <c r="M290" s="42" t="inlineStr">
        <is>
          <t>Venture Capital-Backed</t>
        </is>
      </c>
      <c r="N290" s="43" t="inlineStr">
        <is>
          <t>The company joined Matter Ventures and received $50,000 in funding on October 17, 2013. Previously, the company received $65,000 of grant funding from Wayra on September 1, 2013. The company also raised an undisclosed amount of venture funding from Enterprise Ireland in April 2013.</t>
        </is>
      </c>
      <c r="O290" s="44" t="inlineStr">
        <is>
          <t>Enterprise Ireland, Matter Ventures, Wayra</t>
        </is>
      </c>
      <c r="P290" s="45" t="inlineStr">
        <is>
          <t/>
        </is>
      </c>
      <c r="Q290" s="46" t="inlineStr">
        <is>
          <t>Social/Platform Software</t>
        </is>
      </c>
      <c r="R290" s="47" t="inlineStr">
        <is>
          <t>Provider of a digital publishing platform that helps businesses extend their message to consumers. The company offers a custom built digital content publishing tool focused on responsive design through which it empowers writers and publishers to reach their audiences on any device, from desktops to tablets and mobile phones.</t>
        </is>
      </c>
      <c r="S290" s="48" t="inlineStr">
        <is>
          <t>Dublin, Ireland</t>
        </is>
      </c>
      <c r="T290" s="49" t="inlineStr">
        <is>
          <t>www.woop.ie</t>
        </is>
      </c>
      <c r="U290" s="132">
        <f>HYPERLINK("https://my.pitchbook.com?c=57052-00", "View company online")</f>
      </c>
    </row>
    <row r="291">
      <c r="A291" s="9" t="inlineStr">
        <is>
          <t>103623-22</t>
        </is>
      </c>
      <c r="B291" s="10" t="inlineStr">
        <is>
          <t>Wonolo</t>
        </is>
      </c>
      <c r="C291" s="11" t="inlineStr">
        <is>
          <t/>
        </is>
      </c>
      <c r="D291" s="12" t="n">
        <v>2.8874620761464187</v>
      </c>
      <c r="E291" s="13" t="n">
        <v>6.101241003083302</v>
      </c>
      <c r="F291" s="14" t="n">
        <v>42394.0</v>
      </c>
      <c r="G291" s="15" t="inlineStr">
        <is>
          <t>Early Stage VC</t>
        </is>
      </c>
      <c r="H291" s="16" t="inlineStr">
        <is>
          <t>Series A</t>
        </is>
      </c>
      <c r="I291" s="17" t="n">
        <v>5.73</v>
      </c>
      <c r="J291" s="18" t="n">
        <v>23.97</v>
      </c>
      <c r="K291" s="19" t="inlineStr">
        <is>
          <t>Completed</t>
        </is>
      </c>
      <c r="L291" s="20" t="inlineStr">
        <is>
          <t>Privately Held (backing)</t>
        </is>
      </c>
      <c r="M291" s="21" t="inlineStr">
        <is>
          <t>Venture Capital-Backed</t>
        </is>
      </c>
      <c r="N291" s="22" t="inlineStr">
        <is>
          <t>The company raised $5.7 million of Series A venture funding from undisclosed investors on January 25, 2016, putting the company's pre-money valuation at $18.23 million.</t>
        </is>
      </c>
      <c r="O291" s="23" t="inlineStr">
        <is>
          <t>Aslanoba Capital, Brad Garlinghouse, Coca-Cola Founders, CrunchFund, David Butler, Drummond Road Capital, Eric Ries, Foundry Group, Haystack, Jeff Heitzman, Marc Bell Capital Partners, Morris Wheeler, PivotNorth Capital</t>
        </is>
      </c>
      <c r="P291" s="24" t="inlineStr">
        <is>
          <t/>
        </is>
      </c>
      <c r="Q291" s="25" t="inlineStr">
        <is>
          <t>Human Capital Services</t>
        </is>
      </c>
      <c r="R291" s="26" t="inlineStr">
        <is>
          <t>Developer of an on-demand staffing platform. The company removes the friction for companies to find talent for on-demand hourly or daily job needs, while creating freedom through flexibility for job seekers.</t>
        </is>
      </c>
      <c r="S291" s="27" t="inlineStr">
        <is>
          <t>San Francisco, CA</t>
        </is>
      </c>
      <c r="T291" s="28" t="inlineStr">
        <is>
          <t>www.wonolo.com</t>
        </is>
      </c>
      <c r="U291" s="131">
        <f>HYPERLINK("https://my.pitchbook.com?c=103623-22", "View company online")</f>
      </c>
    </row>
    <row r="292">
      <c r="A292" s="30" t="inlineStr">
        <is>
          <t>64578-25</t>
        </is>
      </c>
      <c r="B292" s="31" t="inlineStr">
        <is>
          <t>Wondershake</t>
        </is>
      </c>
      <c r="C292" s="32" t="inlineStr">
        <is>
          <t/>
        </is>
      </c>
      <c r="D292" s="33" t="n">
        <v>-0.028191244301679658</v>
      </c>
      <c r="E292" s="34" t="n">
        <v>0.7715300045808521</v>
      </c>
      <c r="F292" s="35" t="n">
        <v>40816.0</v>
      </c>
      <c r="G292" s="36" t="inlineStr">
        <is>
          <t>Seed Round</t>
        </is>
      </c>
      <c r="H292" s="37" t="inlineStr">
        <is>
          <t>Seed</t>
        </is>
      </c>
      <c r="I292" s="38" t="n">
        <v>0.48</v>
      </c>
      <c r="J292" s="39" t="inlineStr">
        <is>
          <t/>
        </is>
      </c>
      <c r="K292" s="40" t="inlineStr">
        <is>
          <t>Completed</t>
        </is>
      </c>
      <c r="L292" s="41" t="inlineStr">
        <is>
          <t>Privately Held (backing)</t>
        </is>
      </c>
      <c r="M292" s="42" t="inlineStr">
        <is>
          <t>Venture Capital-Backed</t>
        </is>
      </c>
      <c r="N292" s="43" t="inlineStr">
        <is>
          <t>the company raised $480,000 of seed funding from CyberAgent, Digital Garage, Open Network Lab, SunBridge Global Ventures, Kazuya Minami, Shogo Kawada, Tetsuro Oshita and Hitoshi Kawanabe on September 30, 2011.</t>
        </is>
      </c>
      <c r="O292" s="44" t="inlineStr">
        <is>
          <t>CyberAgent Ventures, Digital Garage, Open Network Lab, Social Starts, SunBridge Global Ventures</t>
        </is>
      </c>
      <c r="P292" s="45" t="inlineStr">
        <is>
          <t/>
        </is>
      </c>
      <c r="Q292" s="46" t="inlineStr">
        <is>
          <t>Application Software</t>
        </is>
      </c>
      <c r="R292" s="47" t="inlineStr">
        <is>
          <t>Developer of applications for wireless devices. The engages in developing social media applications which help mobile phone users to connect with others.</t>
        </is>
      </c>
      <c r="S292" s="48" t="inlineStr">
        <is>
          <t>Sunnyvale, CA</t>
        </is>
      </c>
      <c r="T292" s="49" t="inlineStr">
        <is>
          <t>www.wondershake.com</t>
        </is>
      </c>
      <c r="U292" s="132">
        <f>HYPERLINK("https://my.pitchbook.com?c=64578-25", "View company online")</f>
      </c>
    </row>
    <row r="293">
      <c r="A293" s="9" t="inlineStr">
        <is>
          <t>61538-86</t>
        </is>
      </c>
      <c r="B293" s="10" t="inlineStr">
        <is>
          <t>Wondermall</t>
        </is>
      </c>
      <c r="C293" s="11" t="inlineStr">
        <is>
          <t/>
        </is>
      </c>
      <c r="D293" s="12" t="inlineStr">
        <is>
          <t/>
        </is>
      </c>
      <c r="E293" s="13" t="inlineStr">
        <is>
          <t/>
        </is>
      </c>
      <c r="F293" s="14" t="n">
        <v>42552.0</v>
      </c>
      <c r="G293" s="15" t="inlineStr">
        <is>
          <t>Early Stage VC</t>
        </is>
      </c>
      <c r="H293" s="16" t="inlineStr">
        <is>
          <t/>
        </is>
      </c>
      <c r="I293" s="17" t="inlineStr">
        <is>
          <t/>
        </is>
      </c>
      <c r="J293" s="18" t="inlineStr">
        <is>
          <t/>
        </is>
      </c>
      <c r="K293" s="19" t="inlineStr">
        <is>
          <t>Completed</t>
        </is>
      </c>
      <c r="L293" s="20" t="inlineStr">
        <is>
          <t>Privately Held (backing)</t>
        </is>
      </c>
      <c r="M293" s="21" t="inlineStr">
        <is>
          <t>Venture Capital-Backed</t>
        </is>
      </c>
      <c r="N293" s="22" t="inlineStr">
        <is>
          <t>The company raised venture funding from SGVC, Commerce Ventures and Oren Zeev on July 1, 2016. Oren Dobronsky, Barry McCarthy, Harris Barton, Robert Wuttke and other undisclosed investors also participated in the round.</t>
        </is>
      </c>
      <c r="O293" s="23" t="inlineStr">
        <is>
          <t>Barry McCarthy, Commerce Ventures, Harris Barton, Individual Investor, Oren Zeev, Robert Wuttke, SGVC</t>
        </is>
      </c>
      <c r="P293" s="24" t="inlineStr">
        <is>
          <t/>
        </is>
      </c>
      <c r="Q293" s="25" t="inlineStr">
        <is>
          <t>Internet Retail</t>
        </is>
      </c>
      <c r="R293" s="26" t="inlineStr">
        <is>
          <t>Provider of a mobile shopping application. The company provides a mobile application enabling users to shop online from different brand stores while providing online coupons as well as allowing users to create multi-store product wish lists.</t>
        </is>
      </c>
      <c r="S293" s="27" t="inlineStr">
        <is>
          <t>Mountain View, CA</t>
        </is>
      </c>
      <c r="T293" s="28" t="inlineStr">
        <is>
          <t>www.wondermall.com</t>
        </is>
      </c>
      <c r="U293" s="131">
        <f>HYPERLINK("https://my.pitchbook.com?c=61538-86", "View company online")</f>
      </c>
    </row>
    <row r="294">
      <c r="A294" s="30" t="inlineStr">
        <is>
          <t>62805-97</t>
        </is>
      </c>
      <c r="B294" s="31" t="inlineStr">
        <is>
          <t>Wonderloop</t>
        </is>
      </c>
      <c r="C294" s="32" t="inlineStr">
        <is>
          <t/>
        </is>
      </c>
      <c r="D294" s="33" t="n">
        <v>0.007435354205647502</v>
      </c>
      <c r="E294" s="34" t="n">
        <v>1.722239159361488</v>
      </c>
      <c r="F294" s="35" t="n">
        <v>42177.0</v>
      </c>
      <c r="G294" s="36" t="inlineStr">
        <is>
          <t>Angel (individual)</t>
        </is>
      </c>
      <c r="H294" s="37" t="inlineStr">
        <is>
          <t>Angel</t>
        </is>
      </c>
      <c r="I294" s="38" t="inlineStr">
        <is>
          <t/>
        </is>
      </c>
      <c r="J294" s="39" t="inlineStr">
        <is>
          <t/>
        </is>
      </c>
      <c r="K294" s="40" t="inlineStr">
        <is>
          <t>Completed</t>
        </is>
      </c>
      <c r="L294" s="41" t="inlineStr">
        <is>
          <t>Privately Held (backing)</t>
        </is>
      </c>
      <c r="M294" s="42" t="inlineStr">
        <is>
          <t>Venture Capital-Backed</t>
        </is>
      </c>
      <c r="N294" s="43" t="inlineStr">
        <is>
          <t>The company raised an undisclosed amount of angel funding from Evan Luthra on June 22, 2015. Previously, the company raised $500,000 of seed funding from Heirs Holdings, Ugland Holdings and Innovation Norge on December 5, 2014. Peter Anker and other undisclosed investors also participated in this round. The company intends to use the funds to hire new developers and to continue fundraising in California.</t>
        </is>
      </c>
      <c r="O294" s="44" t="inlineStr">
        <is>
          <t>Evan Luthra, Heirs Holdings, Innovasion Norge, Peter Anker, Ugland Holdings</t>
        </is>
      </c>
      <c r="P294" s="45" t="inlineStr">
        <is>
          <t/>
        </is>
      </c>
      <c r="Q294" s="46" t="inlineStr">
        <is>
          <t>Social/Platform Software</t>
        </is>
      </c>
      <c r="R294" s="47" t="inlineStr">
        <is>
          <t>Provider of a video-profile platform. The company provides a video-profile identity platform enabling people to meet and connect within seconds of watching introductory videos.</t>
        </is>
      </c>
      <c r="S294" s="48" t="inlineStr">
        <is>
          <t>Mountain View, CA</t>
        </is>
      </c>
      <c r="T294" s="49" t="inlineStr">
        <is>
          <t>www.wonderloop.me</t>
        </is>
      </c>
      <c r="U294" s="132">
        <f>HYPERLINK("https://my.pitchbook.com?c=62805-97", "View company online")</f>
      </c>
    </row>
    <row r="295">
      <c r="A295" s="9" t="inlineStr">
        <is>
          <t>52939-09</t>
        </is>
      </c>
      <c r="B295" s="10" t="inlineStr">
        <is>
          <t>WonderHowTo</t>
        </is>
      </c>
      <c r="C295" s="11" t="inlineStr">
        <is>
          <t/>
        </is>
      </c>
      <c r="D295" s="12" t="n">
        <v>-0.3121193188985311</v>
      </c>
      <c r="E295" s="13" t="n">
        <v>286.4592323374011</v>
      </c>
      <c r="F295" s="14" t="n">
        <v>39477.0</v>
      </c>
      <c r="G295" s="15" t="inlineStr">
        <is>
          <t>Early Stage VC</t>
        </is>
      </c>
      <c r="H295" s="16" t="inlineStr">
        <is>
          <t>Series A</t>
        </is>
      </c>
      <c r="I295" s="17" t="inlineStr">
        <is>
          <t/>
        </is>
      </c>
      <c r="J295" s="18" t="inlineStr">
        <is>
          <t/>
        </is>
      </c>
      <c r="K295" s="19" t="inlineStr">
        <is>
          <t>Completed</t>
        </is>
      </c>
      <c r="L295" s="20" t="inlineStr">
        <is>
          <t>Privately Held (backing)</t>
        </is>
      </c>
      <c r="M295" s="21" t="inlineStr">
        <is>
          <t>Venture Capital-Backed</t>
        </is>
      </c>
      <c r="N295" s="22" t="inlineStr">
        <is>
          <t>The company raised Series A venture funding from lead investor General Catalyst Partners on January 30, 2008.</t>
        </is>
      </c>
      <c r="O295" s="23" t="inlineStr">
        <is>
          <t>General Catalyst Partners, Individual Investor</t>
        </is>
      </c>
      <c r="P295" s="24" t="inlineStr">
        <is>
          <t/>
        </is>
      </c>
      <c r="Q295" s="25" t="inlineStr">
        <is>
          <t>Social/Platform Software</t>
        </is>
      </c>
      <c r="R295" s="26" t="inlineStr">
        <is>
          <t>Provider of search engine and directory services for how-to videos. The company aggregates community-submitted links and reviews of how-to video from across the Internet related to beauty, art, crafts, science and lifestyle.</t>
        </is>
      </c>
      <c r="S295" s="27" t="inlineStr">
        <is>
          <t>Santa Monica, CA</t>
        </is>
      </c>
      <c r="T295" s="28" t="inlineStr">
        <is>
          <t>www.wonderhowto.com</t>
        </is>
      </c>
      <c r="U295" s="131">
        <f>HYPERLINK("https://my.pitchbook.com?c=52939-09", "View company online")</f>
      </c>
    </row>
    <row r="296">
      <c r="A296" s="30" t="inlineStr">
        <is>
          <t>122516-56</t>
        </is>
      </c>
      <c r="B296" s="31" t="inlineStr">
        <is>
          <t>WonderDads</t>
        </is>
      </c>
      <c r="C296" s="32" t="inlineStr">
        <is>
          <t/>
        </is>
      </c>
      <c r="D296" s="33" t="n">
        <v>0.8833410806610893</v>
      </c>
      <c r="E296" s="34" t="n">
        <v>7.862805401991104</v>
      </c>
      <c r="F296" s="35" t="inlineStr">
        <is>
          <t/>
        </is>
      </c>
      <c r="G296" s="36" t="inlineStr">
        <is>
          <t>Buyout/LBO</t>
        </is>
      </c>
      <c r="H296" s="37" t="inlineStr">
        <is>
          <t/>
        </is>
      </c>
      <c r="I296" s="38" t="inlineStr">
        <is>
          <t/>
        </is>
      </c>
      <c r="J296" s="39" t="inlineStr">
        <is>
          <t/>
        </is>
      </c>
      <c r="K296" s="40" t="inlineStr">
        <is>
          <t>Completed</t>
        </is>
      </c>
      <c r="L296" s="41" t="inlineStr">
        <is>
          <t>Privately Held (backing)</t>
        </is>
      </c>
      <c r="M296" s="42" t="inlineStr">
        <is>
          <t>Venture Capital-Backed</t>
        </is>
      </c>
      <c r="N296" s="43" t="inlineStr">
        <is>
          <t>The company was acquired by Verb Ventures through an LBO on an undisclosed date.</t>
        </is>
      </c>
      <c r="O296" s="44" t="inlineStr">
        <is>
          <t>Verb Ventures</t>
        </is>
      </c>
      <c r="P296" s="45" t="inlineStr">
        <is>
          <t/>
        </is>
      </c>
      <c r="Q296" s="46" t="inlineStr">
        <is>
          <t>Social Content</t>
        </is>
      </c>
      <c r="R296" s="47" t="inlineStr">
        <is>
          <t>Provider of dad and child guide books designed to programming, products and monthly activities. The company's guide books help to share ideas for unique activities or provide invaluable services to challenge all dads, enabling them to access the family activities as well as save their own personal ideas, notes and goals for each of their children.</t>
        </is>
      </c>
      <c r="S296" s="48" t="inlineStr">
        <is>
          <t>Novato, CA</t>
        </is>
      </c>
      <c r="T296" s="49" t="inlineStr">
        <is>
          <t>www.wonderdads.com</t>
        </is>
      </c>
      <c r="U296" s="132">
        <f>HYPERLINK("https://my.pitchbook.com?c=122516-56", "View company online")</f>
      </c>
    </row>
    <row r="297">
      <c r="A297" s="9" t="inlineStr">
        <is>
          <t>57092-41</t>
        </is>
      </c>
      <c r="B297" s="10" t="inlineStr">
        <is>
          <t>Wonder Workshop</t>
        </is>
      </c>
      <c r="C297" s="11" t="inlineStr">
        <is>
          <t/>
        </is>
      </c>
      <c r="D297" s="12" t="n">
        <v>0.748951523807661</v>
      </c>
      <c r="E297" s="13" t="n">
        <v>66.97944152964418</v>
      </c>
      <c r="F297" s="14" t="n">
        <v>42579.0</v>
      </c>
      <c r="G297" s="15" t="inlineStr">
        <is>
          <t>Early Stage VC</t>
        </is>
      </c>
      <c r="H297" s="16" t="inlineStr">
        <is>
          <t>Series B</t>
        </is>
      </c>
      <c r="I297" s="17" t="n">
        <v>20.0</v>
      </c>
      <c r="J297" s="18" t="inlineStr">
        <is>
          <t/>
        </is>
      </c>
      <c r="K297" s="19" t="inlineStr">
        <is>
          <t>Completed</t>
        </is>
      </c>
      <c r="L297" s="20" t="inlineStr">
        <is>
          <t>Privately Held (backing)</t>
        </is>
      </c>
      <c r="M297" s="21" t="inlineStr">
        <is>
          <t>Venture Capital-Backed</t>
        </is>
      </c>
      <c r="N297" s="22" t="inlineStr">
        <is>
          <t>The company raised $20 million of Series B venture funding in a deal led by WI Harper Group and Sinovation Ventures on July 28, 2016. Learn Capital, Charles River Ventures, Madrona Venture Group and TCL Venture Capital also participated in this round. The funding will be used to to drive expansion into new international markets, with a focus on Asia, grow the management team and make new product investments.</t>
        </is>
      </c>
      <c r="O297" s="23" t="inlineStr">
        <is>
          <t>Bright Success Capital, Charles River Ventures, Dave Sobota, GV, Hemant Bhanoo, Learn Capital, Madrona Venture Group, Maven Ventures, Mikhail Seregine, Reza Hussein, Richard Dalzell, Rudy Gadre, Sinovation Ventures, Suren Markosian, TCL Venture Capital, Vijay Ravindran, Vikas Gupta, WI Harper Group</t>
        </is>
      </c>
      <c r="P297" s="24" t="inlineStr">
        <is>
          <t/>
        </is>
      </c>
      <c r="Q297" s="25" t="inlineStr">
        <is>
          <t>Electronics (B2C)</t>
        </is>
      </c>
      <c r="R297" s="26" t="inlineStr">
        <is>
          <t>Developer of educational programming applications. The company provides tools that make programming accessible to children of all ages and teaches children the basics of programming.</t>
        </is>
      </c>
      <c r="S297" s="27" t="inlineStr">
        <is>
          <t>San Mateo, CA</t>
        </is>
      </c>
      <c r="T297" s="28" t="inlineStr">
        <is>
          <t>www.makewonder.com</t>
        </is>
      </c>
      <c r="U297" s="131">
        <f>HYPERLINK("https://my.pitchbook.com?c=57092-41", "View company online")</f>
      </c>
    </row>
    <row r="298">
      <c r="A298" s="30" t="inlineStr">
        <is>
          <t>65614-78</t>
        </is>
      </c>
      <c r="B298" s="31" t="inlineStr">
        <is>
          <t>Wonder Technologies</t>
        </is>
      </c>
      <c r="C298" s="32" t="inlineStr">
        <is>
          <t/>
        </is>
      </c>
      <c r="D298" s="33" t="n">
        <v>0.005254542192110152</v>
      </c>
      <c r="E298" s="34" t="n">
        <v>1.0344671416336855</v>
      </c>
      <c r="F298" s="35" t="n">
        <v>42514.0</v>
      </c>
      <c r="G298" s="36" t="inlineStr">
        <is>
          <t>Early Stage VC</t>
        </is>
      </c>
      <c r="H298" s="37" t="inlineStr">
        <is>
          <t/>
        </is>
      </c>
      <c r="I298" s="38" t="inlineStr">
        <is>
          <t/>
        </is>
      </c>
      <c r="J298" s="39" t="inlineStr">
        <is>
          <t/>
        </is>
      </c>
      <c r="K298" s="40" t="inlineStr">
        <is>
          <t>Announced/In Progress</t>
        </is>
      </c>
      <c r="L298" s="41" t="inlineStr">
        <is>
          <t>Privately Held (backing)</t>
        </is>
      </c>
      <c r="M298" s="42" t="inlineStr">
        <is>
          <t>Venture Capital-Backed</t>
        </is>
      </c>
      <c r="N298" s="43" t="inlineStr">
        <is>
          <t>The company received convertible debt financing from Mosaik Partners and other undisclosed investors on May 24, 2016. Previously, the company raised $2.095 million of venture funding through a combination of debt and equity via Crowdfunding platform SeedInvest and Crowdfunder on July 31, 2014. K5 Ventures, F50, Houston Angel Network, Tech Coast Angels, Texas Halo Fund, Central Texas Angel Network and several undisclosed investors participated in the round. The company will use the funds for product development and marketing/customer acquisition. The company is being actively tracked by PitchBook.</t>
        </is>
      </c>
      <c r="O298" s="44" t="inlineStr">
        <is>
          <t>Bill Glass, Bril Flint, Central Texas Angel Network, David Perry, Eran Goren, F50, Houston Angel Network, Individual Investor, Joe Canterbury, K5 Ventures, Michael Margolies, Mosaik Partners, Robin Pimentel, Rui Pereira, Tech Coast Angels, Texas Halo Fund</t>
        </is>
      </c>
      <c r="P298" s="45" t="inlineStr">
        <is>
          <t/>
        </is>
      </c>
      <c r="Q298" s="46" t="inlineStr">
        <is>
          <t>Social/Platform Software</t>
        </is>
      </c>
      <c r="R298" s="47" t="inlineStr">
        <is>
          <t>Developer of an e-gift card application. The company offers an online marketplace that allows users to discover and purchase e-gift cards from national retailers and local specialty stores.</t>
        </is>
      </c>
      <c r="S298" s="48" t="inlineStr">
        <is>
          <t>Burlingame, CA</t>
        </is>
      </c>
      <c r="T298" s="49" t="inlineStr">
        <is>
          <t>www.gowonder.com</t>
        </is>
      </c>
      <c r="U298" s="132">
        <f>HYPERLINK("https://my.pitchbook.com?c=65614-78", "View company online")</f>
      </c>
    </row>
    <row r="299">
      <c r="A299" s="9" t="inlineStr">
        <is>
          <t>163155-43</t>
        </is>
      </c>
      <c r="B299" s="10" t="inlineStr">
        <is>
          <t>Wonder (Gaming Company)</t>
        </is>
      </c>
      <c r="C299" s="11" t="inlineStr">
        <is>
          <t/>
        </is>
      </c>
      <c r="D299" s="12" t="n">
        <v>0.6534168462952225</v>
      </c>
      <c r="E299" s="13" t="n">
        <v>2.7050407629442264</v>
      </c>
      <c r="F299" s="14" t="inlineStr">
        <is>
          <t/>
        </is>
      </c>
      <c r="G299" s="15" t="inlineStr">
        <is>
          <t>Seed Round</t>
        </is>
      </c>
      <c r="H299" s="16" t="inlineStr">
        <is>
          <t>Seed</t>
        </is>
      </c>
      <c r="I299" s="17" t="inlineStr">
        <is>
          <t/>
        </is>
      </c>
      <c r="J299" s="18" t="inlineStr">
        <is>
          <t/>
        </is>
      </c>
      <c r="K299" s="19" t="inlineStr">
        <is>
          <t>Completed</t>
        </is>
      </c>
      <c r="L299" s="20" t="inlineStr">
        <is>
          <t>Privately Held (backing)</t>
        </is>
      </c>
      <c r="M299" s="21" t="inlineStr">
        <is>
          <t>Venture Capital-Backed</t>
        </is>
      </c>
      <c r="N299" s="22" t="inlineStr">
        <is>
          <t>The company raised seed funding from 8VC, Virtual Reality Investments and Greycroft Partners on an undisclosed date. Third Wave Digital, Arab Angel and 11 angel investors also participated in the round.</t>
        </is>
      </c>
      <c r="O299" s="23" t="inlineStr">
        <is>
          <t>8VC, Allen Debevoise, Arab Angel, Arian Foster, Dana Brunetti, David Stern, Greg Silverman, Greycroft Partners, Hayao Nakayama, John Pleasants, Kevin Spacey, Nolan Bushnell, Owen Van Natta, Pieter Knook, Third Wave Digital, Virtual Reality Investments</t>
        </is>
      </c>
      <c r="P299" s="24" t="inlineStr">
        <is>
          <t/>
        </is>
      </c>
      <c r="Q299" s="25" t="inlineStr">
        <is>
          <t>Electronics (B2C)</t>
        </is>
      </c>
      <c r="R299" s="26" t="inlineStr">
        <is>
          <t>Manufacturer of smartphones for gamers. The company develops mobile telephonic devices with features that can power a mobile virtual reality headset.</t>
        </is>
      </c>
      <c r="S299" s="27" t="inlineStr">
        <is>
          <t>Los Angeles, CA</t>
        </is>
      </c>
      <c r="T299" s="28" t="inlineStr">
        <is>
          <t>www.wonder.com</t>
        </is>
      </c>
      <c r="U299" s="131">
        <f>HYPERLINK("https://my.pitchbook.com?c=163155-43", "View company online")</f>
      </c>
    </row>
    <row r="300">
      <c r="A300" s="30" t="inlineStr">
        <is>
          <t>152862-67</t>
        </is>
      </c>
      <c r="B300" s="31" t="inlineStr">
        <is>
          <t>Women.com</t>
        </is>
      </c>
      <c r="C300" s="32" t="inlineStr">
        <is>
          <t/>
        </is>
      </c>
      <c r="D300" s="33" t="n">
        <v>0.41320639016314026</v>
      </c>
      <c r="E300" s="34" t="n">
        <v>69.27453657995295</v>
      </c>
      <c r="F300" s="35" t="n">
        <v>41894.0</v>
      </c>
      <c r="G300" s="36" t="inlineStr">
        <is>
          <t>Seed Round</t>
        </is>
      </c>
      <c r="H300" s="37" t="inlineStr">
        <is>
          <t>Seed</t>
        </is>
      </c>
      <c r="I300" s="38" t="n">
        <v>1.65</v>
      </c>
      <c r="J300" s="39" t="inlineStr">
        <is>
          <t/>
        </is>
      </c>
      <c r="K300" s="40" t="inlineStr">
        <is>
          <t>Completed</t>
        </is>
      </c>
      <c r="L300" s="41" t="inlineStr">
        <is>
          <t>Privately Held (backing)</t>
        </is>
      </c>
      <c r="M300" s="42" t="inlineStr">
        <is>
          <t>Venture Capital-Backed</t>
        </is>
      </c>
      <c r="N300" s="43" t="inlineStr">
        <is>
          <t>The company raised $1.65 million of seed funding from Greylock Partners, Lowercase Capital, Fenox Venture Capital, Pritzker Group Venture Capital, Tencent Holdings, ChinaRock Capital Management, Advancit Capital, Middle Bridge Partners, Female Founders Fund and 7 individual investors on September 12, 2014. Earlier, the company joined Y Combinator as part of the Summer 2014 Class, and received $120,000 in funding on June 1, 2014.</t>
        </is>
      </c>
      <c r="O300" s="44" t="inlineStr">
        <is>
          <t>Advancit Capital, Brian Armstrong, ChinaRock Capital Management, Christian Sullivan, Female Founders Fund, Fenox Venture Capital, Greylock Partners, Hampus Jakobsson, J.R. Johnson, Lowercase Capital, Middle Bridge Partners, Pritzker Group Venture Capital, Rakesh Agrawal, Tencent, William Morris Endeavor Entertainment, Y Combinator, Yun-Fang Juan</t>
        </is>
      </c>
      <c r="P300" s="45" t="inlineStr">
        <is>
          <t>iVillage</t>
        </is>
      </c>
      <c r="Q300" s="46" t="inlineStr">
        <is>
          <t>Social/Platform Software</t>
        </is>
      </c>
      <c r="R300" s="47" t="inlineStr">
        <is>
          <t>Provider of an online interactive publishing platform. The company operates an online discussion forum for women that enables them to communicate with each other, share their experiences and knowledge and create quizzes.</t>
        </is>
      </c>
      <c r="S300" s="48" t="inlineStr">
        <is>
          <t>Los Angeles, CA</t>
        </is>
      </c>
      <c r="T300" s="49" t="inlineStr">
        <is>
          <t>www.women.com</t>
        </is>
      </c>
      <c r="U300" s="132">
        <f>HYPERLINK("https://my.pitchbook.com?c=152862-67", "View company online")</f>
      </c>
    </row>
    <row r="301">
      <c r="A301" s="9" t="inlineStr">
        <is>
          <t>144298-18</t>
        </is>
      </c>
      <c r="B301" s="10" t="inlineStr">
        <is>
          <t>Wizr</t>
        </is>
      </c>
      <c r="C301" s="11" t="inlineStr">
        <is>
          <t/>
        </is>
      </c>
      <c r="D301" s="12" t="n">
        <v>0.0</v>
      </c>
      <c r="E301" s="13" t="n">
        <v>0.2702702702702703</v>
      </c>
      <c r="F301" s="14" t="n">
        <v>42182.0</v>
      </c>
      <c r="G301" s="15" t="inlineStr">
        <is>
          <t>Early Stage VC</t>
        </is>
      </c>
      <c r="H301" s="16" t="inlineStr">
        <is>
          <t/>
        </is>
      </c>
      <c r="I301" s="17" t="inlineStr">
        <is>
          <t/>
        </is>
      </c>
      <c r="J301" s="18" t="inlineStr">
        <is>
          <t/>
        </is>
      </c>
      <c r="K301" s="19" t="inlineStr">
        <is>
          <t>Completed</t>
        </is>
      </c>
      <c r="L301" s="20" t="inlineStr">
        <is>
          <t>Privately Held (backing)</t>
        </is>
      </c>
      <c r="M301" s="21" t="inlineStr">
        <is>
          <t>Venture Capital-Backed</t>
        </is>
      </c>
      <c r="N301" s="22" t="inlineStr">
        <is>
          <t>The company raised an undisclosed amount of venture funding from NewDo Venture and Zuma Ventures on June 27, 2015.</t>
        </is>
      </c>
      <c r="O301" s="23" t="inlineStr">
        <is>
          <t>NewDo Venture, Zuma Ventures</t>
        </is>
      </c>
      <c r="P301" s="24" t="inlineStr">
        <is>
          <t/>
        </is>
      </c>
      <c r="Q301" s="25" t="inlineStr">
        <is>
          <t>Network Management Software</t>
        </is>
      </c>
      <c r="R301" s="26" t="inlineStr">
        <is>
          <t>Developer of a computer vision platform designed to offer video analytics. The company's computer vision platform offers identification, community and alerting technologies, enabling consumers to access video security at home and office environment.</t>
        </is>
      </c>
      <c r="S301" s="27" t="inlineStr">
        <is>
          <t>Santa Monica, CA</t>
        </is>
      </c>
      <c r="T301" s="28" t="inlineStr">
        <is>
          <t>www.wizr.com</t>
        </is>
      </c>
      <c r="U301" s="131">
        <f>HYPERLINK("https://my.pitchbook.com?c=144298-18", "View company online")</f>
      </c>
    </row>
    <row r="302">
      <c r="A302" s="30" t="inlineStr">
        <is>
          <t>163084-69</t>
        </is>
      </c>
      <c r="B302" s="31" t="inlineStr">
        <is>
          <t>Wizely Finance</t>
        </is>
      </c>
      <c r="C302" s="32" t="inlineStr">
        <is>
          <t/>
        </is>
      </c>
      <c r="D302" s="33" t="n">
        <v>-0.02624645396980455</v>
      </c>
      <c r="E302" s="34" t="n">
        <v>2.0401515949047266</v>
      </c>
      <c r="F302" s="35" t="n">
        <v>41640.0</v>
      </c>
      <c r="G302" s="36" t="inlineStr">
        <is>
          <t>Early Stage VC</t>
        </is>
      </c>
      <c r="H302" s="37" t="inlineStr">
        <is>
          <t/>
        </is>
      </c>
      <c r="I302" s="38" t="inlineStr">
        <is>
          <t/>
        </is>
      </c>
      <c r="J302" s="39" t="inlineStr">
        <is>
          <t/>
        </is>
      </c>
      <c r="K302" s="40" t="inlineStr">
        <is>
          <t>Completed</t>
        </is>
      </c>
      <c r="L302" s="41" t="inlineStr">
        <is>
          <t>Privately Held (backing)</t>
        </is>
      </c>
      <c r="M302" s="42" t="inlineStr">
        <is>
          <t>Venture Capital-Backed</t>
        </is>
      </c>
      <c r="N302" s="43" t="inlineStr">
        <is>
          <t>The company raised venture funding from Mucker Capital on January 1, 2014.</t>
        </is>
      </c>
      <c r="O302" s="44" t="inlineStr">
        <is>
          <t>Mucker Capital</t>
        </is>
      </c>
      <c r="P302" s="45" t="inlineStr">
        <is>
          <t/>
        </is>
      </c>
      <c r="Q302" s="46" t="inlineStr">
        <is>
          <t>Financial Software</t>
        </is>
      </c>
      <c r="R302" s="47" t="inlineStr">
        <is>
          <t>Provides a mobile application that aids users in personal financial goals. The company provides a personal plan for each individual client that maps out potential financial plans and options.</t>
        </is>
      </c>
      <c r="S302" s="48" t="inlineStr">
        <is>
          <t>Los Angeles, CA</t>
        </is>
      </c>
      <c r="T302" s="49" t="inlineStr">
        <is>
          <t>wizelyfinance.com</t>
        </is>
      </c>
      <c r="U302" s="132">
        <f>HYPERLINK("https://my.pitchbook.com?c=163084-69", "View company online")</f>
      </c>
    </row>
    <row r="303">
      <c r="A303" s="9" t="inlineStr">
        <is>
          <t>61616-53</t>
        </is>
      </c>
      <c r="B303" s="10" t="inlineStr">
        <is>
          <t>Wizeline</t>
        </is>
      </c>
      <c r="C303" s="11" t="inlineStr">
        <is>
          <t/>
        </is>
      </c>
      <c r="D303" s="12" t="n">
        <v>1.729902405550944</v>
      </c>
      <c r="E303" s="13" t="n">
        <v>5.45972295329333</v>
      </c>
      <c r="F303" s="14" t="n">
        <v>41872.0</v>
      </c>
      <c r="G303" s="15" t="inlineStr">
        <is>
          <t>Early Stage VC</t>
        </is>
      </c>
      <c r="H303" s="16" t="inlineStr">
        <is>
          <t>Series A</t>
        </is>
      </c>
      <c r="I303" s="17" t="n">
        <v>6.74</v>
      </c>
      <c r="J303" s="18" t="n">
        <v>73.44</v>
      </c>
      <c r="K303" s="19" t="inlineStr">
        <is>
          <t>Completed</t>
        </is>
      </c>
      <c r="L303" s="20" t="inlineStr">
        <is>
          <t>Privately Held (backing)</t>
        </is>
      </c>
      <c r="M303" s="21" t="inlineStr">
        <is>
          <t>Venture Capital-Backed</t>
        </is>
      </c>
      <c r="N303" s="22" t="inlineStr">
        <is>
          <t>The company raised $6.74 million of Series A venture funding from Lowercase Capital, Bowery Capital, SV Angel, Sierra Ventures and [A] Capital on August 21, 2014, putting the pre-money valuation at $66.7 million.</t>
        </is>
      </c>
      <c r="O303" s="23" t="inlineStr">
        <is>
          <t>A.Capital Ventures, Bowery Capital, Lowercase Capital, Sierra Ventures, SV Angel, XG Ventures</t>
        </is>
      </c>
      <c r="P303" s="24" t="inlineStr">
        <is>
          <t/>
        </is>
      </c>
      <c r="Q303" s="25" t="inlineStr">
        <is>
          <t>Other Commercial Services</t>
        </is>
      </c>
      <c r="R303" s="26" t="inlineStr">
        <is>
          <t>Operator of an analytics company for B2B applications. The company helps companies to build cloud based products and increase their product engagement. It helps software companies determine which features in a particular product are most important and which they should invest in next.</t>
        </is>
      </c>
      <c r="S303" s="27" t="inlineStr">
        <is>
          <t>San Francisco, CA</t>
        </is>
      </c>
      <c r="T303" s="28" t="inlineStr">
        <is>
          <t>www.wizeline.com</t>
        </is>
      </c>
      <c r="U303" s="131">
        <f>HYPERLINK("https://my.pitchbook.com?c=61616-53", "View company online")</f>
      </c>
    </row>
    <row r="304">
      <c r="A304" s="30" t="inlineStr">
        <is>
          <t>64846-00</t>
        </is>
      </c>
      <c r="B304" s="31" t="inlineStr">
        <is>
          <t>Wizdee</t>
        </is>
      </c>
      <c r="C304" s="32" t="inlineStr">
        <is>
          <t/>
        </is>
      </c>
      <c r="D304" s="33" t="n">
        <v>-0.08473999938644775</v>
      </c>
      <c r="E304" s="34" t="n">
        <v>1.8441181101092672</v>
      </c>
      <c r="F304" s="35" t="n">
        <v>41760.0</v>
      </c>
      <c r="G304" s="36" t="inlineStr">
        <is>
          <t>Seed Round</t>
        </is>
      </c>
      <c r="H304" s="37" t="inlineStr">
        <is>
          <t>Seed</t>
        </is>
      </c>
      <c r="I304" s="38" t="n">
        <v>1.37</v>
      </c>
      <c r="J304" s="39" t="inlineStr">
        <is>
          <t/>
        </is>
      </c>
      <c r="K304" s="40" t="inlineStr">
        <is>
          <t>Completed</t>
        </is>
      </c>
      <c r="L304" s="41" t="inlineStr">
        <is>
          <t>Privately Held (backing)</t>
        </is>
      </c>
      <c r="M304" s="42" t="inlineStr">
        <is>
          <t>Venture Capital-Backed</t>
        </is>
      </c>
      <c r="N304" s="43" t="inlineStr">
        <is>
          <t>The company raised EUR 1 million of seed funding from Novabase, Portugal Capital Ventures and other undisclosed investors in May 2014. Previously, the company joined Seedcamp on September 26, 2013 and received an undisclosed amount in funding and joined Beta-i on September 9, 2013. It also joined IPN Incubator on July 9, 2013.</t>
        </is>
      </c>
      <c r="O304" s="44" t="inlineStr">
        <is>
          <t>Beta-i, IPN Incubator, Novabase, Portugal Capital Ventures, Seedcamp</t>
        </is>
      </c>
      <c r="P304" s="45" t="inlineStr">
        <is>
          <t/>
        </is>
      </c>
      <c r="Q304" s="46" t="inlineStr">
        <is>
          <t>Database Software</t>
        </is>
      </c>
      <c r="R304" s="47" t="inlineStr">
        <is>
          <t>Provider of natural language business intelligence technology designed to create powerful and well prepared workforces. The company's natural language business intelligence technology helps to explore data from multiple sources by using plain language, enabling organizations to analyze their business data and get instant visual answers.</t>
        </is>
      </c>
      <c r="S304" s="48" t="inlineStr">
        <is>
          <t>Coimbra, Portugal</t>
        </is>
      </c>
      <c r="T304" s="49" t="inlineStr">
        <is>
          <t>www.wizdee.com</t>
        </is>
      </c>
      <c r="U304" s="132">
        <f>HYPERLINK("https://my.pitchbook.com?c=64846-00", "View company online")</f>
      </c>
    </row>
    <row r="305">
      <c r="A305" s="9" t="inlineStr">
        <is>
          <t>117068-59</t>
        </is>
      </c>
      <c r="B305" s="10" t="inlineStr">
        <is>
          <t>Within (Virtual reality)</t>
        </is>
      </c>
      <c r="C305" s="11" t="inlineStr">
        <is>
          <t/>
        </is>
      </c>
      <c r="D305" s="12" t="n">
        <v>0.2403539452767331</v>
      </c>
      <c r="E305" s="13" t="n">
        <v>5.448430417995635</v>
      </c>
      <c r="F305" s="14" t="n">
        <v>42537.0</v>
      </c>
      <c r="G305" s="15" t="inlineStr">
        <is>
          <t>Early Stage VC</t>
        </is>
      </c>
      <c r="H305" s="16" t="inlineStr">
        <is>
          <t>Series A</t>
        </is>
      </c>
      <c r="I305" s="17" t="n">
        <v>12.56</v>
      </c>
      <c r="J305" s="18" t="n">
        <v>40.42</v>
      </c>
      <c r="K305" s="19" t="inlineStr">
        <is>
          <t>Completed</t>
        </is>
      </c>
      <c r="L305" s="20" t="inlineStr">
        <is>
          <t>Privately Held (backing)</t>
        </is>
      </c>
      <c r="M305" s="21" t="inlineStr">
        <is>
          <t>Venture Capital-Backed</t>
        </is>
      </c>
      <c r="N305" s="22" t="inlineStr">
        <is>
          <t>The company raised $12.56 million of Series A venture funding from lead investor 21st Century Fox on June 16, 2016, putting the pre-money valuation at $27.86 million. Andreessen Horowitz, Raine Ventures, WME Venture Partners, Live Nation, Vice Media, Tribeca Enterprises, Annapurna Pictures, Legendary Pictures and Freelands Ventures also participated. The company will use the funding to further expand itsopeartion and hire new people.</t>
        </is>
      </c>
      <c r="O305" s="23" t="inlineStr">
        <is>
          <t>21st Century Fox, Andreessen Horowitz, Annapurna Pictures, Freelands Ventures, Gordon Rubenstein, Legendary Entertainment, Live Nation Entertainment, Marker, Raine Ventures, Steve Chen, Tribeca Enterprises, VICE Media, William Morris Endeavor Entertainment, WME Venture Partners</t>
        </is>
      </c>
      <c r="P305" s="24" t="inlineStr">
        <is>
          <t/>
        </is>
      </c>
      <c r="Q305" s="25" t="inlineStr">
        <is>
          <t>Movies, Music and Entertainment</t>
        </is>
      </c>
      <c r="R305" s="26" t="inlineStr">
        <is>
          <t>Developer and provider of virtual reality (VR) content and technology platform. The company uses custom-built tools and a VR application to create and distribute story-driven experiences in virtual reality. It also operates a production house, which produces all of its VR films, as well as VR experiences for corporate and non-profit clients.</t>
        </is>
      </c>
      <c r="S305" s="27" t="inlineStr">
        <is>
          <t>Los Angeles, CA</t>
        </is>
      </c>
      <c r="T305" s="28" t="inlineStr">
        <is>
          <t>www.with.in</t>
        </is>
      </c>
      <c r="U305" s="131">
        <f>HYPERLINK("https://my.pitchbook.com?c=117068-59", "View company online")</f>
      </c>
    </row>
    <row r="306">
      <c r="A306" s="30" t="inlineStr">
        <is>
          <t>54930-16</t>
        </is>
      </c>
      <c r="B306" s="31" t="inlineStr">
        <is>
          <t>WiSTONE Wireless Entertainment</t>
        </is>
      </c>
      <c r="C306" s="32" t="inlineStr">
        <is>
          <t/>
        </is>
      </c>
      <c r="D306" s="33" t="n">
        <v>1.4784486829605228</v>
      </c>
      <c r="E306" s="34" t="n">
        <v>6.0</v>
      </c>
      <c r="F306" s="35" t="n">
        <v>42065.0</v>
      </c>
      <c r="G306" s="36" t="inlineStr">
        <is>
          <t>Later Stage VC</t>
        </is>
      </c>
      <c r="H306" s="37" t="inlineStr">
        <is>
          <t/>
        </is>
      </c>
      <c r="I306" s="38" t="inlineStr">
        <is>
          <t/>
        </is>
      </c>
      <c r="J306" s="39" t="inlineStr">
        <is>
          <t/>
        </is>
      </c>
      <c r="K306" s="40" t="inlineStr">
        <is>
          <t>Completed</t>
        </is>
      </c>
      <c r="L306" s="41" t="inlineStr">
        <is>
          <t>Privately Held (backing)</t>
        </is>
      </c>
      <c r="M306" s="42" t="inlineStr">
        <is>
          <t>Venture Capital-Backed</t>
        </is>
      </c>
      <c r="N306" s="43" t="inlineStr">
        <is>
          <t>The company raised venture funding from undisclosed investors on March 2, 2015.</t>
        </is>
      </c>
      <c r="O306" s="44" t="inlineStr">
        <is>
          <t>Chengwei Capital, IDG Capital, Trustbridge Partners</t>
        </is>
      </c>
      <c r="P306" s="45" t="inlineStr">
        <is>
          <t/>
        </is>
      </c>
      <c r="Q306" s="46" t="inlineStr">
        <is>
          <t>Entertainment Software</t>
        </is>
      </c>
      <c r="R306" s="47" t="inlineStr">
        <is>
          <t>Provider of wireless entertainment software. The company develops online and mobile phone games.</t>
        </is>
      </c>
      <c r="S306" s="48" t="inlineStr">
        <is>
          <t>Beijing, China</t>
        </is>
      </c>
      <c r="T306" s="49" t="inlineStr">
        <is>
          <t>www.wistone.com</t>
        </is>
      </c>
      <c r="U306" s="132">
        <f>HYPERLINK("https://my.pitchbook.com?c=54930-16", "View company online")</f>
      </c>
    </row>
    <row r="307">
      <c r="A307" s="9" t="inlineStr">
        <is>
          <t>137600-56</t>
        </is>
      </c>
      <c r="B307" s="10" t="inlineStr">
        <is>
          <t>WiSilica</t>
        </is>
      </c>
      <c r="C307" s="11" t="inlineStr">
        <is>
          <t/>
        </is>
      </c>
      <c r="D307" s="12" t="n">
        <v>-0.006746755814810133</v>
      </c>
      <c r="E307" s="13" t="n">
        <v>0.7447978402657842</v>
      </c>
      <c r="F307" s="14" t="n">
        <v>42404.0</v>
      </c>
      <c r="G307" s="15" t="inlineStr">
        <is>
          <t>Early Stage VC</t>
        </is>
      </c>
      <c r="H307" s="16" t="inlineStr">
        <is>
          <t>Series A</t>
        </is>
      </c>
      <c r="I307" s="17" t="n">
        <v>3.35</v>
      </c>
      <c r="J307" s="18" t="n">
        <v>10.05</v>
      </c>
      <c r="K307" s="19" t="inlineStr">
        <is>
          <t>Completed</t>
        </is>
      </c>
      <c r="L307" s="20" t="inlineStr">
        <is>
          <t>Privately Held (backing)</t>
        </is>
      </c>
      <c r="M307" s="21" t="inlineStr">
        <is>
          <t>Venture Capital-Backed</t>
        </is>
      </c>
      <c r="N307" s="22" t="inlineStr">
        <is>
          <t>The company raised $3.35 million of Series A venture funding from lead investor FirstFloor Capital on February 4, 2016, putting the pre-money valuation at $6.7 million. Anchor Asia Management, Aurotek Corporation and undisclosed angel investors also participated. The company intends to use the funds to expand adoption of its platform across multiple applications and markets, including the smart home, lighting, energy management and across industries, grow its team of 50 people, mainly focused on R&amp;D with offices in Southern California and India, to continue developing its hardware, software and Cloud IoT platform and technology, while broadening its compatibility, security and privacy features.</t>
        </is>
      </c>
      <c r="O307" s="23" t="inlineStr">
        <is>
          <t>Anchor Asia Management, Aurotek Corporation/, FirstFloor Capital</t>
        </is>
      </c>
      <c r="P307" s="24" t="inlineStr">
        <is>
          <t/>
        </is>
      </c>
      <c r="Q307" s="25" t="inlineStr">
        <is>
          <t>Electronics (B2C)</t>
        </is>
      </c>
      <c r="R307" s="26" t="inlineStr">
        <is>
          <t>Provider of an Internet of Things (IoT) platform helps to connect objects, locations and people. The company provides an IoT platform that enables devices to connect to the IoT by using Bluetooth Low Energy (BLE) protocols which helps to connect objects, location and people to create smart environments that have predictive intelligence. It also helps customers to connect energy, public infrastructure and healthcare systems with intelligent devices managed by mobile applications and the Cloud.</t>
        </is>
      </c>
      <c r="S307" s="27" t="inlineStr">
        <is>
          <t>Aliso Viejo, CA</t>
        </is>
      </c>
      <c r="T307" s="28" t="inlineStr">
        <is>
          <t>wisilica.com</t>
        </is>
      </c>
      <c r="U307" s="131">
        <f>HYPERLINK("https://my.pitchbook.com?c=137600-56", "View company online")</f>
      </c>
    </row>
    <row r="308">
      <c r="A308" s="30" t="inlineStr">
        <is>
          <t>108889-57</t>
        </is>
      </c>
      <c r="B308" s="31" t="inlineStr">
        <is>
          <t>WishPop</t>
        </is>
      </c>
      <c r="C308" s="32" t="inlineStr">
        <is>
          <t/>
        </is>
      </c>
      <c r="D308" s="33" t="n">
        <v>0.0</v>
      </c>
      <c r="E308" s="34" t="n">
        <v>0.07928691403267674</v>
      </c>
      <c r="F308" s="35" t="inlineStr">
        <is>
          <t/>
        </is>
      </c>
      <c r="G308" s="36" t="inlineStr">
        <is>
          <t>Early Stage VC</t>
        </is>
      </c>
      <c r="H308" s="37" t="inlineStr">
        <is>
          <t/>
        </is>
      </c>
      <c r="I308" s="38" t="inlineStr">
        <is>
          <t/>
        </is>
      </c>
      <c r="J308" s="39" t="inlineStr">
        <is>
          <t/>
        </is>
      </c>
      <c r="K308" s="40" t="inlineStr">
        <is>
          <t>Completed</t>
        </is>
      </c>
      <c r="L308" s="41" t="inlineStr">
        <is>
          <t>Privately Held (backing)</t>
        </is>
      </c>
      <c r="M308" s="42" t="inlineStr">
        <is>
          <t>Venture Capital-Backed</t>
        </is>
      </c>
      <c r="N308" s="43" t="inlineStr">
        <is>
          <t>The company raised venture funding from Inara Ventures on an undisclosed date.</t>
        </is>
      </c>
      <c r="O308" s="44" t="inlineStr">
        <is>
          <t>Inara Ventures</t>
        </is>
      </c>
      <c r="P308" s="45" t="inlineStr">
        <is>
          <t/>
        </is>
      </c>
      <c r="Q308" s="46" t="inlineStr">
        <is>
          <t>Application Software</t>
        </is>
      </c>
      <c r="R308" s="47" t="inlineStr">
        <is>
          <t>Provider of a mobile application designed to help children, parents, and other family members better manage gift lists and thank you notes. The company's mobile application provides kids with a place to create gift wish lists and thank you cards and helps grownups know what to buy for children's special events.</t>
        </is>
      </c>
      <c r="S308" s="48" t="inlineStr">
        <is>
          <t>San Francisco, CA</t>
        </is>
      </c>
      <c r="T308" s="49" t="inlineStr">
        <is>
          <t>www.wishpop.com</t>
        </is>
      </c>
      <c r="U308" s="132">
        <f>HYPERLINK("https://my.pitchbook.com?c=108889-57", "View company online")</f>
      </c>
    </row>
    <row r="309">
      <c r="A309" s="9" t="inlineStr">
        <is>
          <t>58776-13</t>
        </is>
      </c>
      <c r="B309" s="10" t="inlineStr">
        <is>
          <t>Wishi</t>
        </is>
      </c>
      <c r="C309" s="11" t="inlineStr">
        <is>
          <t/>
        </is>
      </c>
      <c r="D309" s="12" t="n">
        <v>-0.13474943690888413</v>
      </c>
      <c r="E309" s="13" t="n">
        <v>20.522982741663657</v>
      </c>
      <c r="F309" s="14" t="inlineStr">
        <is>
          <t/>
        </is>
      </c>
      <c r="G309" s="15" t="inlineStr">
        <is>
          <t>Early Stage VC</t>
        </is>
      </c>
      <c r="H309" s="16" t="inlineStr">
        <is>
          <t/>
        </is>
      </c>
      <c r="I309" s="17" t="inlineStr">
        <is>
          <t/>
        </is>
      </c>
      <c r="J309" s="18" t="inlineStr">
        <is>
          <t/>
        </is>
      </c>
      <c r="K309" s="19" t="inlineStr">
        <is>
          <t>Completed</t>
        </is>
      </c>
      <c r="L309" s="20" t="inlineStr">
        <is>
          <t>Privately Held (backing)</t>
        </is>
      </c>
      <c r="M309" s="21" t="inlineStr">
        <is>
          <t>Venture Capital-Backed</t>
        </is>
      </c>
      <c r="N309" s="22" t="inlineStr">
        <is>
          <t>The company raised an undisclosed amount of venture funding from Pembroke Venture Capital Trust and other investors.</t>
        </is>
      </c>
      <c r="O309" s="23" t="inlineStr">
        <is>
          <t>Carmen Busquets, Jerusalem Venture Partners, Pembroke Venture Capital Trust, Runway Incubator, Wekix</t>
        </is>
      </c>
      <c r="P309" s="24" t="inlineStr">
        <is>
          <t/>
        </is>
      </c>
      <c r="Q309" s="25" t="inlineStr">
        <is>
          <t>Social/Platform Software</t>
        </is>
      </c>
      <c r="R309" s="26" t="inlineStr">
        <is>
          <t>Operator of an online community of stylists designed to give people confidence of professional styling. The company's online platform of stylists allows users to chat and share photos of their wardrobe and receive suggestions for new styles from stylists, while also receiving recommendations for new purchases, enabling users to get a professional guidance on fashion.</t>
        </is>
      </c>
      <c r="S309" s="27" t="inlineStr">
        <is>
          <t>San Francisco, CA</t>
        </is>
      </c>
      <c r="T309" s="28" t="inlineStr">
        <is>
          <t>www.wishi.me</t>
        </is>
      </c>
      <c r="U309" s="131">
        <f>HYPERLINK("https://my.pitchbook.com?c=58776-13", "View company online")</f>
      </c>
    </row>
    <row r="310">
      <c r="A310" s="30" t="inlineStr">
        <is>
          <t>163953-64</t>
        </is>
      </c>
      <c r="B310" s="31" t="inlineStr">
        <is>
          <t>Wishbone (Compare Anything)</t>
        </is>
      </c>
      <c r="C310" s="32" t="inlineStr">
        <is>
          <t/>
        </is>
      </c>
      <c r="D310" s="33" t="n">
        <v>0.03139708218408646</v>
      </c>
      <c r="E310" s="34" t="n">
        <v>2.361714130173968</v>
      </c>
      <c r="F310" s="35" t="n">
        <v>42005.0</v>
      </c>
      <c r="G310" s="36" t="inlineStr">
        <is>
          <t>Accelerator/Incubator</t>
        </is>
      </c>
      <c r="H310" s="37" t="inlineStr">
        <is>
          <t/>
        </is>
      </c>
      <c r="I310" s="38" t="inlineStr">
        <is>
          <t/>
        </is>
      </c>
      <c r="J310" s="39" t="inlineStr">
        <is>
          <t/>
        </is>
      </c>
      <c r="K310" s="40" t="inlineStr">
        <is>
          <t>Completed</t>
        </is>
      </c>
      <c r="L310" s="41" t="inlineStr">
        <is>
          <t>Privately Held (backing)</t>
        </is>
      </c>
      <c r="M310" s="42" t="inlineStr">
        <is>
          <t>Venture Capital-Backed</t>
        </is>
      </c>
      <c r="N310" s="43" t="inlineStr">
        <is>
          <t>The company joined Science, and raised an undisclosed amount in funding.</t>
        </is>
      </c>
      <c r="O310" s="44" t="inlineStr">
        <is>
          <t>Science</t>
        </is>
      </c>
      <c r="P310" s="45" t="inlineStr">
        <is>
          <t/>
        </is>
      </c>
      <c r="Q310" s="46" t="inlineStr">
        <is>
          <t>Social/Platform Software</t>
        </is>
      </c>
      <c r="R310" s="47" t="inlineStr">
        <is>
          <t>Provider of an application for comparing social contents. The company enables its users to compare news related to humor, fashion, celebrities, sports and music.</t>
        </is>
      </c>
      <c r="S310" s="48" t="inlineStr">
        <is>
          <t>Santa Monica, CA</t>
        </is>
      </c>
      <c r="T310" s="49" t="inlineStr">
        <is>
          <t>wishbone.io</t>
        </is>
      </c>
      <c r="U310" s="132">
        <f>HYPERLINK("https://my.pitchbook.com?c=163953-64", "View company online")</f>
      </c>
    </row>
    <row r="311">
      <c r="A311" s="9" t="inlineStr">
        <is>
          <t>53780-77</t>
        </is>
      </c>
      <c r="B311" s="10" t="inlineStr">
        <is>
          <t>Wish</t>
        </is>
      </c>
      <c r="C311" s="11" t="n">
        <v>240.0</v>
      </c>
      <c r="D311" s="12" t="n">
        <v>0.5694182259791845</v>
      </c>
      <c r="E311" s="13" t="n">
        <v>1521.1810636065059</v>
      </c>
      <c r="F311" s="14" t="n">
        <v>42871.0</v>
      </c>
      <c r="G311" s="15" t="inlineStr">
        <is>
          <t>Later Stage VC</t>
        </is>
      </c>
      <c r="H311" s="16" t="inlineStr">
        <is>
          <t>Series F</t>
        </is>
      </c>
      <c r="I311" s="17" t="n">
        <v>500.0</v>
      </c>
      <c r="J311" s="18" t="n">
        <v>4000.0</v>
      </c>
      <c r="K311" s="19" t="inlineStr">
        <is>
          <t>Completed</t>
        </is>
      </c>
      <c r="L311" s="20" t="inlineStr">
        <is>
          <t>Privately Held (backing)</t>
        </is>
      </c>
      <c r="M311" s="21" t="inlineStr">
        <is>
          <t>Venture Capital-Backed</t>
        </is>
      </c>
      <c r="N311" s="22" t="inlineStr">
        <is>
          <t>The company raised $500 million of Series F venture funding in a deal led by Everbright-IDG Industrial Fund, an investment vehicle jointly established by China Everbright and IDG Capital on May 16, 2017, putting the pre-money valuation at $3.5 billion. Temasek Holdings, Third Point Ventures, Founders Fund, Formation 8, GGV Capital and DST Global also participated in the round.</t>
        </is>
      </c>
      <c r="O311" s="23" t="inlineStr">
        <is>
          <t>Acequia Capital, AFSquare, Alpha Venture Partners, AME Cloud Ventures, Brian Koo, Charles River Ventures, Cherubic Ventures, China Everbright, Danhua Capital, Digital Garage, DST Global, Elad Gil, Felicis Ventures, FJ Labs, Formation 8, Founders Fund, Fritz Lanman, GGV Capital, Gil Elbaz, Hank Vigil, IDG Capital, IT-Farm Corporation, Jared Leto, JD.com, Keith Rabois, Legend Capital, Michael Stoppelman, Morado Venture Partners, Naval Ravikant, Nils Johnson, Nima Capital, Paige Craig, Paul Bricault, Raptor Group, Raymond Tonsing, Sizhao Yang, Steve Chen, SV Angel, Temasek Holdings, TenOneTen Ventures, Third Point Ventures, Transmedia Capital, Western Technology Investment, William Tai, XG Ventures</t>
        </is>
      </c>
      <c r="P311" s="24" t="inlineStr">
        <is>
          <t/>
        </is>
      </c>
      <c r="Q311" s="25" t="inlineStr">
        <is>
          <t>Social/Platform Software</t>
        </is>
      </c>
      <c r="R311" s="26" t="inlineStr">
        <is>
          <t>Provider of a mobile e-commerce platform intended to sell items directly from the manufacturer. The company's e-commerce platform offers digital shopping by leveraging a global supply chain of direct suppliers and avoiding retail overhead costs. It leverages big data principles to provide personalized browsing services to individual users directly from their smartphones.</t>
        </is>
      </c>
      <c r="S311" s="27" t="inlineStr">
        <is>
          <t>San Francisco, CA</t>
        </is>
      </c>
      <c r="T311" s="28" t="inlineStr">
        <is>
          <t>www.wish.com</t>
        </is>
      </c>
      <c r="U311" s="131">
        <f>HYPERLINK("https://my.pitchbook.com?c=53780-77", "View company online")</f>
      </c>
    </row>
    <row r="312">
      <c r="A312" s="30" t="inlineStr">
        <is>
          <t>55377-73</t>
        </is>
      </c>
      <c r="B312" s="31" t="inlineStr">
        <is>
          <t>WiserCare</t>
        </is>
      </c>
      <c r="C312" s="32" t="inlineStr">
        <is>
          <t/>
        </is>
      </c>
      <c r="D312" s="33" t="n">
        <v>0.0</v>
      </c>
      <c r="E312" s="34" t="n">
        <v>1.027027027027027</v>
      </c>
      <c r="F312" s="35" t="n">
        <v>42867.0</v>
      </c>
      <c r="G312" s="36" t="inlineStr">
        <is>
          <t>Early Stage VC</t>
        </is>
      </c>
      <c r="H312" s="37" t="inlineStr">
        <is>
          <t/>
        </is>
      </c>
      <c r="I312" s="38" t="n">
        <v>3.83</v>
      </c>
      <c r="J312" s="39" t="inlineStr">
        <is>
          <t/>
        </is>
      </c>
      <c r="K312" s="40" t="inlineStr">
        <is>
          <t>Completed</t>
        </is>
      </c>
      <c r="L312" s="41" t="inlineStr">
        <is>
          <t>Privately Held (backing)</t>
        </is>
      </c>
      <c r="M312" s="42" t="inlineStr">
        <is>
          <t>Venture Capital-Backed</t>
        </is>
      </c>
      <c r="N312" s="43" t="inlineStr">
        <is>
          <t>The company raised $3.83 million of venture funding from Vidinovo, Mayo Clinic, Inevitable Ventures, Okapi Venture Capital and other undisclosed investors on May 12, 2017.</t>
        </is>
      </c>
      <c r="O312" s="44" t="inlineStr">
        <is>
          <t>Abundant Ventures, Arthur Bilger, Christopher Ahearn, Dmitri Mehlhorn, HX360, Inevitable Ventures, Jeffrey McCormick, Mayo Clinic, Mayo Clinic Foundation, Okapi Venture Capital, Oxeon Partners, Peter Liu, Pritzker Group Venture Capital, Rajit Malhotra, Ted Meisel, Todd Daum, Vidinovo</t>
        </is>
      </c>
      <c r="P312" s="45" t="inlineStr">
        <is>
          <t/>
        </is>
      </c>
      <c r="Q312" s="46" t="inlineStr">
        <is>
          <t>Social/Platform Software</t>
        </is>
      </c>
      <c r="R312" s="47" t="inlineStr">
        <is>
          <t>Provider of a healthcare decision making platform. The company provides personalized reports that include evidence based treatment options, medical records, personal values, preferences regarding patients treatment options and details to patients about the success rates of each treatment and its associated side effects.</t>
        </is>
      </c>
      <c r="S312" s="48" t="inlineStr">
        <is>
          <t>Los Angeles, CA</t>
        </is>
      </c>
      <c r="T312" s="49" t="inlineStr">
        <is>
          <t>www.wisercare.com</t>
        </is>
      </c>
      <c r="U312" s="132">
        <f>HYPERLINK("https://my.pitchbook.com?c=55377-73", "View company online")</f>
      </c>
    </row>
    <row r="313">
      <c r="A313" s="9" t="inlineStr">
        <is>
          <t>56361-43</t>
        </is>
      </c>
      <c r="B313" s="10" t="inlineStr">
        <is>
          <t>Wiser</t>
        </is>
      </c>
      <c r="C313" s="11" t="inlineStr">
        <is>
          <t/>
        </is>
      </c>
      <c r="D313" s="12" t="n">
        <v>-0.027591307316609647</v>
      </c>
      <c r="E313" s="13" t="n">
        <v>0.36372399086105794</v>
      </c>
      <c r="F313" s="14" t="n">
        <v>42522.0</v>
      </c>
      <c r="G313" s="15" t="inlineStr">
        <is>
          <t>Early Stage VC</t>
        </is>
      </c>
      <c r="H313" s="16" t="inlineStr">
        <is>
          <t/>
        </is>
      </c>
      <c r="I313" s="17" t="inlineStr">
        <is>
          <t/>
        </is>
      </c>
      <c r="J313" s="18" t="inlineStr">
        <is>
          <t/>
        </is>
      </c>
      <c r="K313" s="19" t="inlineStr">
        <is>
          <t>Completed</t>
        </is>
      </c>
      <c r="L313" s="20" t="inlineStr">
        <is>
          <t>Privately Held (backing)</t>
        </is>
      </c>
      <c r="M313" s="21" t="inlineStr">
        <is>
          <t>Venture Capital-Backed</t>
        </is>
      </c>
      <c r="N313" s="22" t="inlineStr">
        <is>
          <t>The company raised an undisclosed amount of venture funding from Mogility Capital in June 2016.</t>
        </is>
      </c>
      <c r="O313" s="23" t="inlineStr">
        <is>
          <t>Actinic Ventures, FirstGrowth Venture Network, Mogility Capital, New Coast Ventures, NextNews Ventures, Plug and Play Tech Center, Thomas Glocer, TimeSpace, Tom Rutledge, WeWork, Zachary Aarons</t>
        </is>
      </c>
      <c r="P313" s="24" t="inlineStr">
        <is>
          <t/>
        </is>
      </c>
      <c r="Q313" s="25" t="inlineStr">
        <is>
          <t>Publishing</t>
        </is>
      </c>
      <c r="R313" s="26" t="inlineStr">
        <is>
          <t>Provider of a social news reader software designed to deliver news and insight for workforce. The company's social news reader software offers a powerful alternative via a personalized, curated list of stories for each employee, which allows professionals find and share important reads with their coworkers.</t>
        </is>
      </c>
      <c r="S313" s="27" t="inlineStr">
        <is>
          <t>New York, NY</t>
        </is>
      </c>
      <c r="T313" s="28" t="inlineStr">
        <is>
          <t>www.getwiser.com</t>
        </is>
      </c>
      <c r="U313" s="131">
        <f>HYPERLINK("https://my.pitchbook.com?c=56361-43", "View company online")</f>
      </c>
    </row>
    <row r="314">
      <c r="A314" s="30" t="inlineStr">
        <is>
          <t>84236-41</t>
        </is>
      </c>
      <c r="B314" s="31" t="inlineStr">
        <is>
          <t>Wiselike</t>
        </is>
      </c>
      <c r="C314" s="32" t="inlineStr">
        <is>
          <t/>
        </is>
      </c>
      <c r="D314" s="33" t="n">
        <v>-0.026743990257822252</v>
      </c>
      <c r="E314" s="34" t="n">
        <v>31.131012368300503</v>
      </c>
      <c r="F314" s="35" t="n">
        <v>42135.0</v>
      </c>
      <c r="G314" s="36" t="inlineStr">
        <is>
          <t>Seed Round</t>
        </is>
      </c>
      <c r="H314" s="37" t="inlineStr">
        <is>
          <t>Seed</t>
        </is>
      </c>
      <c r="I314" s="38" t="n">
        <v>1.25</v>
      </c>
      <c r="J314" s="39" t="inlineStr">
        <is>
          <t/>
        </is>
      </c>
      <c r="K314" s="40" t="inlineStr">
        <is>
          <t>Completed</t>
        </is>
      </c>
      <c r="L314" s="41" t="inlineStr">
        <is>
          <t>Privately Held (backing)</t>
        </is>
      </c>
      <c r="M314" s="42" t="inlineStr">
        <is>
          <t>Venture Capital-Backed</t>
        </is>
      </c>
      <c r="N314" s="43" t="inlineStr">
        <is>
          <t>The company raised $1.25 million of seed funding from lead investor GGV Capital on May 11, 2015. 500 Startups, GREE Ventures, PreAngel and other undisclosed investors also participated. Prevously, the company joined 500 Startups and raised an undisclosed amount of seed funding as of January 27, 2015. The company also joined Boost VC and received an undisclosed amount of seed funding on October 30, 2014.</t>
        </is>
      </c>
      <c r="O314" s="44" t="inlineStr">
        <is>
          <t>500 Startups, Adam Draper, Boost VC, Brennan O'Donnell, Daniel Chen, David McClure, Eric Kwan, Evan Rapoport, GGV Capital, GREE Ventures, Jay Eum, Jeff Ryan, Oliver Ryan, PreAngel, Sassan Salehipour, Sugath Warnakulasuriya, Wei Guo, Yusuke Asakura</t>
        </is>
      </c>
      <c r="P314" s="45" t="inlineStr">
        <is>
          <t/>
        </is>
      </c>
      <c r="Q314" s="46" t="inlineStr">
        <is>
          <t>Social/Platform Software</t>
        </is>
      </c>
      <c r="R314" s="47" t="inlineStr">
        <is>
          <t>Provider of social-networking platform. The company provides an online community for software engineers to learn and share career advice and information.</t>
        </is>
      </c>
      <c r="S314" s="48" t="inlineStr">
        <is>
          <t>Mountain View, CA</t>
        </is>
      </c>
      <c r="T314" s="49" t="inlineStr">
        <is>
          <t>www.wiselike.com</t>
        </is>
      </c>
      <c r="U314" s="132">
        <f>HYPERLINK("https://my.pitchbook.com?c=84236-41", "View company online")</f>
      </c>
    </row>
    <row r="315">
      <c r="A315" s="9" t="inlineStr">
        <is>
          <t>168652-54</t>
        </is>
      </c>
      <c r="B315" s="10" t="inlineStr">
        <is>
          <t>Wisecrack</t>
        </is>
      </c>
      <c r="C315" s="11" t="inlineStr">
        <is>
          <t/>
        </is>
      </c>
      <c r="D315" s="12" t="n">
        <v>8.545458530841294</v>
      </c>
      <c r="E315" s="13" t="n">
        <v>91.56478794828095</v>
      </c>
      <c r="F315" s="14" t="n">
        <v>42696.0</v>
      </c>
      <c r="G315" s="15" t="inlineStr">
        <is>
          <t>Early Stage VC</t>
        </is>
      </c>
      <c r="H315" s="16" t="inlineStr">
        <is>
          <t/>
        </is>
      </c>
      <c r="I315" s="17" t="n">
        <v>1.0</v>
      </c>
      <c r="J315" s="18" t="inlineStr">
        <is>
          <t/>
        </is>
      </c>
      <c r="K315" s="19" t="inlineStr">
        <is>
          <t>Completed</t>
        </is>
      </c>
      <c r="L315" s="20" t="inlineStr">
        <is>
          <t>Privately Held (backing)</t>
        </is>
      </c>
      <c r="M315" s="21" t="inlineStr">
        <is>
          <t>Venture Capital-Backed</t>
        </is>
      </c>
      <c r="N315" s="22" t="inlineStr">
        <is>
          <t>The company raised $1 million of venture funding from Steve Bornstein,Third Wave Digital and Brett Hurt on November 11, 2016. Gregg Spiridellis also participated in the round.</t>
        </is>
      </c>
      <c r="O315" s="23" t="inlineStr">
        <is>
          <t>Brett Hurt, Gregg Spiridellis, Steve Bornstein, Third Wave Digital</t>
        </is>
      </c>
      <c r="P315" s="24" t="inlineStr">
        <is>
          <t/>
        </is>
      </c>
      <c r="Q315" s="25" t="inlineStr">
        <is>
          <t>Information Services (B2C)</t>
        </is>
      </c>
      <c r="R315" s="26" t="inlineStr">
        <is>
          <t>Operator of an online media platform in the United States. The company provides a web platform which is engages in providing the deeper meaning of a variety of movies, TV shows, video games and music.</t>
        </is>
      </c>
      <c r="S315" s="27" t="inlineStr">
        <is>
          <t>Los Angeles, CA</t>
        </is>
      </c>
      <c r="T315" s="28" t="inlineStr">
        <is>
          <t>www.wisecrack.co</t>
        </is>
      </c>
      <c r="U315" s="131">
        <f>HYPERLINK("https://my.pitchbook.com?c=168652-54", "View company online")</f>
      </c>
    </row>
    <row r="316">
      <c r="A316" s="30" t="inlineStr">
        <is>
          <t>118193-59</t>
        </is>
      </c>
      <c r="B316" s="31" t="inlineStr">
        <is>
          <t>Wise Sons Deli</t>
        </is>
      </c>
      <c r="C316" s="32" t="inlineStr">
        <is>
          <t/>
        </is>
      </c>
      <c r="D316" s="33" t="n">
        <v>0.07162974391447502</v>
      </c>
      <c r="E316" s="34" t="n">
        <v>6.397547750403315</v>
      </c>
      <c r="F316" s="35" t="n">
        <v>42478.0</v>
      </c>
      <c r="G316" s="36" t="inlineStr">
        <is>
          <t>Later Stage VC</t>
        </is>
      </c>
      <c r="H316" s="37" t="inlineStr">
        <is>
          <t>Series C</t>
        </is>
      </c>
      <c r="I316" s="38" t="n">
        <v>1.2</v>
      </c>
      <c r="J316" s="39" t="inlineStr">
        <is>
          <t/>
        </is>
      </c>
      <c r="K316" s="40" t="inlineStr">
        <is>
          <t>Completed</t>
        </is>
      </c>
      <c r="L316" s="41" t="inlineStr">
        <is>
          <t>Privately Held (backing)</t>
        </is>
      </c>
      <c r="M316" s="42" t="inlineStr">
        <is>
          <t>Venture Capital-Backed</t>
        </is>
      </c>
      <c r="N316" s="43" t="inlineStr">
        <is>
          <t>The company raised $1.2 million of Series C venture funding from Simon Equity Partners on April 18, 2016.</t>
        </is>
      </c>
      <c r="O316" s="44" t="inlineStr">
        <is>
          <t>Simon Equity Partners</t>
        </is>
      </c>
      <c r="P316" s="45" t="inlineStr">
        <is>
          <t/>
        </is>
      </c>
      <c r="Q316" s="46" t="inlineStr">
        <is>
          <t>Restaurants and Bars</t>
        </is>
      </c>
      <c r="R316" s="47" t="inlineStr">
        <is>
          <t>Operator of a restaurant in San Francisco, California. The company offers a menu of home-style Jewish foods.</t>
        </is>
      </c>
      <c r="S316" s="48" t="inlineStr">
        <is>
          <t>San Francisco, CA</t>
        </is>
      </c>
      <c r="T316" s="49" t="inlineStr">
        <is>
          <t>www.wisesonsdeli.com</t>
        </is>
      </c>
      <c r="U316" s="132">
        <f>HYPERLINK("https://my.pitchbook.com?c=118193-59", "View company online")</f>
      </c>
    </row>
    <row r="317">
      <c r="A317" s="9" t="inlineStr">
        <is>
          <t>103045-51</t>
        </is>
      </c>
      <c r="B317" s="10" t="inlineStr">
        <is>
          <t>WireX Cube Systems</t>
        </is>
      </c>
      <c r="C317" s="11" t="inlineStr">
        <is>
          <t/>
        </is>
      </c>
      <c r="D317" s="12" t="n">
        <v>2.379465308906939</v>
      </c>
      <c r="E317" s="13" t="n">
        <v>0.21876337860125628</v>
      </c>
      <c r="F317" s="14" t="n">
        <v>42206.0</v>
      </c>
      <c r="G317" s="15" t="inlineStr">
        <is>
          <t>Later Stage VC</t>
        </is>
      </c>
      <c r="H317" s="16" t="inlineStr">
        <is>
          <t>Series A1</t>
        </is>
      </c>
      <c r="I317" s="17" t="n">
        <v>9.3</v>
      </c>
      <c r="J317" s="18" t="inlineStr">
        <is>
          <t/>
        </is>
      </c>
      <c r="K317" s="19" t="inlineStr">
        <is>
          <t>Completed</t>
        </is>
      </c>
      <c r="L317" s="20" t="inlineStr">
        <is>
          <t>Privately Held (backing)</t>
        </is>
      </c>
      <c r="M317" s="21" t="inlineStr">
        <is>
          <t>Venture Capital-Backed</t>
        </is>
      </c>
      <c r="N317" s="22" t="inlineStr">
        <is>
          <t>The company raised $9.3 million of Series A1 venture funding from lead investor Vertex Venture Capital on July 21, 2015. Magma Venture Capital, Entrée Capital, Mickey Boodaei, Rakesh Loonkar and Idan Plotnik also participated. The company will use funds to expand the Israeli-based R&amp;D center and establish headquarters in the US.</t>
        </is>
      </c>
      <c r="O317" s="23" t="inlineStr">
        <is>
          <t>8200 EISP, Entrée Capital, Idan Plotnik, Magma Venture Partners, Michael Boodaei, Rakesh Loonkar, Vertex Ventures Israel</t>
        </is>
      </c>
      <c r="P317" s="24" t="inlineStr">
        <is>
          <t/>
        </is>
      </c>
      <c r="Q317" s="25" t="inlineStr">
        <is>
          <t>Network Management Software</t>
        </is>
      </c>
      <c r="R317" s="26" t="inlineStr">
        <is>
          <t>Provider of network intelligence services. The company offers network forensics services that enables businesses to resolve cyber-attacks. Its platform analyses all parts of the enterprise network and translates it into human-readable intelligence, providing full and instant understanding to network security incidents.</t>
        </is>
      </c>
      <c r="S317" s="27" t="inlineStr">
        <is>
          <t>Yehud, Israel</t>
        </is>
      </c>
      <c r="T317" s="28" t="inlineStr">
        <is>
          <t>www.wirexsystems.com</t>
        </is>
      </c>
      <c r="U317" s="131">
        <f>HYPERLINK("https://my.pitchbook.com?c=103045-51", "View company online")</f>
      </c>
    </row>
    <row r="318">
      <c r="A318" s="30" t="inlineStr">
        <is>
          <t>57606-67</t>
        </is>
      </c>
      <c r="B318" s="31" t="inlineStr">
        <is>
          <t>Wirewax</t>
        </is>
      </c>
      <c r="C318" s="32" t="inlineStr">
        <is>
          <t/>
        </is>
      </c>
      <c r="D318" s="33" t="n">
        <v>0.0574043335290186</v>
      </c>
      <c r="E318" s="34" t="n">
        <v>16.991631195886907</v>
      </c>
      <c r="F318" s="35" t="n">
        <v>41604.0</v>
      </c>
      <c r="G318" s="36" t="inlineStr">
        <is>
          <t>Angel (individual)</t>
        </is>
      </c>
      <c r="H318" s="37" t="inlineStr">
        <is>
          <t>Angel</t>
        </is>
      </c>
      <c r="I318" s="38" t="inlineStr">
        <is>
          <t/>
        </is>
      </c>
      <c r="J318" s="39" t="inlineStr">
        <is>
          <t/>
        </is>
      </c>
      <c r="K318" s="40" t="inlineStr">
        <is>
          <t>Completed</t>
        </is>
      </c>
      <c r="L318" s="41" t="inlineStr">
        <is>
          <t>Privately Held (backing)</t>
        </is>
      </c>
      <c r="M318" s="42" t="inlineStr">
        <is>
          <t>Venture Capital-Backed</t>
        </is>
      </c>
      <c r="N318" s="43" t="inlineStr">
        <is>
          <t>The company raised an undisclosed amount of angel funding from Adam Knight on November 26, 2013.</t>
        </is>
      </c>
      <c r="O318" s="44" t="inlineStr">
        <is>
          <t>Adam Knight, BBC Worldwide Labs, Passion Capital, Spencer Hyman</t>
        </is>
      </c>
      <c r="P318" s="45" t="inlineStr">
        <is>
          <t/>
        </is>
      </c>
      <c r="Q318" s="46" t="inlineStr">
        <is>
          <t>Multimedia and Design Software</t>
        </is>
      </c>
      <c r="R318" s="47" t="inlineStr">
        <is>
          <t>Provider of digital interactive platform designed to creating immersive experiences. The company's digital interactive platform offers to to add clickable hotspots, or tags, to any moving person or object in video, enabling users explore extra content opportunities.</t>
        </is>
      </c>
      <c r="S318" s="48" t="inlineStr">
        <is>
          <t>London, United Kingdom</t>
        </is>
      </c>
      <c r="T318" s="49" t="inlineStr">
        <is>
          <t>www.wirewax.com</t>
        </is>
      </c>
      <c r="U318" s="132">
        <f>HYPERLINK("https://my.pitchbook.com?c=57606-67", "View company online")</f>
      </c>
    </row>
    <row r="319">
      <c r="A319" s="9" t="inlineStr">
        <is>
          <t>55190-62</t>
        </is>
      </c>
      <c r="B319" s="10" t="inlineStr">
        <is>
          <t>Wirestone</t>
        </is>
      </c>
      <c r="C319" s="11" t="inlineStr">
        <is>
          <t/>
        </is>
      </c>
      <c r="D319" s="12" t="n">
        <v>0.00625374106622751</v>
      </c>
      <c r="E319" s="13" t="n">
        <v>7.53530864794682</v>
      </c>
      <c r="F319" s="14" t="n">
        <v>37575.0</v>
      </c>
      <c r="G319" s="15" t="inlineStr">
        <is>
          <t>Early Stage VC</t>
        </is>
      </c>
      <c r="H319" s="16" t="inlineStr">
        <is>
          <t/>
        </is>
      </c>
      <c r="I319" s="17" t="n">
        <v>1.83</v>
      </c>
      <c r="J319" s="18" t="inlineStr">
        <is>
          <t/>
        </is>
      </c>
      <c r="K319" s="19" t="inlineStr">
        <is>
          <t>Completed</t>
        </is>
      </c>
      <c r="L319" s="20" t="inlineStr">
        <is>
          <t>Privately Held (backing)</t>
        </is>
      </c>
      <c r="M319" s="21" t="inlineStr">
        <is>
          <t>Venture Capital-Backed</t>
        </is>
      </c>
      <c r="N319" s="22" t="inlineStr">
        <is>
          <t>The company raised $1.83 million of venture funding from undisclosed investors on November 15, 2002.</t>
        </is>
      </c>
      <c r="O319" s="23" t="inlineStr">
        <is>
          <t>b2b Solutions, Edgewater Ventures, Plantagenet Capital Management, PPM America, Prime Ventures</t>
        </is>
      </c>
      <c r="P319" s="24" t="inlineStr">
        <is>
          <t/>
        </is>
      </c>
      <c r="Q319" s="25" t="inlineStr">
        <is>
          <t>Communication Software</t>
        </is>
      </c>
      <c r="R319" s="26" t="inlineStr">
        <is>
          <t>Provider of technology services that allow businesses to connect with their customers. The company provides several types of software that interacts with customers on the internet. The company was formed through the merger of Priscomm (Costa Mesa, Calif.), LiveWire Interactive, (Seattle) Digital Effects (Boise, Idaho), Mediaphex (Boise, Idaho) and Talaria Research (Sacramento, Calif.).</t>
        </is>
      </c>
      <c r="S319" s="27" t="inlineStr">
        <is>
          <t>San Francisco, CA</t>
        </is>
      </c>
      <c r="T319" s="28" t="inlineStr">
        <is>
          <t>www.wirestone.com</t>
        </is>
      </c>
      <c r="U319" s="131">
        <f>HYPERLINK("https://my.pitchbook.com?c=55190-62", "View company online")</f>
      </c>
    </row>
    <row r="320">
      <c r="A320" s="30" t="inlineStr">
        <is>
          <t>98739-55</t>
        </is>
      </c>
      <c r="B320" s="31" t="inlineStr">
        <is>
          <t>Wirepas</t>
        </is>
      </c>
      <c r="C320" s="32" t="n">
        <v>0.73</v>
      </c>
      <c r="D320" s="33" t="n">
        <v>1.1734357648498586</v>
      </c>
      <c r="E320" s="34" t="n">
        <v>4.041074973278363</v>
      </c>
      <c r="F320" s="35" t="n">
        <v>42627.0</v>
      </c>
      <c r="G320" s="36" t="inlineStr">
        <is>
          <t>Later Stage VC</t>
        </is>
      </c>
      <c r="H320" s="37" t="inlineStr">
        <is>
          <t/>
        </is>
      </c>
      <c r="I320" s="38" t="n">
        <v>5.04</v>
      </c>
      <c r="J320" s="39" t="inlineStr">
        <is>
          <t/>
        </is>
      </c>
      <c r="K320" s="40" t="inlineStr">
        <is>
          <t>Completed</t>
        </is>
      </c>
      <c r="L320" s="41" t="inlineStr">
        <is>
          <t>Privately Held (backing)</t>
        </is>
      </c>
      <c r="M320" s="42" t="inlineStr">
        <is>
          <t>Venture Capital-Backed</t>
        </is>
      </c>
      <c r="N320" s="43" t="inlineStr">
        <is>
          <t>The company raised EUR 4.5 million of venture funding from ETF Partners, Vito Ventures and Inventure on September 14, 2016. The company intends to use the funds for firther growth and product development.</t>
        </is>
      </c>
      <c r="O320" s="44" t="inlineStr">
        <is>
          <t>ETF Partners, Inventure, Vito Ventures</t>
        </is>
      </c>
      <c r="P320" s="45" t="inlineStr">
        <is>
          <t/>
        </is>
      </c>
      <c r="Q320" s="46" t="inlineStr">
        <is>
          <t>Wireless Communications Equipment</t>
        </is>
      </c>
      <c r="R320" s="47" t="inlineStr">
        <is>
          <t>Provider of wireless communication services. The company offers multi-hop services and a network stack platform for use in a range of sensor, control and low-bandwidth communication applications.</t>
        </is>
      </c>
      <c r="S320" s="48" t="inlineStr">
        <is>
          <t>Tampere, Finland</t>
        </is>
      </c>
      <c r="T320" s="49" t="inlineStr">
        <is>
          <t>www.wirepas.com</t>
        </is>
      </c>
      <c r="U320" s="132">
        <f>HYPERLINK("https://my.pitchbook.com?c=98739-55", "View company online")</f>
      </c>
    </row>
    <row r="321">
      <c r="A321" s="9" t="inlineStr">
        <is>
          <t>56172-88</t>
        </is>
      </c>
      <c r="B321" s="10" t="inlineStr">
        <is>
          <t>Wireless Glue</t>
        </is>
      </c>
      <c r="C321" s="11" t="inlineStr">
        <is>
          <t/>
        </is>
      </c>
      <c r="D321" s="12" t="n">
        <v>0.0</v>
      </c>
      <c r="E321" s="13" t="n">
        <v>0.9558329515956635</v>
      </c>
      <c r="F321" s="14" t="n">
        <v>41326.0</v>
      </c>
      <c r="G321" s="15" t="inlineStr">
        <is>
          <t>Later Stage VC</t>
        </is>
      </c>
      <c r="H321" s="16" t="inlineStr">
        <is>
          <t>Series B</t>
        </is>
      </c>
      <c r="I321" s="17" t="n">
        <v>4.5</v>
      </c>
      <c r="J321" s="18" t="n">
        <v>11.01</v>
      </c>
      <c r="K321" s="19" t="inlineStr">
        <is>
          <t>Completed</t>
        </is>
      </c>
      <c r="L321" s="20" t="inlineStr">
        <is>
          <t>Privately Held (backing)</t>
        </is>
      </c>
      <c r="M321" s="21" t="inlineStr">
        <is>
          <t>Venture Capital-Backed</t>
        </is>
      </c>
      <c r="N321" s="22" t="inlineStr">
        <is>
          <t>The company raised $4.5 million of Series B venture funding from Innovation Network Corporation of Japan, Momenta Partners, Toko Electric Corporation and Hosiden Corporation on February 21, 2013, putting the company's pre-money valuation at $6.51 million. Clean Pacific Ventures also participated in this round.</t>
        </is>
      </c>
      <c r="O321" s="23" t="inlineStr">
        <is>
          <t>Clean Pacific Ventures, Hosiden Corporation, Innovation Network Corporation of Japan, Momenta Partners, Toko Electric Corporation</t>
        </is>
      </c>
      <c r="P321" s="24" t="inlineStr">
        <is>
          <t/>
        </is>
      </c>
      <c r="Q321" s="25" t="inlineStr">
        <is>
          <t>Application Software</t>
        </is>
      </c>
      <c r="R321" s="26" t="inlineStr">
        <is>
          <t>Provider of a software for improving energy efficiency. The company offers a technology platform that captures and delivers energy data from home which helps users to manage, control and analyze energy efficiency.</t>
        </is>
      </c>
      <c r="S321" s="27" t="inlineStr">
        <is>
          <t>Danville, CA</t>
        </is>
      </c>
      <c r="T321" s="28" t="inlineStr">
        <is>
          <t>www.wirelessglue.com</t>
        </is>
      </c>
      <c r="U321" s="131">
        <f>HYPERLINK("https://my.pitchbook.com?c=56172-88", "View company online")</f>
      </c>
    </row>
    <row r="322">
      <c r="A322" s="30" t="inlineStr">
        <is>
          <t>103710-88</t>
        </is>
      </c>
      <c r="B322" s="31" t="inlineStr">
        <is>
          <t>WinView</t>
        </is>
      </c>
      <c r="C322" s="32" t="inlineStr">
        <is>
          <t/>
        </is>
      </c>
      <c r="D322" s="33" t="n">
        <v>1.3049402944360966</v>
      </c>
      <c r="E322" s="34" t="n">
        <v>2.560130938391808</v>
      </c>
      <c r="F322" s="35" t="n">
        <v>42870.0</v>
      </c>
      <c r="G322" s="36" t="inlineStr">
        <is>
          <t>Later Stage VC</t>
        </is>
      </c>
      <c r="H322" s="37" t="inlineStr">
        <is>
          <t>Series B</t>
        </is>
      </c>
      <c r="I322" s="38" t="n">
        <v>12.34</v>
      </c>
      <c r="J322" s="39" t="n">
        <v>42.34</v>
      </c>
      <c r="K322" s="40" t="inlineStr">
        <is>
          <t>Completed</t>
        </is>
      </c>
      <c r="L322" s="41" t="inlineStr">
        <is>
          <t>Privately Held (backing)</t>
        </is>
      </c>
      <c r="M322" s="42" t="inlineStr">
        <is>
          <t>Venture Capital-Backed</t>
        </is>
      </c>
      <c r="N322" s="43" t="inlineStr">
        <is>
          <t>The company raised $12.34 million of Series B venture funding in a deal led by Tom Rogers on May 15, 2017, putting the pre-money valuation at $30 million. Graham Holdings, Discovery Communications, Monumental Sports &amp; Entertainment and LionTree Advisors also participated in the funding.</t>
        </is>
      </c>
      <c r="O322" s="44" t="inlineStr">
        <is>
          <t>Discovery Communications, Graham Holdings, Hank Ratner, LionTree Advisors, Monumental Sports &amp; Entertainment, Tom Rogers</t>
        </is>
      </c>
      <c r="P322" s="45" t="inlineStr">
        <is>
          <t/>
        </is>
      </c>
      <c r="Q322" s="46" t="inlineStr">
        <is>
          <t>Entertainment Software</t>
        </is>
      </c>
      <c r="R322" s="47" t="inlineStr">
        <is>
          <t>Provider of a TV synchronization platform created for content monetization. The company's platform provides sponsors and advertisers with exclusive access to all the two-screen game participants through sponsorship of the game, in-game videos and incentivized interactive commercials in sports telecasts enabling them to monetize their content and establish a two-screen synchronization standard.</t>
        </is>
      </c>
      <c r="S322" s="48" t="inlineStr">
        <is>
          <t>Redwood City, CA</t>
        </is>
      </c>
      <c r="T322" s="49" t="inlineStr">
        <is>
          <t>www.winviewgames.com</t>
        </is>
      </c>
      <c r="U322" s="132">
        <f>HYPERLINK("https://my.pitchbook.com?c=103710-88", "View company online")</f>
      </c>
    </row>
    <row r="323">
      <c r="A323" s="9" t="inlineStr">
        <is>
          <t>157480-12</t>
        </is>
      </c>
      <c r="B323" s="10" t="inlineStr">
        <is>
          <t>Winnie</t>
        </is>
      </c>
      <c r="C323" s="11" t="inlineStr">
        <is>
          <t/>
        </is>
      </c>
      <c r="D323" s="12" t="n">
        <v>1.3903244109637292</v>
      </c>
      <c r="E323" s="13" t="n">
        <v>3.4312260939748045</v>
      </c>
      <c r="F323" s="14" t="n">
        <v>42670.0</v>
      </c>
      <c r="G323" s="15" t="inlineStr">
        <is>
          <t>Seed Round</t>
        </is>
      </c>
      <c r="H323" s="16" t="inlineStr">
        <is>
          <t>Seed</t>
        </is>
      </c>
      <c r="I323" s="17" t="n">
        <v>1.5</v>
      </c>
      <c r="J323" s="18" t="n">
        <v>8.12</v>
      </c>
      <c r="K323" s="19" t="inlineStr">
        <is>
          <t>Completed</t>
        </is>
      </c>
      <c r="L323" s="20" t="inlineStr">
        <is>
          <t>Privately Held (backing)</t>
        </is>
      </c>
      <c r="M323" s="21" t="inlineStr">
        <is>
          <t>Venture Capital-Backed</t>
        </is>
      </c>
      <c r="N323" s="22" t="inlineStr">
        <is>
          <t>The company raised $1.495 million of seed 2 funding from lead investor Homebrew on October 27, 2016, putting the pre-money valuation at $6.62 million. Flight Ventures, BBG Ventures, Ludlow Ventures ,Deep Fork Capital, KPCBedge and #Angels also participated. The company intends to use the funding to hire engineers to expand it's team of five to accelerate development of new features. This brings the company's total funding to $2.25 million.</t>
        </is>
      </c>
      <c r="O323" s="23" t="inlineStr">
        <is>
          <t>Angels, BBG Ventures, Deep Fork Capital, Graph Ventures, Homebrew, Kleiner Perkins Caufield &amp; Byers, Ludlow Ventures</t>
        </is>
      </c>
      <c r="P323" s="24" t="inlineStr">
        <is>
          <t/>
        </is>
      </c>
      <c r="Q323" s="25" t="inlineStr">
        <is>
          <t>Application Software</t>
        </is>
      </c>
      <c r="R323" s="26" t="inlineStr">
        <is>
          <t>Provider of a location-based discovery application for children. The company offers a directory that provides information from the perspective of parents on nearby restaurants, parks, schools, and other points of interest.</t>
        </is>
      </c>
      <c r="S323" s="27" t="inlineStr">
        <is>
          <t>San Francisco, CA</t>
        </is>
      </c>
      <c r="T323" s="28" t="inlineStr">
        <is>
          <t>www.winnie.com</t>
        </is>
      </c>
      <c r="U323" s="131">
        <f>HYPERLINK("https://my.pitchbook.com?c=157480-12", "View company online")</f>
      </c>
    </row>
    <row r="324">
      <c r="A324" s="30" t="inlineStr">
        <is>
          <t>55309-96</t>
        </is>
      </c>
      <c r="B324" s="31" t="inlineStr">
        <is>
          <t>Wingz</t>
        </is>
      </c>
      <c r="C324" s="32" t="inlineStr">
        <is>
          <t/>
        </is>
      </c>
      <c r="D324" s="33" t="n">
        <v>3.4846127689736344</v>
      </c>
      <c r="E324" s="34" t="n">
        <v>11.96058966377684</v>
      </c>
      <c r="F324" s="35" t="n">
        <v>42394.0</v>
      </c>
      <c r="G324" s="36" t="inlineStr">
        <is>
          <t>Early Stage VC</t>
        </is>
      </c>
      <c r="H324" s="37" t="inlineStr">
        <is>
          <t>Series B</t>
        </is>
      </c>
      <c r="I324" s="38" t="n">
        <v>11.0</v>
      </c>
      <c r="J324" s="39" t="n">
        <v>34.55</v>
      </c>
      <c r="K324" s="40" t="inlineStr">
        <is>
          <t>Completed</t>
        </is>
      </c>
      <c r="L324" s="41" t="inlineStr">
        <is>
          <t>Privately Held (backing)</t>
        </is>
      </c>
      <c r="M324" s="42" t="inlineStr">
        <is>
          <t>Venture Capital-Backed</t>
        </is>
      </c>
      <c r="N324" s="43" t="inlineStr">
        <is>
          <t>The company raised $11 million of Series B venture funding led by Expedia on January 25, 2016, putting the company's pre-money valuation at $28.55 million. Altimeter Capital and Marc Benioff also participated in the round. The round included a $5 million debt portion. The company will use the funding to expand its business.</t>
        </is>
      </c>
      <c r="O324" s="44" t="inlineStr">
        <is>
          <t>Alison Xu, Altimeter Capital Management, Benoit Augagneur, Bess Ho, Big Bloom Investment, Binux Capital, Blue Angel Ventures, Christof Baumbach, Christopher DeSibert, David Chen, Expedia, Florence Venture Partners, Geoff Mathieux, Han-Sheong Lai, Hilton Tam, Iris Lei, James Leszczenski, Jason Trachewsky, Jérémie Berrebi, Jonathan Saunders, Kima Ventures, Kyle Lam, Lawrence Marcus, Marc Benioff, Michael Prentice, Ocotea Holdings, Olive Tree Ventures, Paul C. Jeffries, Plug and Play Tech Center, Sherry Yue, Steven Schlickman</t>
        </is>
      </c>
      <c r="P324" s="45" t="inlineStr">
        <is>
          <t/>
        </is>
      </c>
      <c r="Q324" s="46" t="inlineStr">
        <is>
          <t>Automotive</t>
        </is>
      </c>
      <c r="R324" s="47" t="inlineStr">
        <is>
          <t>Provider of social platform for airport-focused ride sharing. The company enables travelers to schedule private, fixed-price and door-to-door airport rides.</t>
        </is>
      </c>
      <c r="S324" s="48" t="inlineStr">
        <is>
          <t>San Francisco, CA</t>
        </is>
      </c>
      <c r="T324" s="49" t="inlineStr">
        <is>
          <t>www.wingz.me</t>
        </is>
      </c>
      <c r="U324" s="132">
        <f>HYPERLINK("https://my.pitchbook.com?c=55309-96", "View company online")</f>
      </c>
    </row>
    <row r="325">
      <c r="A325" s="9" t="inlineStr">
        <is>
          <t>58447-00</t>
        </is>
      </c>
      <c r="B325" s="10" t="inlineStr">
        <is>
          <t>WingTip</t>
        </is>
      </c>
      <c r="C325" s="11" t="inlineStr">
        <is>
          <t/>
        </is>
      </c>
      <c r="D325" s="12" t="n">
        <v>0.02963088455630486</v>
      </c>
      <c r="E325" s="13" t="n">
        <v>6.0695599536793345</v>
      </c>
      <c r="F325" s="14" t="n">
        <v>38913.0</v>
      </c>
      <c r="G325" s="15" t="inlineStr">
        <is>
          <t>Early Stage VC</t>
        </is>
      </c>
      <c r="H325" s="16" t="inlineStr">
        <is>
          <t>Series A</t>
        </is>
      </c>
      <c r="I325" s="17" t="n">
        <v>0.25</v>
      </c>
      <c r="J325" s="18" t="inlineStr">
        <is>
          <t/>
        </is>
      </c>
      <c r="K325" s="19" t="inlineStr">
        <is>
          <t>Completed</t>
        </is>
      </c>
      <c r="L325" s="20" t="inlineStr">
        <is>
          <t>Privately Held (backing)</t>
        </is>
      </c>
      <c r="M325" s="21" t="inlineStr">
        <is>
          <t>Venture Capital-Backed</t>
        </is>
      </c>
      <c r="N325" s="22" t="inlineStr">
        <is>
          <t>The company raised Series B venture funding from undisclosed investors on May 8, 2012.</t>
        </is>
      </c>
      <c r="O325" s="23" t="inlineStr">
        <is>
          <t>Individual Investor, Jonathan Abrams</t>
        </is>
      </c>
      <c r="P325" s="24" t="inlineStr">
        <is>
          <t/>
        </is>
      </c>
      <c r="Q325" s="25" t="inlineStr">
        <is>
          <t>Specialty Retail</t>
        </is>
      </c>
      <c r="R325" s="26" t="inlineStr">
        <is>
          <t>Operator of a private club and a menswear shop. The company sells men's clothing, accessories, wine, cigar, gifts and also offers club memberships.</t>
        </is>
      </c>
      <c r="S325" s="27" t="inlineStr">
        <is>
          <t>San Francisco, CA</t>
        </is>
      </c>
      <c r="T325" s="28" t="inlineStr">
        <is>
          <t>shop.wingtip.com</t>
        </is>
      </c>
      <c r="U325" s="131">
        <f>HYPERLINK("https://my.pitchbook.com?c=58447-00", "View company online")</f>
      </c>
    </row>
    <row r="326">
      <c r="A326" s="30" t="inlineStr">
        <is>
          <t>171900-37</t>
        </is>
      </c>
      <c r="B326" s="31" t="inlineStr">
        <is>
          <t>WineSOFT</t>
        </is>
      </c>
      <c r="C326" s="98">
        <f>HYPERLINK("https://my.pitchbook.com?rrp=171900-37&amp;type=c", "This Company's information is not available to download. Need this Company? Request availability")</f>
      </c>
      <c r="D326" s="33" t="inlineStr">
        <is>
          <t/>
        </is>
      </c>
      <c r="E326" s="34" t="inlineStr">
        <is>
          <t/>
        </is>
      </c>
      <c r="F326" s="35" t="inlineStr">
        <is>
          <t/>
        </is>
      </c>
      <c r="G326" s="36" t="inlineStr">
        <is>
          <t/>
        </is>
      </c>
      <c r="H326" s="37" t="inlineStr">
        <is>
          <t/>
        </is>
      </c>
      <c r="I326" s="38" t="inlineStr">
        <is>
          <t/>
        </is>
      </c>
      <c r="J326" s="39" t="inlineStr">
        <is>
          <t/>
        </is>
      </c>
      <c r="K326" s="40" t="inlineStr">
        <is>
          <t/>
        </is>
      </c>
      <c r="L326" s="41" t="inlineStr">
        <is>
          <t/>
        </is>
      </c>
      <c r="M326" s="42" t="inlineStr">
        <is>
          <t/>
        </is>
      </c>
      <c r="N326" s="43" t="inlineStr">
        <is>
          <t/>
        </is>
      </c>
      <c r="O326" s="44" t="inlineStr">
        <is>
          <t/>
        </is>
      </c>
      <c r="P326" s="45" t="inlineStr">
        <is>
          <t/>
        </is>
      </c>
      <c r="Q326" s="46" t="inlineStr">
        <is>
          <t/>
        </is>
      </c>
      <c r="R326" s="47" t="inlineStr">
        <is>
          <t/>
        </is>
      </c>
      <c r="S326" s="48" t="inlineStr">
        <is>
          <t/>
        </is>
      </c>
      <c r="T326" s="49" t="inlineStr">
        <is>
          <t/>
        </is>
      </c>
      <c r="U326" s="50" t="inlineStr">
        <is>
          <t/>
        </is>
      </c>
    </row>
    <row r="327">
      <c r="A327" s="9" t="inlineStr">
        <is>
          <t>54704-80</t>
        </is>
      </c>
      <c r="B327" s="10" t="inlineStr">
        <is>
          <t>WineSimple</t>
        </is>
      </c>
      <c r="C327" s="11" t="inlineStr">
        <is>
          <t/>
        </is>
      </c>
      <c r="D327" s="12" t="n">
        <v>-0.017960238367194518</v>
      </c>
      <c r="E327" s="13" t="n">
        <v>1.162272676403111</v>
      </c>
      <c r="F327" s="14" t="n">
        <v>41702.0</v>
      </c>
      <c r="G327" s="15" t="inlineStr">
        <is>
          <t>Early Stage VC</t>
        </is>
      </c>
      <c r="H327" s="16" t="inlineStr">
        <is>
          <t/>
        </is>
      </c>
      <c r="I327" s="17" t="n">
        <v>0.17</v>
      </c>
      <c r="J327" s="18" t="inlineStr">
        <is>
          <t/>
        </is>
      </c>
      <c r="K327" s="19" t="inlineStr">
        <is>
          <t>Completed</t>
        </is>
      </c>
      <c r="L327" s="20" t="inlineStr">
        <is>
          <t>Privately Held (backing)</t>
        </is>
      </c>
      <c r="M327" s="21" t="inlineStr">
        <is>
          <t>Venture Capital-Backed</t>
        </is>
      </c>
      <c r="N327" s="22" t="inlineStr">
        <is>
          <t>The company raised $168,000 of venture funding from Castlegate Capital Advisors, Keiretsu Forum and other undisclosed investors on March 4, 2014.</t>
        </is>
      </c>
      <c r="O327" s="23" t="inlineStr">
        <is>
          <t>Castlegate Capital Advisors, Frontier Venture Capital, Keiretsu Forum</t>
        </is>
      </c>
      <c r="P327" s="24" t="inlineStr">
        <is>
          <t/>
        </is>
      </c>
      <c r="Q327" s="25" t="inlineStr">
        <is>
          <t>Beverages</t>
        </is>
      </c>
      <c r="R327" s="26" t="inlineStr">
        <is>
          <t>Owner and operator of an online wine store. The company offers personalized wines that matches to individual taste preferences.</t>
        </is>
      </c>
      <c r="S327" s="27" t="inlineStr">
        <is>
          <t>San Francisco, CA</t>
        </is>
      </c>
      <c r="T327" s="28" t="inlineStr">
        <is>
          <t>www.winesimple.com</t>
        </is>
      </c>
      <c r="U327" s="131">
        <f>HYPERLINK("https://my.pitchbook.com?c=54704-80", "View company online")</f>
      </c>
    </row>
    <row r="328">
      <c r="A328" s="30" t="inlineStr">
        <is>
          <t>54046-45</t>
        </is>
      </c>
      <c r="B328" s="31" t="inlineStr">
        <is>
          <t>WineDirect</t>
        </is>
      </c>
      <c r="C328" s="32" t="inlineStr">
        <is>
          <t/>
        </is>
      </c>
      <c r="D328" s="33" t="n">
        <v>-0.18705351482767335</v>
      </c>
      <c r="E328" s="34" t="n">
        <v>2.8076741363955806</v>
      </c>
      <c r="F328" s="35" t="n">
        <v>40953.0</v>
      </c>
      <c r="G328" s="36" t="inlineStr">
        <is>
          <t>Later Stage VC</t>
        </is>
      </c>
      <c r="H328" s="37" t="inlineStr">
        <is>
          <t>Series 2</t>
        </is>
      </c>
      <c r="I328" s="38" t="n">
        <v>3.5</v>
      </c>
      <c r="J328" s="39" t="n">
        <v>25.3</v>
      </c>
      <c r="K328" s="40" t="inlineStr">
        <is>
          <t>Completed</t>
        </is>
      </c>
      <c r="L328" s="41" t="inlineStr">
        <is>
          <t>Privately Held (backing)</t>
        </is>
      </c>
      <c r="M328" s="42" t="inlineStr">
        <is>
          <t>Venture Capital-Backed</t>
        </is>
      </c>
      <c r="N328" s="43" t="inlineStr">
        <is>
          <t>The company raised $3.5 million of Series 2 venture funding from undisclosed investors on February 14, 2012, putting the pre-money valuation at $21.8 million. Previously, the company raised $12.1 million of Series 2 venture funding from Allegis Capital, Sid R. Bass Associates and PEI Funds on September 19, 2011, putting the pre-money valuation at $9.7 million. Other undisclosed investors also participated in the round.</t>
        </is>
      </c>
      <c r="O328" s="44" t="inlineStr">
        <is>
          <t>Allegis Capital, PEI Funds, Sid R. Bass Associates</t>
        </is>
      </c>
      <c r="P328" s="45" t="inlineStr">
        <is>
          <t/>
        </is>
      </c>
      <c r="Q328" s="46" t="inlineStr">
        <is>
          <t>Logistics</t>
        </is>
      </c>
      <c r="R328" s="47" t="inlineStr">
        <is>
          <t>Provider of an end-to-end platform designed to offer direct-to-consumer (DTC) services for wineries. The company's end-to-end platform offers logistics services which includes a technology driven fulfillment system, compliance tools and a 3-tier network, enabling wineries to sell wine directly to consumers.</t>
        </is>
      </c>
      <c r="S328" s="48" t="inlineStr">
        <is>
          <t>Napa, CA</t>
        </is>
      </c>
      <c r="T328" s="49" t="inlineStr">
        <is>
          <t>www.winedirect.com</t>
        </is>
      </c>
      <c r="U328" s="132">
        <f>HYPERLINK("https://my.pitchbook.com?c=54046-45", "View company online")</f>
      </c>
    </row>
    <row r="329">
      <c r="A329" s="9" t="inlineStr">
        <is>
          <t>55340-20</t>
        </is>
      </c>
      <c r="B329" s="10" t="inlineStr">
        <is>
          <t>WindSim</t>
        </is>
      </c>
      <c r="C329" s="11" t="n">
        <v>1.59</v>
      </c>
      <c r="D329" s="12" t="n">
        <v>0.5708071297552022</v>
      </c>
      <c r="E329" s="13" t="n">
        <v>2.3953275309207513</v>
      </c>
      <c r="F329" s="14" t="n">
        <v>39407.0</v>
      </c>
      <c r="G329" s="15" t="inlineStr">
        <is>
          <t>Later Stage VC</t>
        </is>
      </c>
      <c r="H329" s="16" t="inlineStr">
        <is>
          <t/>
        </is>
      </c>
      <c r="I329" s="17" t="inlineStr">
        <is>
          <t/>
        </is>
      </c>
      <c r="J329" s="18" t="inlineStr">
        <is>
          <t/>
        </is>
      </c>
      <c r="K329" s="19" t="inlineStr">
        <is>
          <t>Completed</t>
        </is>
      </c>
      <c r="L329" s="20" t="inlineStr">
        <is>
          <t>Privately Held (backing)</t>
        </is>
      </c>
      <c r="M329" s="21" t="inlineStr">
        <is>
          <t>Venture Capital-Backed</t>
        </is>
      </c>
      <c r="N329" s="22" t="inlineStr">
        <is>
          <t>The company raised an undisclosed amount of venture funding from Sarsia on November 21, 2007.</t>
        </is>
      </c>
      <c r="O329" s="23" t="inlineStr">
        <is>
          <t>Sarsia</t>
        </is>
      </c>
      <c r="P329" s="24" t="inlineStr">
        <is>
          <t/>
        </is>
      </c>
      <c r="Q329" s="25" t="inlineStr">
        <is>
          <t>Other Energy</t>
        </is>
      </c>
      <c r="R329" s="26" t="inlineStr">
        <is>
          <t>Provider of software for the simulation of wind resources in complex terrain. The company develops Computational Fluid Dynamics (CFD) technology to optimize wind turbine placement so that users can design profitable wind farms.</t>
        </is>
      </c>
      <c r="S329" s="27" t="inlineStr">
        <is>
          <t>Tønsberg, Norway</t>
        </is>
      </c>
      <c r="T329" s="28" t="inlineStr">
        <is>
          <t>www.windsim.com</t>
        </is>
      </c>
      <c r="U329" s="131">
        <f>HYPERLINK("https://my.pitchbook.com?c=55340-20", "View company online")</f>
      </c>
    </row>
    <row r="330">
      <c r="A330" s="30" t="inlineStr">
        <is>
          <t>55078-12</t>
        </is>
      </c>
      <c r="B330" s="31" t="inlineStr">
        <is>
          <t>Window Seat</t>
        </is>
      </c>
      <c r="C330" s="32" t="inlineStr">
        <is>
          <t/>
        </is>
      </c>
      <c r="D330" s="33" t="n">
        <v>-0.034544421750064024</v>
      </c>
      <c r="E330" s="34" t="n">
        <v>1.3787281069889765</v>
      </c>
      <c r="F330" s="35" t="inlineStr">
        <is>
          <t/>
        </is>
      </c>
      <c r="G330" s="36" t="inlineStr">
        <is>
          <t>Early Stage VC</t>
        </is>
      </c>
      <c r="H330" s="37" t="inlineStr">
        <is>
          <t/>
        </is>
      </c>
      <c r="I330" s="38" t="inlineStr">
        <is>
          <t/>
        </is>
      </c>
      <c r="J330" s="39" t="inlineStr">
        <is>
          <t/>
        </is>
      </c>
      <c r="K330" s="40" t="inlineStr">
        <is>
          <t>Completed</t>
        </is>
      </c>
      <c r="L330" s="41" t="inlineStr">
        <is>
          <t>Privately Held (backing)</t>
        </is>
      </c>
      <c r="M330" s="42" t="inlineStr">
        <is>
          <t>Venture Capital-Backed</t>
        </is>
      </c>
      <c r="N330" s="43" t="inlineStr">
        <is>
          <t>The company raised venture funding from Visium Asset Management on an undisclosed date.</t>
        </is>
      </c>
      <c r="O330" s="44" t="inlineStr">
        <is>
          <t>Visium Asset Management</t>
        </is>
      </c>
      <c r="P330" s="45" t="inlineStr">
        <is>
          <t/>
        </is>
      </c>
      <c r="Q330" s="46" t="inlineStr">
        <is>
          <t>Information Services (B2C)</t>
        </is>
      </c>
      <c r="R330" s="47" t="inlineStr">
        <is>
          <t>Provider of online, in-flight, location-based content and entertainment. The company provides web based, location-aware content and entertainment to wifi-connected airline passengers.</t>
        </is>
      </c>
      <c r="S330" s="48" t="inlineStr">
        <is>
          <t>San Francisco, CA</t>
        </is>
      </c>
      <c r="T330" s="49" t="inlineStr">
        <is>
          <t>www.mondowindow.com</t>
        </is>
      </c>
      <c r="U330" s="132">
        <f>HYPERLINK("https://my.pitchbook.com?c=55078-12", "View company online")</f>
      </c>
    </row>
    <row r="331">
      <c r="A331" s="9" t="inlineStr">
        <is>
          <t>53835-85</t>
        </is>
      </c>
      <c r="B331" s="10" t="inlineStr">
        <is>
          <t>Windensity</t>
        </is>
      </c>
      <c r="C331" s="11" t="inlineStr">
        <is>
          <t/>
        </is>
      </c>
      <c r="D331" s="12" t="inlineStr">
        <is>
          <t/>
        </is>
      </c>
      <c r="E331" s="13" t="inlineStr">
        <is>
          <t/>
        </is>
      </c>
      <c r="F331" s="14" t="n">
        <v>40428.0</v>
      </c>
      <c r="G331" s="15" t="inlineStr">
        <is>
          <t>Early Stage VC</t>
        </is>
      </c>
      <c r="H331" s="16" t="inlineStr">
        <is>
          <t>Series A</t>
        </is>
      </c>
      <c r="I331" s="17" t="n">
        <v>1.3</v>
      </c>
      <c r="J331" s="18" t="inlineStr">
        <is>
          <t/>
        </is>
      </c>
      <c r="K331" s="19" t="inlineStr">
        <is>
          <t>Completed</t>
        </is>
      </c>
      <c r="L331" s="20" t="inlineStr">
        <is>
          <t>Privately Held (backing)</t>
        </is>
      </c>
      <c r="M331" s="21" t="inlineStr">
        <is>
          <t>Venture Capital-Backed</t>
        </is>
      </c>
      <c r="N331" s="22" t="inlineStr">
        <is>
          <t>The company raised $1.3 million of Series A venture funding from lead investor Velocity Venture Capital on September 7, 2010. Strategis Early Ventures also participated in the transaction.</t>
        </is>
      </c>
      <c r="O331" s="23" t="inlineStr">
        <is>
          <t>Strategis Early Ventures, Velocity Venture Capital</t>
        </is>
      </c>
      <c r="P331" s="24" t="inlineStr">
        <is>
          <t/>
        </is>
      </c>
      <c r="Q331" s="25" t="inlineStr">
        <is>
          <t>Machinery (B2B)</t>
        </is>
      </c>
      <c r="R331" s="26" t="inlineStr">
        <is>
          <t>Developer of ducted wind turbines for use on commercial and industrial rooftops. The company sells the turbines to business customers.</t>
        </is>
      </c>
      <c r="S331" s="27" t="inlineStr">
        <is>
          <t>Lincoln, CA</t>
        </is>
      </c>
      <c r="T331" s="28" t="inlineStr">
        <is>
          <t/>
        </is>
      </c>
      <c r="U331" s="131">
        <f>HYPERLINK("https://my.pitchbook.com?c=53835-85", "View company online")</f>
      </c>
    </row>
    <row r="332">
      <c r="A332" s="30" t="inlineStr">
        <is>
          <t>55531-09</t>
        </is>
      </c>
      <c r="B332" s="31" t="inlineStr">
        <is>
          <t>Winc</t>
        </is>
      </c>
      <c r="C332" s="32" t="inlineStr">
        <is>
          <t/>
        </is>
      </c>
      <c r="D332" s="33" t="n">
        <v>-0.008285561195529909</v>
      </c>
      <c r="E332" s="34" t="n">
        <v>281.75003509141317</v>
      </c>
      <c r="F332" s="35" t="n">
        <v>42494.0</v>
      </c>
      <c r="G332" s="36" t="inlineStr">
        <is>
          <t>Early Stage VC</t>
        </is>
      </c>
      <c r="H332" s="37" t="inlineStr">
        <is>
          <t>Series B</t>
        </is>
      </c>
      <c r="I332" s="38" t="n">
        <v>17.53</v>
      </c>
      <c r="J332" s="39" t="n">
        <v>63.38</v>
      </c>
      <c r="K332" s="40" t="inlineStr">
        <is>
          <t>Completed</t>
        </is>
      </c>
      <c r="L332" s="41" t="inlineStr">
        <is>
          <t>Privately Held (backing)</t>
        </is>
      </c>
      <c r="M332" s="42" t="inlineStr">
        <is>
          <t>Venture Capital-Backed</t>
        </is>
      </c>
      <c r="N332" s="43" t="inlineStr">
        <is>
          <t>The company raised $17.53 million of Series B venture funding in a deal co-led by Bessemer Venture Partners and Shining Capital on May 4, 2016, putting the company's estimated pre-money valuation at $45.85 million. Ascend Venture Group also participated.</t>
        </is>
      </c>
      <c r="O332" s="44" t="inlineStr">
        <is>
          <t>500 Startups, Amplify.LA, Ascend Venture Group, Bessemer Venture Partners, Brener International Group, Canyon Creek Capital, Crosscut Ventures, David McClure, Guild Capital, Individual Investor, Josh Spear, Kris Bjornerud, Paul Bricault, Shining Capital, Wavemaker Partners</t>
        </is>
      </c>
      <c r="P332" s="45" t="inlineStr">
        <is>
          <t/>
        </is>
      </c>
      <c r="Q332" s="46" t="inlineStr">
        <is>
          <t>Beverages</t>
        </is>
      </c>
      <c r="R332" s="47" t="inlineStr">
        <is>
          <t>Provider of an online and personalized wine subscription service. The company provides service works by assessing customers' likes and dislikes and offering wines that match customer palates.</t>
        </is>
      </c>
      <c r="S332" s="48" t="inlineStr">
        <is>
          <t>Los Angeles, CA</t>
        </is>
      </c>
      <c r="T332" s="49" t="inlineStr">
        <is>
          <t>www.winc.com</t>
        </is>
      </c>
      <c r="U332" s="132">
        <f>HYPERLINK("https://my.pitchbook.com?c=55531-09", "View company online")</f>
      </c>
    </row>
    <row r="333">
      <c r="A333" s="9" t="inlineStr">
        <is>
          <t>65905-93</t>
        </is>
      </c>
      <c r="B333" s="10" t="inlineStr">
        <is>
          <t>Willowglade Technologies</t>
        </is>
      </c>
      <c r="C333" s="11" t="n">
        <v>8.18</v>
      </c>
      <c r="D333" s="12" t="n">
        <v>-0.05259816421415434</v>
      </c>
      <c r="E333" s="13" t="n">
        <v>0.6594714095082554</v>
      </c>
      <c r="F333" s="14" t="n">
        <v>41596.0</v>
      </c>
      <c r="G333" s="15" t="inlineStr">
        <is>
          <t>Convertible Debt</t>
        </is>
      </c>
      <c r="H333" s="16" t="inlineStr">
        <is>
          <t/>
        </is>
      </c>
      <c r="I333" s="17" t="n">
        <v>0.5</v>
      </c>
      <c r="J333" s="18" t="inlineStr">
        <is>
          <t/>
        </is>
      </c>
      <c r="K333" s="19" t="inlineStr">
        <is>
          <t>Completed</t>
        </is>
      </c>
      <c r="L333" s="20" t="inlineStr">
        <is>
          <t>Privately Held (backing)</t>
        </is>
      </c>
      <c r="M333" s="21" t="inlineStr">
        <is>
          <t>Venture Capital-Backed</t>
        </is>
      </c>
      <c r="N333" s="22" t="inlineStr">
        <is>
          <t>The company raised $500,000 of convertible debt funding from Tallwave and other undisclosed investors on November 18, 2013.</t>
        </is>
      </c>
      <c r="O333" s="23" t="inlineStr">
        <is>
          <t>Tallwave</t>
        </is>
      </c>
      <c r="P333" s="24" t="inlineStr">
        <is>
          <t/>
        </is>
      </c>
      <c r="Q333" s="25" t="inlineStr">
        <is>
          <t>Other Healthcare Technology Systems</t>
        </is>
      </c>
      <c r="R333" s="26" t="inlineStr">
        <is>
          <t>Provider of platforms and applications which help in patient engagement. The company offers a patient-centric platform enabling the patient to inform and participate in their own care coordination and cancer navigation process.</t>
        </is>
      </c>
      <c r="S333" s="27" t="inlineStr">
        <is>
          <t>Rancho Santa Margarita, CA</t>
        </is>
      </c>
      <c r="T333" s="28" t="inlineStr">
        <is>
          <t>www.willowgladetechnologies.com</t>
        </is>
      </c>
      <c r="U333" s="131">
        <f>HYPERLINK("https://my.pitchbook.com?c=65905-93", "View company online")</f>
      </c>
    </row>
    <row r="334">
      <c r="A334" s="30" t="inlineStr">
        <is>
          <t>122343-04</t>
        </is>
      </c>
      <c r="B334" s="31" t="inlineStr">
        <is>
          <t>William Caruso &amp; Associates</t>
        </is>
      </c>
      <c r="C334" s="32" t="inlineStr">
        <is>
          <t/>
        </is>
      </c>
      <c r="D334" s="33" t="n">
        <v>0.0</v>
      </c>
      <c r="E334" s="34" t="n">
        <v>0.21621621621621623</v>
      </c>
      <c r="F334" s="35" t="n">
        <v>42235.0</v>
      </c>
      <c r="G334" s="36" t="inlineStr">
        <is>
          <t>Later Stage VC</t>
        </is>
      </c>
      <c r="H334" s="37" t="inlineStr">
        <is>
          <t/>
        </is>
      </c>
      <c r="I334" s="38" t="inlineStr">
        <is>
          <t/>
        </is>
      </c>
      <c r="J334" s="39" t="inlineStr">
        <is>
          <t/>
        </is>
      </c>
      <c r="K334" s="40" t="inlineStr">
        <is>
          <t>Completed</t>
        </is>
      </c>
      <c r="L334" s="41" t="inlineStr">
        <is>
          <t>Privately Held (backing)</t>
        </is>
      </c>
      <c r="M334" s="42" t="inlineStr">
        <is>
          <t>Venture Capital-Backed</t>
        </is>
      </c>
      <c r="N334" s="43" t="inlineStr">
        <is>
          <t>The company raised an undisclosed amount of venture funding from Aegis Enterprises on August 19, 2015.</t>
        </is>
      </c>
      <c r="O334" s="44" t="inlineStr">
        <is>
          <t>Aegis Enterprises</t>
        </is>
      </c>
      <c r="P334" s="45" t="inlineStr">
        <is>
          <t/>
        </is>
      </c>
      <c r="Q334" s="46" t="inlineStr">
        <is>
          <t>Consulting Services (B2B)</t>
        </is>
      </c>
      <c r="R334" s="47" t="inlineStr">
        <is>
          <t>Provider of planning and design services designed to provide services to the industrial projects. The company provides planning, design, consultancy services and management advisory services for food, beverage, laundry and solid waste systems industries, enabling businesses to work efficiently and bring profits.</t>
        </is>
      </c>
      <c r="S334" s="48" t="inlineStr">
        <is>
          <t>Denver, CO</t>
        </is>
      </c>
      <c r="T334" s="49" t="inlineStr">
        <is>
          <t>www.wcarusoassoc.com</t>
        </is>
      </c>
      <c r="U334" s="132">
        <f>HYPERLINK("https://my.pitchbook.com?c=122343-04", "View company online")</f>
      </c>
    </row>
    <row r="335">
      <c r="A335" s="9" t="inlineStr">
        <is>
          <t>12656-98</t>
        </is>
      </c>
      <c r="B335" s="10" t="inlineStr">
        <is>
          <t>WildTangent</t>
        </is>
      </c>
      <c r="C335" s="11" t="inlineStr">
        <is>
          <t/>
        </is>
      </c>
      <c r="D335" s="12" t="n">
        <v>0.693000636972158</v>
      </c>
      <c r="E335" s="13" t="n">
        <v>113.16910860223314</v>
      </c>
      <c r="F335" s="14" t="inlineStr">
        <is>
          <t/>
        </is>
      </c>
      <c r="G335" s="15" t="inlineStr">
        <is>
          <t>Later Stage VC</t>
        </is>
      </c>
      <c r="H335" s="16" t="inlineStr">
        <is>
          <t/>
        </is>
      </c>
      <c r="I335" s="17" t="inlineStr">
        <is>
          <t/>
        </is>
      </c>
      <c r="J335" s="18" t="inlineStr">
        <is>
          <t/>
        </is>
      </c>
      <c r="K335" s="19" t="inlineStr">
        <is>
          <t>Completed</t>
        </is>
      </c>
      <c r="L335" s="20" t="inlineStr">
        <is>
          <t>Privately Held (backing)</t>
        </is>
      </c>
      <c r="M335" s="21" t="inlineStr">
        <is>
          <t>Venture Capital-Backed</t>
        </is>
      </c>
      <c r="N335" s="22" t="inlineStr">
        <is>
          <t>The company raised an undisclosed amount of venture funding in a deal led by Industry Ventures. Hercules Capital also participated in the round.</t>
        </is>
      </c>
      <c r="O335" s="23" t="inlineStr">
        <is>
          <t>Accenture Technology Ventures, Advanced Technology Ventures, East Peak Capital, GGV Capital, Greylock Partners, Hercules Capital, IDG Ventures USA, Industry Ventures, Madrona Venture Group, Millennium Technology Value Partners, New Millennium Partners, Sony Corporation of America, Venture Law Group, Washington Mutual Bank, WPP Ventures</t>
        </is>
      </c>
      <c r="P335" s="24" t="inlineStr">
        <is>
          <t/>
        </is>
      </c>
      <c r="Q335" s="25" t="inlineStr">
        <is>
          <t>Application Software</t>
        </is>
      </c>
      <c r="R335" s="26" t="inlineStr">
        <is>
          <t>Provider of an online gaming service and game advertising network designed to focus on the distribution and monetization of mobile and online applications. The company's online gaming service and game advertising network offers a portfolio of gaming content to casual, family and hardcore gamers, enabling brand advertisers to connect with targeted gaming audiences across WildTangent games, Facebook and online game destinations.</t>
        </is>
      </c>
      <c r="S335" s="27" t="inlineStr">
        <is>
          <t>Redmond, WA</t>
        </is>
      </c>
      <c r="T335" s="28" t="inlineStr">
        <is>
          <t>www.wildtangent.com</t>
        </is>
      </c>
      <c r="U335" s="131">
        <f>HYPERLINK("https://my.pitchbook.com?c=12656-98", "View company online")</f>
      </c>
    </row>
    <row r="336">
      <c r="A336" s="30" t="inlineStr">
        <is>
          <t>60632-74</t>
        </is>
      </c>
      <c r="B336" s="31" t="inlineStr">
        <is>
          <t>Wildflower Health</t>
        </is>
      </c>
      <c r="C336" s="32" t="inlineStr">
        <is>
          <t/>
        </is>
      </c>
      <c r="D336" s="33" t="n">
        <v>0.2820514986201632</v>
      </c>
      <c r="E336" s="34" t="n">
        <v>1.5328294396091007</v>
      </c>
      <c r="F336" s="35" t="n">
        <v>42184.0</v>
      </c>
      <c r="G336" s="36" t="inlineStr">
        <is>
          <t>Early Stage VC</t>
        </is>
      </c>
      <c r="H336" s="37" t="inlineStr">
        <is>
          <t>Series B</t>
        </is>
      </c>
      <c r="I336" s="38" t="n">
        <v>5.0</v>
      </c>
      <c r="J336" s="39" t="n">
        <v>14.79</v>
      </c>
      <c r="K336" s="40" t="inlineStr">
        <is>
          <t>Completed</t>
        </is>
      </c>
      <c r="L336" s="41" t="inlineStr">
        <is>
          <t>Privately Held (backing)</t>
        </is>
      </c>
      <c r="M336" s="42" t="inlineStr">
        <is>
          <t>Venture Capital-Backed</t>
        </is>
      </c>
      <c r="N336" s="43" t="inlineStr">
        <is>
          <t>The company raised $5 million of Series B venture funding in a deal led by Easton Capital Investment Group and Hatteras Venture Partners on June 29, 2015, putting the company's pre-money valuation at $9.79 million. Cambia Health Solutions, Exxclaim Capital and HealthTech Capital also participated in the round. The company will use funds to expand mobile, enterprise platform for maternity and family health.</t>
        </is>
      </c>
      <c r="O336" s="44" t="inlineStr">
        <is>
          <t>Cambia Health Solutions, Easton Capital Investment Group, Exxclaim Capital, Hatteras Venture Partners, HealthTech Capital, KMG Partners, Rock Health, Xandex Investments</t>
        </is>
      </c>
      <c r="P336" s="45" t="inlineStr">
        <is>
          <t/>
        </is>
      </c>
      <c r="Q336" s="46" t="inlineStr">
        <is>
          <t>Application Software</t>
        </is>
      </c>
      <c r="R336" s="47" t="inlineStr">
        <is>
          <t>Developer of health engagement platform for women. The company developed Due Date Plus which is a mobile maternity program that uses self-reported data to identify high-risk pregnancies and drive interventions by delivering customized tools and content, referring users to care management programs and in some cases steering towards healthcare providers.</t>
        </is>
      </c>
      <c r="S336" s="48" t="inlineStr">
        <is>
          <t>San Francisco, CA</t>
        </is>
      </c>
      <c r="T336" s="49" t="inlineStr">
        <is>
          <t>www.wildflowerhealth.com</t>
        </is>
      </c>
      <c r="U336" s="132">
        <f>HYPERLINK("https://my.pitchbook.com?c=60632-74", "View company online")</f>
      </c>
    </row>
    <row r="337">
      <c r="A337" s="9" t="inlineStr">
        <is>
          <t>51554-98</t>
        </is>
      </c>
      <c r="B337" s="10" t="inlineStr">
        <is>
          <t>Wildcat Discovery Technologies</t>
        </is>
      </c>
      <c r="C337" s="11" t="inlineStr">
        <is>
          <t/>
        </is>
      </c>
      <c r="D337" s="12" t="n">
        <v>0.0</v>
      </c>
      <c r="E337" s="13" t="n">
        <v>1.1775390297129427</v>
      </c>
      <c r="F337" s="14" t="n">
        <v>42740.0</v>
      </c>
      <c r="G337" s="15" t="inlineStr">
        <is>
          <t>Later Stage VC</t>
        </is>
      </c>
      <c r="H337" s="16" t="inlineStr">
        <is>
          <t>Series B</t>
        </is>
      </c>
      <c r="I337" s="17" t="n">
        <v>10.5</v>
      </c>
      <c r="J337" s="18" t="n">
        <v>50.0</v>
      </c>
      <c r="K337" s="19" t="inlineStr">
        <is>
          <t>Completed</t>
        </is>
      </c>
      <c r="L337" s="20" t="inlineStr">
        <is>
          <t>Privately Held (backing)</t>
        </is>
      </c>
      <c r="M337" s="21" t="inlineStr">
        <is>
          <t>Venture Capital-Backed</t>
        </is>
      </c>
      <c r="N337" s="22" t="inlineStr">
        <is>
          <t>The company raised $10.5 million of Series B venture funding from Presidio Partners and 5AM Ventures on January 5, 2017, putting the pre-money valuation at $42 million. The round included a $2.5 million debt portion.</t>
        </is>
      </c>
      <c r="O337" s="23" t="inlineStr">
        <is>
          <t>5AM Ventures, Infield Capital, Presidio Partners, U.S. Department of Energy, Virgin Green Fund, Vision Ridge Partners</t>
        </is>
      </c>
      <c r="P337" s="24" t="inlineStr">
        <is>
          <t/>
        </is>
      </c>
      <c r="Q337" s="25" t="inlineStr">
        <is>
          <t>Energy Storage</t>
        </is>
      </c>
      <c r="R337" s="26" t="inlineStr">
        <is>
          <t>Developer of materials for energy applications. The company develops materials for rechargeable and primary batteries. It also provides collaborative development projects for gas storage, carbon capture, thermoelectrics and structural materials. The company's business model includes two aspects: collaborations and licenses.</t>
        </is>
      </c>
      <c r="S337" s="27" t="inlineStr">
        <is>
          <t>San Diego, CA</t>
        </is>
      </c>
      <c r="T337" s="28" t="inlineStr">
        <is>
          <t>www.wildcatdiscovery.com</t>
        </is>
      </c>
      <c r="U337" s="131">
        <f>HYPERLINK("https://my.pitchbook.com?c=51554-98", "View company online")</f>
      </c>
    </row>
    <row r="338">
      <c r="A338" s="30" t="inlineStr">
        <is>
          <t>173929-96</t>
        </is>
      </c>
      <c r="B338" s="31" t="inlineStr">
        <is>
          <t>WildBlue</t>
        </is>
      </c>
      <c r="C338" s="98">
        <f>HYPERLINK("https://my.pitchbook.com?rrp=173929-96&amp;type=c", "This Company's information is not available to download. Need this Company? Request availability")</f>
      </c>
      <c r="D338" s="33" t="inlineStr">
        <is>
          <t/>
        </is>
      </c>
      <c r="E338" s="34" t="inlineStr">
        <is>
          <t/>
        </is>
      </c>
      <c r="F338" s="35" t="inlineStr">
        <is>
          <t/>
        </is>
      </c>
      <c r="G338" s="36" t="inlineStr">
        <is>
          <t/>
        </is>
      </c>
      <c r="H338" s="37" t="inlineStr">
        <is>
          <t/>
        </is>
      </c>
      <c r="I338" s="38" t="inlineStr">
        <is>
          <t/>
        </is>
      </c>
      <c r="J338" s="39" t="inlineStr">
        <is>
          <t/>
        </is>
      </c>
      <c r="K338" s="40" t="inlineStr">
        <is>
          <t/>
        </is>
      </c>
      <c r="L338" s="41" t="inlineStr">
        <is>
          <t/>
        </is>
      </c>
      <c r="M338" s="42" t="inlineStr">
        <is>
          <t/>
        </is>
      </c>
      <c r="N338" s="43" t="inlineStr">
        <is>
          <t/>
        </is>
      </c>
      <c r="O338" s="44" t="inlineStr">
        <is>
          <t/>
        </is>
      </c>
      <c r="P338" s="45" t="inlineStr">
        <is>
          <t/>
        </is>
      </c>
      <c r="Q338" s="46" t="inlineStr">
        <is>
          <t/>
        </is>
      </c>
      <c r="R338" s="47" t="inlineStr">
        <is>
          <t/>
        </is>
      </c>
      <c r="S338" s="48" t="inlineStr">
        <is>
          <t/>
        </is>
      </c>
      <c r="T338" s="49" t="inlineStr">
        <is>
          <t/>
        </is>
      </c>
      <c r="U338" s="50" t="inlineStr">
        <is>
          <t/>
        </is>
      </c>
    </row>
    <row r="339">
      <c r="A339" s="9" t="inlineStr">
        <is>
          <t>55804-78</t>
        </is>
      </c>
      <c r="B339" s="10" t="inlineStr">
        <is>
          <t>Wikitude</t>
        </is>
      </c>
      <c r="C339" s="11" t="n">
        <v>2.39</v>
      </c>
      <c r="D339" s="12" t="n">
        <v>2.3054786563812883</v>
      </c>
      <c r="E339" s="13" t="n">
        <v>64.79442383219097</v>
      </c>
      <c r="F339" s="14" t="n">
        <v>42052.0</v>
      </c>
      <c r="G339" s="15" t="inlineStr">
        <is>
          <t>Corporate</t>
        </is>
      </c>
      <c r="H339" s="16" t="inlineStr">
        <is>
          <t>Corporate</t>
        </is>
      </c>
      <c r="I339" s="17" t="inlineStr">
        <is>
          <t/>
        </is>
      </c>
      <c r="J339" s="18" t="inlineStr">
        <is>
          <t/>
        </is>
      </c>
      <c r="K339" s="19" t="inlineStr">
        <is>
          <t>Completed</t>
        </is>
      </c>
      <c r="L339" s="20" t="inlineStr">
        <is>
          <t>Privately Held (backing)</t>
        </is>
      </c>
      <c r="M339" s="21" t="inlineStr">
        <is>
          <t>Venture Capital-Backed</t>
        </is>
      </c>
      <c r="N339" s="22" t="inlineStr">
        <is>
          <t>The company received an undisclosed amount of financing from Konica Minolta on February 17, 2016.</t>
        </is>
      </c>
      <c r="O339" s="23" t="inlineStr">
        <is>
          <t>GCP Gamma Capital Partners, i5invest, Konica Minolta, Markus Wagner, Oliver Holle, Tecnet Equity</t>
        </is>
      </c>
      <c r="P339" s="24" t="inlineStr">
        <is>
          <t/>
        </is>
      </c>
      <c r="Q339" s="25" t="inlineStr">
        <is>
          <t>Application Software</t>
        </is>
      </c>
      <c r="R339" s="26" t="inlineStr">
        <is>
          <t>Developer of an augmented reality (AR) technology. The company provides a technology in which real-time data is overlaid onto images taken by the device's camera.</t>
        </is>
      </c>
      <c r="S339" s="27" t="inlineStr">
        <is>
          <t>Salzburg, Austria</t>
        </is>
      </c>
      <c r="T339" s="28" t="inlineStr">
        <is>
          <t>www.wikitude.com</t>
        </is>
      </c>
      <c r="U339" s="131">
        <f>HYPERLINK("https://my.pitchbook.com?c=55804-78", "View company online")</f>
      </c>
    </row>
    <row r="340">
      <c r="A340" s="30" t="inlineStr">
        <is>
          <t>56236-06</t>
        </is>
      </c>
      <c r="B340" s="31" t="inlineStr">
        <is>
          <t>Wikimart</t>
        </is>
      </c>
      <c r="C340" s="32" t="n">
        <v>250.0</v>
      </c>
      <c r="D340" s="33" t="n">
        <v>0.2565276773773992</v>
      </c>
      <c r="E340" s="34" t="n">
        <v>3.4738481480743824</v>
      </c>
      <c r="F340" s="35" t="n">
        <v>41892.0</v>
      </c>
      <c r="G340" s="36" t="inlineStr">
        <is>
          <t>Later Stage VC</t>
        </is>
      </c>
      <c r="H340" s="37" t="inlineStr">
        <is>
          <t>Acquisition Financing</t>
        </is>
      </c>
      <c r="I340" s="38" t="n">
        <v>40.0</v>
      </c>
      <c r="J340" s="39" t="inlineStr">
        <is>
          <t/>
        </is>
      </c>
      <c r="K340" s="40" t="inlineStr">
        <is>
          <t>Completed</t>
        </is>
      </c>
      <c r="L340" s="41" t="inlineStr">
        <is>
          <t>Privately Held (backing)</t>
        </is>
      </c>
      <c r="M340" s="42" t="inlineStr">
        <is>
          <t>Venture Capital-Backed</t>
        </is>
      </c>
      <c r="N340" s="43" t="inlineStr">
        <is>
          <t>The company raised $40 million of Series C venture funding from Anatoliy Goncharov, Michael van Swaaij and other undisclosed investors on September 10, 2014. The financing was used partly for the acquisition of Terminal.ru.</t>
        </is>
      </c>
      <c r="O340" s="44" t="inlineStr">
        <is>
          <t>Anatoliy Goncharov, Cem Sertoglu, Great Oaks Venture Capital, Individual Investor, Michael van Swaaij, Robert Dighero, Stephan Paternot, Taavet Hinrikus, Tiger Global Management</t>
        </is>
      </c>
      <c r="P340" s="45" t="inlineStr">
        <is>
          <t/>
        </is>
      </c>
      <c r="Q340" s="46" t="inlineStr">
        <is>
          <t>Media and Information Services (B2B)</t>
        </is>
      </c>
      <c r="R340" s="47" t="inlineStr">
        <is>
          <t>Provider of an online marketplace platform designed to be market leader in e-commerce. The company's online marketplace platform sells items in all major product categories from consumer electronics to home appliances to apparel and has only professional merchants on the seller side and online buyers on the consumer side, enabling buyers and sellers to transact fairly and securely.</t>
        </is>
      </c>
      <c r="S340" s="48" t="inlineStr">
        <is>
          <t>Moscow, Russia</t>
        </is>
      </c>
      <c r="T340" s="49" t="inlineStr">
        <is>
          <t>www.wikimart.ru</t>
        </is>
      </c>
      <c r="U340" s="132">
        <f>HYPERLINK("https://my.pitchbook.com?c=56236-06", "View company online")</f>
      </c>
    </row>
    <row r="341">
      <c r="A341" s="9" t="inlineStr">
        <is>
          <t>51341-59</t>
        </is>
      </c>
      <c r="B341" s="10" t="inlineStr">
        <is>
          <t>Wikia</t>
        </is>
      </c>
      <c r="C341" s="11" t="inlineStr">
        <is>
          <t/>
        </is>
      </c>
      <c r="D341" s="12" t="n">
        <v>2.9969857035460863</v>
      </c>
      <c r="E341" s="13" t="n">
        <v>142.62266469016652</v>
      </c>
      <c r="F341" s="14" t="n">
        <v>42727.0</v>
      </c>
      <c r="G341" s="15" t="inlineStr">
        <is>
          <t>Later Stage VC</t>
        </is>
      </c>
      <c r="H341" s="16" t="inlineStr">
        <is>
          <t/>
        </is>
      </c>
      <c r="I341" s="17" t="n">
        <v>10.0</v>
      </c>
      <c r="J341" s="18" t="inlineStr">
        <is>
          <t/>
        </is>
      </c>
      <c r="K341" s="19" t="inlineStr">
        <is>
          <t>Completed</t>
        </is>
      </c>
      <c r="L341" s="20" t="inlineStr">
        <is>
          <t>Privately Held (backing)</t>
        </is>
      </c>
      <c r="M341" s="21" t="inlineStr">
        <is>
          <t>Venture Capital-Backed</t>
        </is>
      </c>
      <c r="N341" s="22" t="inlineStr">
        <is>
          <t>The company raised $10 million of bridge financing from Delta-v Capital and other undisclosed investors on December 23, 2016. Previously, the company raised $2.9 million of Series D venture funding from Delta-v Capital in November 2015, putting the company's pre-money valuation at $208.04 million. The company is being actively tracked by PitchBook.</t>
        </is>
      </c>
      <c r="O341" s="23" t="inlineStr">
        <is>
          <t>Amazon.com, Bessemer Venture Partners, Dan Gillmor, Delta-v Capital, Digital Garage, Endeavour Partners, First Round Capital, Gil Penchina, IVP, Joichi Ito, Mitchell Kapor, Nobuyuki Idei, Omidyar Network, Reid Hoffman, Suneight, SV Angel, Tose Company, Tugboat Ventures</t>
        </is>
      </c>
      <c r="P341" s="24" t="inlineStr">
        <is>
          <t/>
        </is>
      </c>
      <c r="Q341" s="25" t="inlineStr">
        <is>
          <t>Social/Platform Software</t>
        </is>
      </c>
      <c r="R341" s="26" t="inlineStr">
        <is>
          <t>Provider of an online community for people to collaboratively publish content on the web. The company's platform allows its users to form new communities around any subject they want to participate by reading or contributing new content.</t>
        </is>
      </c>
      <c r="S341" s="27" t="inlineStr">
        <is>
          <t>San Francisco, CA</t>
        </is>
      </c>
      <c r="T341" s="28" t="inlineStr">
        <is>
          <t>www.wikia.com</t>
        </is>
      </c>
      <c r="U341" s="131">
        <f>HYPERLINK("https://my.pitchbook.com?c=51341-59", "View company online")</f>
      </c>
    </row>
    <row r="342">
      <c r="A342" s="30" t="inlineStr">
        <is>
          <t>102759-40</t>
        </is>
      </c>
      <c r="B342" s="31" t="inlineStr">
        <is>
          <t>Wiivv</t>
        </is>
      </c>
      <c r="C342" s="32" t="inlineStr">
        <is>
          <t/>
        </is>
      </c>
      <c r="D342" s="33" t="n">
        <v>0.6965808825608929</v>
      </c>
      <c r="E342" s="34" t="n">
        <v>4.561485372097016</v>
      </c>
      <c r="F342" s="35" t="n">
        <v>42580.0</v>
      </c>
      <c r="G342" s="36" t="inlineStr">
        <is>
          <t>Early Stage VC</t>
        </is>
      </c>
      <c r="H342" s="37" t="inlineStr">
        <is>
          <t>Series A</t>
        </is>
      </c>
      <c r="I342" s="38" t="n">
        <v>3.88</v>
      </c>
      <c r="J342" s="39" t="inlineStr">
        <is>
          <t/>
        </is>
      </c>
      <c r="K342" s="40" t="inlineStr">
        <is>
          <t>Announced/In Progress</t>
        </is>
      </c>
      <c r="L342" s="41" t="inlineStr">
        <is>
          <t>Privately Held (backing)</t>
        </is>
      </c>
      <c r="M342" s="42" t="inlineStr">
        <is>
          <t>Venture Capital-Backed</t>
        </is>
      </c>
      <c r="N342" s="43" t="inlineStr">
        <is>
          <t>The company closed on $4 million out of a planned undisclosed amount of Series A venture funding in a deal led by a private tech investor syndicate on January 7, 2017. Follow on Eclipse VC, Evonik Venture Capital, Real Ventures, Relentless Pursuit Partners and Asimov Ventures also participated in the round. The company intends to use the funds to launch a new product in custom-fit footwear and to acquire eSoles Inc. The round is set to officially close in Q1 2017. Previously, the company raised $235,000 of product crowdfunding via Kickstarter on February 6, 2016. The company is being actively tracked by PitchBook.</t>
        </is>
      </c>
      <c r="O342" s="44" t="inlineStr">
        <is>
          <t>Asimov Ventures, Canadian Government, Eclipse Ventures, Evonik Venture Capital, FIT Technology Group, Formation 8, MAS Holdings, Real Ventures, Relentless Pursuits Partners, Vyomesh Joshi, William Andrew</t>
        </is>
      </c>
      <c r="P342" s="45" t="inlineStr">
        <is>
          <t/>
        </is>
      </c>
      <c r="Q342" s="46" t="inlineStr">
        <is>
          <t>Footwear</t>
        </is>
      </c>
      <c r="R342" s="47" t="inlineStr">
        <is>
          <t>Manufacturer of bio mechanically optimized custom insoles designed to promote body alignment and reduced foot fatigue. The company's body-perfect custom insoles are designed with custom-fit, 3D printed footwear using a computer vision and capture technology to promote body alignment and reduce foot fatigue.</t>
        </is>
      </c>
      <c r="S342" s="48" t="inlineStr">
        <is>
          <t>Vancouver, Canada</t>
        </is>
      </c>
      <c r="T342" s="49" t="inlineStr">
        <is>
          <t>www.wiivv.com</t>
        </is>
      </c>
      <c r="U342" s="132">
        <f>HYPERLINK("https://my.pitchbook.com?c=102759-40", "View company online")</f>
      </c>
    </row>
    <row r="343">
      <c r="A343" s="9" t="inlineStr">
        <is>
          <t>64911-52</t>
        </is>
      </c>
      <c r="B343" s="10" t="inlineStr">
        <is>
          <t>Widerfi</t>
        </is>
      </c>
      <c r="C343" s="11" t="inlineStr">
        <is>
          <t/>
        </is>
      </c>
      <c r="D343" s="12" t="n">
        <v>0.0</v>
      </c>
      <c r="E343" s="13" t="n">
        <v>0.025423728813559324</v>
      </c>
      <c r="F343" s="14" t="n">
        <v>42867.0</v>
      </c>
      <c r="G343" s="15" t="inlineStr">
        <is>
          <t>Early Stage VC</t>
        </is>
      </c>
      <c r="H343" s="16" t="inlineStr">
        <is>
          <t/>
        </is>
      </c>
      <c r="I343" s="17" t="n">
        <v>0.11</v>
      </c>
      <c r="J343" s="18" t="inlineStr">
        <is>
          <t/>
        </is>
      </c>
      <c r="K343" s="19" t="inlineStr">
        <is>
          <t>Completed</t>
        </is>
      </c>
      <c r="L343" s="20" t="inlineStr">
        <is>
          <t>Privately Held (backing)</t>
        </is>
      </c>
      <c r="M343" s="21" t="inlineStr">
        <is>
          <t>Venture Capital-Backed</t>
        </is>
      </c>
      <c r="N343" s="22" t="inlineStr">
        <is>
          <t>The company raised $100,000 of venture funding from an undisclosed investor on May 12, 2017.</t>
        </is>
      </c>
      <c r="O343" s="23" t="inlineStr">
        <is>
          <t>Nextury Ventures, Plug and Play Tech Center, Practica Capital</t>
        </is>
      </c>
      <c r="P343" s="24" t="inlineStr">
        <is>
          <t/>
        </is>
      </c>
      <c r="Q343" s="25" t="inlineStr">
        <is>
          <t>Telecommunications Service Providers</t>
        </is>
      </c>
      <c r="R343" s="26" t="inlineStr">
        <is>
          <t>Provider of mobile communication services intended to monitor and control data package usage while on roaming tariff. The company offers smartphone and tablet connectivity similar to unlimited flat rate Wi-Fi but without coverage limitations, as the service runs on wide-reaching 3G and LTE infrastructures, providing customers with wide cellular network coverage.</t>
        </is>
      </c>
      <c r="S343" s="27" t="inlineStr">
        <is>
          <t>Sunnyvale, CA</t>
        </is>
      </c>
      <c r="T343" s="28" t="inlineStr">
        <is>
          <t>www.widerfi.com</t>
        </is>
      </c>
      <c r="U343" s="131">
        <f>HYPERLINK("https://my.pitchbook.com?c=64911-52", "View company online")</f>
      </c>
    </row>
    <row r="344">
      <c r="A344" s="30" t="inlineStr">
        <is>
          <t>135909-55</t>
        </is>
      </c>
      <c r="B344" s="31" t="inlineStr">
        <is>
          <t>WiderCircle</t>
        </is>
      </c>
      <c r="C344" s="32" t="inlineStr">
        <is>
          <t/>
        </is>
      </c>
      <c r="D344" s="33" t="n">
        <v>0.0</v>
      </c>
      <c r="E344" s="34" t="n">
        <v>0.07936880980359241</v>
      </c>
      <c r="F344" s="35" t="inlineStr">
        <is>
          <t/>
        </is>
      </c>
      <c r="G344" s="36" t="inlineStr">
        <is>
          <t>Early Stage VC</t>
        </is>
      </c>
      <c r="H344" s="37" t="inlineStr">
        <is>
          <t/>
        </is>
      </c>
      <c r="I344" s="38" t="inlineStr">
        <is>
          <t/>
        </is>
      </c>
      <c r="J344" s="39" t="inlineStr">
        <is>
          <t/>
        </is>
      </c>
      <c r="K344" s="40" t="inlineStr">
        <is>
          <t>Completed</t>
        </is>
      </c>
      <c r="L344" s="41" t="inlineStr">
        <is>
          <t>Privately Held (backing)</t>
        </is>
      </c>
      <c r="M344" s="42" t="inlineStr">
        <is>
          <t>Venture Capital-Backed</t>
        </is>
      </c>
      <c r="N344" s="43" t="inlineStr">
        <is>
          <t>The company raised venture funding from Graph Ventures on an undisclosed date.</t>
        </is>
      </c>
      <c r="O344" s="44" t="inlineStr">
        <is>
          <t>Graph Ventures</t>
        </is>
      </c>
      <c r="P344" s="45" t="inlineStr">
        <is>
          <t/>
        </is>
      </c>
      <c r="Q344" s="46" t="inlineStr">
        <is>
          <t>Application Software</t>
        </is>
      </c>
      <c r="R344" s="47" t="inlineStr">
        <is>
          <t>Provider of an in-personal social platform designed to connect older adults and make them participate in different activities. The company's in-personal social platform helps to strengthen the circles of human connections among older adults, enabling them to share passion for healthcare, science and aging.</t>
        </is>
      </c>
      <c r="S344" s="48" t="inlineStr">
        <is>
          <t>Redwood City, CA</t>
        </is>
      </c>
      <c r="T344" s="49" t="inlineStr">
        <is>
          <t>www.widercircle.net</t>
        </is>
      </c>
      <c r="U344" s="132">
        <f>HYPERLINK("https://my.pitchbook.com?c=135909-55", "View company online")</f>
      </c>
    </row>
    <row r="345">
      <c r="A345" s="9" t="inlineStr">
        <is>
          <t>52390-27</t>
        </is>
      </c>
      <c r="B345" s="10" t="inlineStr">
        <is>
          <t>WideOrbit</t>
        </is>
      </c>
      <c r="C345" s="11" t="n">
        <v>114.36</v>
      </c>
      <c r="D345" s="12" t="n">
        <v>3.0426766815440676</v>
      </c>
      <c r="E345" s="13" t="n">
        <v>13.240148654813357</v>
      </c>
      <c r="F345" s="14" t="n">
        <v>39727.0</v>
      </c>
      <c r="G345" s="15" t="inlineStr">
        <is>
          <t>Later Stage VC</t>
        </is>
      </c>
      <c r="H345" s="16" t="inlineStr">
        <is>
          <t>Series D</t>
        </is>
      </c>
      <c r="I345" s="17" t="n">
        <v>9.5</v>
      </c>
      <c r="J345" s="18" t="n">
        <v>89.5</v>
      </c>
      <c r="K345" s="19" t="inlineStr">
        <is>
          <t>Completed</t>
        </is>
      </c>
      <c r="L345" s="20" t="inlineStr">
        <is>
          <t>Privately Held (backing)</t>
        </is>
      </c>
      <c r="M345" s="21" t="inlineStr">
        <is>
          <t>Venture Capital-Backed</t>
        </is>
      </c>
      <c r="N345" s="22" t="inlineStr">
        <is>
          <t>The company raised $9.5 million of a $10.32 million Series D venture funding in a deal led by Mayfield on October 6, 2008, putting the pre-money valuation at $80 million. Khosla Ventures, Greycroft Partners, Paul Bricault, SharesPost and Hearst Ventures also participated in the round.</t>
        </is>
      </c>
      <c r="O345" s="23" t="inlineStr">
        <is>
          <t>Ali Partovi, Ali Partovi, Georges Harik, Greycroft Partners, Hearst Ventures, Khosla Ventures, Liberty Venture Partners, Mayfield Fund, Meredith, Paul Bricault, Scott Banister, SharesPost, The New York Times, Three Point Group</t>
        </is>
      </c>
      <c r="P345" s="24" t="inlineStr">
        <is>
          <t/>
        </is>
      </c>
      <c r="Q345" s="25" t="inlineStr">
        <is>
          <t>Media and Information Services (B2B)</t>
        </is>
      </c>
      <c r="R345" s="26" t="inlineStr">
        <is>
          <t>Provider of advertising management services. The company caters to the media industry and develops an online platform for managing advertising and sales.</t>
        </is>
      </c>
      <c r="S345" s="27" t="inlineStr">
        <is>
          <t>San Francisco, CA</t>
        </is>
      </c>
      <c r="T345" s="28" t="inlineStr">
        <is>
          <t>www.wideorbit.com</t>
        </is>
      </c>
      <c r="U345" s="131">
        <f>HYPERLINK("https://my.pitchbook.com?c=52390-27", "View company online")</f>
      </c>
    </row>
    <row r="346">
      <c r="A346" s="30" t="inlineStr">
        <is>
          <t>61007-32</t>
        </is>
      </c>
      <c r="B346" s="31" t="inlineStr">
        <is>
          <t>Wideo</t>
        </is>
      </c>
      <c r="C346" s="32" t="inlineStr">
        <is>
          <t/>
        </is>
      </c>
      <c r="D346" s="33" t="n">
        <v>0.003640142791370692</v>
      </c>
      <c r="E346" s="34" t="n">
        <v>13.756297154086395</v>
      </c>
      <c r="F346" s="35" t="n">
        <v>42430.0</v>
      </c>
      <c r="G346" s="36" t="inlineStr">
        <is>
          <t>Early Stage VC</t>
        </is>
      </c>
      <c r="H346" s="37" t="inlineStr">
        <is>
          <t/>
        </is>
      </c>
      <c r="I346" s="38" t="n">
        <v>0.14</v>
      </c>
      <c r="J346" s="39" t="inlineStr">
        <is>
          <t/>
        </is>
      </c>
      <c r="K346" s="40" t="inlineStr">
        <is>
          <t>Completed</t>
        </is>
      </c>
      <c r="L346" s="41" t="inlineStr">
        <is>
          <t>Privately Held (backing)</t>
        </is>
      </c>
      <c r="M346" s="42" t="inlineStr">
        <is>
          <t>Venture Capital-Backed</t>
        </is>
      </c>
      <c r="N346" s="43" t="inlineStr">
        <is>
          <t>The company raised $140,000 of venture funding from NXTP Labs in March 2016. The funds will be used to consolidate its presence in Latin America.</t>
        </is>
      </c>
      <c r="O346" s="44" t="inlineStr">
        <is>
          <t>500 Startups, NXTP Labs, Seedstars World, South Ventures</t>
        </is>
      </c>
      <c r="P346" s="45" t="inlineStr">
        <is>
          <t/>
        </is>
      </c>
      <c r="Q346" s="46" t="inlineStr">
        <is>
          <t>Multimedia and Design Software</t>
        </is>
      </c>
      <c r="R346" s="47" t="inlineStr">
        <is>
          <t>Developer of an online animated video creation platform designed to empower people to create professional online videos. The company's video creation platform provides flexibility beyond templates &amp; themes and offers a selection of templates that can be customized to deliver a message or create one from scratch, helping users create, edit and share unique professional videos in order to elevate their online marketing strategy faster and easier.</t>
        </is>
      </c>
      <c r="S346" s="48" t="inlineStr">
        <is>
          <t>Mountain View, CA</t>
        </is>
      </c>
      <c r="T346" s="49" t="inlineStr">
        <is>
          <t>www.wideo.co/en</t>
        </is>
      </c>
      <c r="U346" s="132">
        <f>HYPERLINK("https://my.pitchbook.com?c=61007-32", "View company online")</f>
      </c>
    </row>
    <row r="347">
      <c r="A347" s="9" t="inlineStr">
        <is>
          <t>60487-57</t>
        </is>
      </c>
      <c r="B347" s="10" t="inlineStr">
        <is>
          <t>Wickr</t>
        </is>
      </c>
      <c r="C347" s="11" t="inlineStr">
        <is>
          <t/>
        </is>
      </c>
      <c r="D347" s="12" t="n">
        <v>0.5940675211150512</v>
      </c>
      <c r="E347" s="13" t="n">
        <v>96.81380043323668</v>
      </c>
      <c r="F347" s="14" t="n">
        <v>42502.0</v>
      </c>
      <c r="G347" s="15" t="inlineStr">
        <is>
          <t>Later Stage VC</t>
        </is>
      </c>
      <c r="H347" s="16" t="inlineStr">
        <is>
          <t>Series C</t>
        </is>
      </c>
      <c r="I347" s="17" t="n">
        <v>34.0</v>
      </c>
      <c r="J347" s="18" t="n">
        <v>171.42</v>
      </c>
      <c r="K347" s="19" t="inlineStr">
        <is>
          <t>Completed</t>
        </is>
      </c>
      <c r="L347" s="20" t="inlineStr">
        <is>
          <t>Privately Held (backing)</t>
        </is>
      </c>
      <c r="M347" s="21" t="inlineStr">
        <is>
          <t>Venture Capital-Backed</t>
        </is>
      </c>
      <c r="N347" s="22" t="inlineStr">
        <is>
          <t>The company raised $34 million of Series C venture funding from Sand Hill East Ventures and other undisclosed investors on May 12, 2016, putting the company's pre-money valuation at $137.42 million. Previously, the company raised an undisclosed amount of Series B venture funding from CME Ventures on April 27, 2016.</t>
        </is>
      </c>
      <c r="O347" s="23" t="inlineStr">
        <is>
          <t>Alsop Louie Partners, Amit Yoran, Breyer Capital, CME Ventures, Dan Kaminsky, Daniel Loeb, Dolby Family Ventures, Eileen Burbidge, Enterprise Development Center, Erik Prince, Jeff Moss, Jeffrey Parks, Jerry Dixon, John S. and James L. Knight Foundation, Juniper Networks, Michele Burns, Paul Kocher, Peninsula Ventures, Richard A Clarke, Riverwood Capital, Sam Palmisano, Sand Hill East, Singtel Innov8, Thomas Tull, Thor Halvorssen, Whit Diffie</t>
        </is>
      </c>
      <c r="P347" s="24" t="inlineStr">
        <is>
          <t/>
        </is>
      </c>
      <c r="Q347" s="25" t="inlineStr">
        <is>
          <t>Communication Software</t>
        </is>
      </c>
      <c r="R347" s="26" t="inlineStr">
        <is>
          <t>Provider of an end-to end encrypted communications platform designed to help people communicate privately, using military-grade encryption technology. The company's SaaS based mobile messaging platform Wickr, specializes in offering data security services which gives the users the ability to send self-destructing text, photo, and video messages enabling enterprises and consumers safeguard proprietary information and sensitive communications.</t>
        </is>
      </c>
      <c r="S347" s="27" t="inlineStr">
        <is>
          <t>Chicago, IL</t>
        </is>
      </c>
      <c r="T347" s="28" t="inlineStr">
        <is>
          <t>www.wickr.com</t>
        </is>
      </c>
      <c r="U347" s="131">
        <f>HYPERLINK("https://my.pitchbook.com?c=60487-57", "View company online")</f>
      </c>
    </row>
    <row r="348">
      <c r="A348" s="30" t="inlineStr">
        <is>
          <t>99357-76</t>
        </is>
      </c>
      <c r="B348" s="31" t="inlineStr">
        <is>
          <t>Wicked Fun</t>
        </is>
      </c>
      <c r="C348" s="32" t="inlineStr">
        <is>
          <t/>
        </is>
      </c>
      <c r="D348" s="33" t="n">
        <v>0.011847071036343129</v>
      </c>
      <c r="E348" s="34" t="n">
        <v>0.4597045303014352</v>
      </c>
      <c r="F348" s="35" t="n">
        <v>41940.0</v>
      </c>
      <c r="G348" s="36" t="inlineStr">
        <is>
          <t>Early Stage VC</t>
        </is>
      </c>
      <c r="H348" s="37" t="inlineStr">
        <is>
          <t>Series A</t>
        </is>
      </c>
      <c r="I348" s="38" t="n">
        <v>5.4</v>
      </c>
      <c r="J348" s="39" t="n">
        <v>12.86</v>
      </c>
      <c r="K348" s="40" t="inlineStr">
        <is>
          <t>Completed</t>
        </is>
      </c>
      <c r="L348" s="41" t="inlineStr">
        <is>
          <t>Privately Held (backing)</t>
        </is>
      </c>
      <c r="M348" s="42" t="inlineStr">
        <is>
          <t>Venture Capital-Backed</t>
        </is>
      </c>
      <c r="N348" s="43" t="inlineStr">
        <is>
          <t>The company raised $5.4 million of Series A and A1 venture funding from Larry Marcus, Jason Trachewsky and other undisclosed investors on October 28, 2014, putting the pre-money valuation at $7.46 million.</t>
        </is>
      </c>
      <c r="O348" s="44" t="inlineStr">
        <is>
          <t>Jason Trachewsky, Lawrence Marcus</t>
        </is>
      </c>
      <c r="P348" s="45" t="inlineStr">
        <is>
          <t/>
        </is>
      </c>
      <c r="Q348" s="46" t="inlineStr">
        <is>
          <t>Entertainment Software</t>
        </is>
      </c>
      <c r="R348" s="47" t="inlineStr">
        <is>
          <t>Developer of a real-time gaming platform. The company's real-time gaming platform offers puzzled strategy based games for its customers.</t>
        </is>
      </c>
      <c r="S348" s="48" t="inlineStr">
        <is>
          <t>Emeryville, CA</t>
        </is>
      </c>
      <c r="T348" s="49" t="inlineStr">
        <is>
          <t>www.wickedfun.com</t>
        </is>
      </c>
      <c r="U348" s="132">
        <f>HYPERLINK("https://my.pitchbook.com?c=99357-76", "View company online")</f>
      </c>
    </row>
    <row r="349">
      <c r="A349" s="9" t="inlineStr">
        <is>
          <t>54756-64</t>
        </is>
      </c>
      <c r="B349" s="10" t="inlineStr">
        <is>
          <t>Wibmo</t>
        </is>
      </c>
      <c r="C349" s="11" t="inlineStr">
        <is>
          <t/>
        </is>
      </c>
      <c r="D349" s="12" t="n">
        <v>0.19132755205642132</v>
      </c>
      <c r="E349" s="13" t="n">
        <v>0.2596203109099203</v>
      </c>
      <c r="F349" s="14" t="n">
        <v>40877.0</v>
      </c>
      <c r="G349" s="15" t="inlineStr">
        <is>
          <t>Later Stage VC</t>
        </is>
      </c>
      <c r="H349" s="16" t="inlineStr">
        <is>
          <t>Series B</t>
        </is>
      </c>
      <c r="I349" s="17" t="n">
        <v>5.0</v>
      </c>
      <c r="J349" s="18" t="inlineStr">
        <is>
          <t/>
        </is>
      </c>
      <c r="K349" s="19" t="inlineStr">
        <is>
          <t>Completed</t>
        </is>
      </c>
      <c r="L349" s="20" t="inlineStr">
        <is>
          <t>Privately Held (backing)</t>
        </is>
      </c>
      <c r="M349" s="21" t="inlineStr">
        <is>
          <t>Venture Capital-Backed</t>
        </is>
      </c>
      <c r="N349" s="22" t="inlineStr">
        <is>
          <t>The company raised $5 million of Series B venture funding from Accel, Footprint Ventures and Intel Capital on November 30, 2011.</t>
        </is>
      </c>
      <c r="O349" s="23" t="inlineStr">
        <is>
          <t>Accel, Footprint Ventures, Individual Investor, Intel Capital, Western Technology Investment</t>
        </is>
      </c>
      <c r="P349" s="24" t="inlineStr">
        <is>
          <t/>
        </is>
      </c>
      <c r="Q349" s="25" t="inlineStr">
        <is>
          <t>Application Software</t>
        </is>
      </c>
      <c r="R349" s="26" t="inlineStr">
        <is>
          <t>Provider of a mobile payments platform designed to offer a shared mobile payment ecosystem. The company's mobile payments platform helps credit and debit card holders to make mobile payments directly from their cards at VISA, MasterCard merchants, as well as offers payment authentication services, fraud detection and prevention and payment gateway services, enabling financial institutions and other service providers to rapidly deploy and manage a host of payment services.</t>
        </is>
      </c>
      <c r="S349" s="27" t="inlineStr">
        <is>
          <t>Cupertino, CA</t>
        </is>
      </c>
      <c r="T349" s="28" t="inlineStr">
        <is>
          <t>web.wibmo.com</t>
        </is>
      </c>
      <c r="U349" s="131">
        <f>HYPERLINK("https://my.pitchbook.com?c=54756-64", "View company online")</f>
      </c>
    </row>
    <row r="350">
      <c r="A350" s="30" t="inlineStr">
        <is>
          <t>53331-76</t>
        </is>
      </c>
      <c r="B350" s="31" t="inlineStr">
        <is>
          <t>WibiData Technologies</t>
        </is>
      </c>
      <c r="C350" s="32" t="inlineStr">
        <is>
          <t/>
        </is>
      </c>
      <c r="D350" s="33" t="n">
        <v>0.011210462568050139</v>
      </c>
      <c r="E350" s="34" t="n">
        <v>3.390704284661543</v>
      </c>
      <c r="F350" s="35" t="n">
        <v>41417.0</v>
      </c>
      <c r="G350" s="36" t="inlineStr">
        <is>
          <t>Early Stage VC</t>
        </is>
      </c>
      <c r="H350" s="37" t="inlineStr">
        <is>
          <t>Series B</t>
        </is>
      </c>
      <c r="I350" s="38" t="n">
        <v>15.0</v>
      </c>
      <c r="J350" s="39" t="n">
        <v>66.72</v>
      </c>
      <c r="K350" s="40" t="inlineStr">
        <is>
          <t>Completed</t>
        </is>
      </c>
      <c r="L350" s="41" t="inlineStr">
        <is>
          <t>Privately Held (backing)</t>
        </is>
      </c>
      <c r="M350" s="42" t="inlineStr">
        <is>
          <t>Venture Capital-Backed</t>
        </is>
      </c>
      <c r="N350" s="43" t="inlineStr">
        <is>
          <t>The company raised $15 million of Series B venture funding from lead investor Canaan Partners on May 23, 2013, putting the pre-money valuation at $51.72 million. New Enterprise Associates, Amplify Partners, Innovation Endeavors, Andy Palmer, Koa Labs, Eric Schmidt and Dror Berman also participated in the round.</t>
        </is>
      </c>
      <c r="O350" s="44" t="inlineStr">
        <is>
          <t>AME Cloud Ventures, Amplify Partners, Andrew Palmer, Canaan Partners, Dror Berman, Eric Schmidt, Individual Investor, Innovation Endeavors, Koa Labs, New Enterprise Associates, SV Angel</t>
        </is>
      </c>
      <c r="P350" s="45" t="inlineStr">
        <is>
          <t/>
        </is>
      </c>
      <c r="Q350" s="46" t="inlineStr">
        <is>
          <t>Database Software</t>
        </is>
      </c>
      <c r="R350" s="47" t="inlineStr">
        <is>
          <t>Provider of data management and analysis services. The company develops big data applications for enterprises to personalize their customer experiences and provides data storage tool, which stores customer profiles and their transaction data as well as analyses customer behavior.</t>
        </is>
      </c>
      <c r="S350" s="48" t="inlineStr">
        <is>
          <t>San Francisco, CA</t>
        </is>
      </c>
      <c r="T350" s="49" t="inlineStr">
        <is>
          <t>www.wibidata.com</t>
        </is>
      </c>
      <c r="U350" s="132">
        <f>HYPERLINK("https://my.pitchbook.com?c=53331-76", "View company online")</f>
      </c>
    </row>
    <row r="351">
      <c r="A351" s="9" t="inlineStr">
        <is>
          <t>98401-15</t>
        </is>
      </c>
      <c r="B351" s="10" t="inlineStr">
        <is>
          <t>WiActs</t>
        </is>
      </c>
      <c r="C351" s="11" t="inlineStr">
        <is>
          <t/>
        </is>
      </c>
      <c r="D351" s="12" t="n">
        <v>0.01498792171737997</v>
      </c>
      <c r="E351" s="13" t="n">
        <v>0.8003860055444433</v>
      </c>
      <c r="F351" s="14" t="n">
        <v>42359.0</v>
      </c>
      <c r="G351" s="15" t="inlineStr">
        <is>
          <t>Early Stage VC</t>
        </is>
      </c>
      <c r="H351" s="16" t="inlineStr">
        <is>
          <t/>
        </is>
      </c>
      <c r="I351" s="17" t="inlineStr">
        <is>
          <t/>
        </is>
      </c>
      <c r="J351" s="18" t="inlineStr">
        <is>
          <t/>
        </is>
      </c>
      <c r="K351" s="19" t="inlineStr">
        <is>
          <t>Completed</t>
        </is>
      </c>
      <c r="L351" s="20" t="inlineStr">
        <is>
          <t>Privately Held (backing)</t>
        </is>
      </c>
      <c r="M351" s="21" t="inlineStr">
        <is>
          <t>Venture Capital-Backed</t>
        </is>
      </c>
      <c r="N351" s="22" t="inlineStr">
        <is>
          <t>The company raised an undisclosed amount of bridge funding from Plug and Play on December 21, 2015. Vestor.IN Partners, GVA Capital, PradoSV, and Gremes Venture also participated in the round.</t>
        </is>
      </c>
      <c r="O351" s="23" t="inlineStr">
        <is>
          <t>GVA Capital, Plug and Play Tech Center, PradoSV, Vestor.IN Partners, Wearable IoT World</t>
        </is>
      </c>
      <c r="P351" s="24" t="inlineStr">
        <is>
          <t/>
        </is>
      </c>
      <c r="Q351" s="25" t="inlineStr">
        <is>
          <t>Network Management Software</t>
        </is>
      </c>
      <c r="R351" s="26" t="inlineStr">
        <is>
          <t>Developer of a multi-factor user authentication and identity management platform. The company specializes in developing authentication platform that integrates to the users' workflow and exceeds current market expectations.</t>
        </is>
      </c>
      <c r="S351" s="27" t="inlineStr">
        <is>
          <t>Sunnyvale, CA</t>
        </is>
      </c>
      <c r="T351" s="28" t="inlineStr">
        <is>
          <t>www2.nopassword.com</t>
        </is>
      </c>
      <c r="U351" s="131">
        <f>HYPERLINK("https://my.pitchbook.com?c=98401-15", "View company online")</f>
      </c>
    </row>
    <row r="352">
      <c r="A352" s="30" t="inlineStr">
        <is>
          <t>60919-57</t>
        </is>
      </c>
      <c r="B352" s="31" t="inlineStr">
        <is>
          <t>Whova</t>
        </is>
      </c>
      <c r="C352" s="32" t="inlineStr">
        <is>
          <t/>
        </is>
      </c>
      <c r="D352" s="33" t="n">
        <v>0.13418910540658352</v>
      </c>
      <c r="E352" s="34" t="n">
        <v>3.0572010899203237</v>
      </c>
      <c r="F352" s="35" t="n">
        <v>42510.0</v>
      </c>
      <c r="G352" s="36" t="inlineStr">
        <is>
          <t>Early Stage VC</t>
        </is>
      </c>
      <c r="H352" s="37" t="inlineStr">
        <is>
          <t>Series A1</t>
        </is>
      </c>
      <c r="I352" s="38" t="n">
        <v>1.75</v>
      </c>
      <c r="J352" s="39" t="n">
        <v>42.27</v>
      </c>
      <c r="K352" s="40" t="inlineStr">
        <is>
          <t>Completed</t>
        </is>
      </c>
      <c r="L352" s="41" t="inlineStr">
        <is>
          <t>Privately Held (backing)</t>
        </is>
      </c>
      <c r="M352" s="42" t="inlineStr">
        <is>
          <t>Venture Capital-Backed</t>
        </is>
      </c>
      <c r="N352" s="43" t="inlineStr">
        <is>
          <t>The company raised $1.75 million of Series A1 venture funding from Oriza Ventures, Amino Capital and IvyCap Ventures on May 20, 2016, putting the pre-money valuation at $40.52 million. Other undisclosed angel investors also participated in this round.</t>
        </is>
      </c>
      <c r="O352" s="44" t="inlineStr">
        <is>
          <t>Amino Capital, IvyCap Ventures, National Science Foundation, Oriza Ventures</t>
        </is>
      </c>
      <c r="P352" s="45" t="inlineStr">
        <is>
          <t/>
        </is>
      </c>
      <c r="Q352" s="46" t="inlineStr">
        <is>
          <t>Application Software</t>
        </is>
      </c>
      <c r="R352" s="47" t="inlineStr">
        <is>
          <t>Developer of an event management application designed to conveniently upload all necessary information to a user-friendly web dashboard within a few clicks. The company's event management application, Whova, is a Web-based application that enables event organizers to track and count attendees at events and measures event success by analyzing viewer engagement, enabling them to get their attendees involved in their events.</t>
        </is>
      </c>
      <c r="S352" s="48" t="inlineStr">
        <is>
          <t>San Diego, CA</t>
        </is>
      </c>
      <c r="T352" s="49" t="inlineStr">
        <is>
          <t>www.whova.com</t>
        </is>
      </c>
      <c r="U352" s="132">
        <f>HYPERLINK("https://my.pitchbook.com?c=60919-57", "View company online")</f>
      </c>
    </row>
    <row r="353">
      <c r="A353" s="9" t="inlineStr">
        <is>
          <t>53459-20</t>
        </is>
      </c>
      <c r="B353" s="10" t="inlineStr">
        <is>
          <t>Whole Body</t>
        </is>
      </c>
      <c r="C353" s="11" t="inlineStr">
        <is>
          <t/>
        </is>
      </c>
      <c r="D353" s="12" t="inlineStr">
        <is>
          <t/>
        </is>
      </c>
      <c r="E353" s="13" t="inlineStr">
        <is>
          <t/>
        </is>
      </c>
      <c r="F353" s="14" t="n">
        <v>40273.0</v>
      </c>
      <c r="G353" s="15" t="inlineStr">
        <is>
          <t>Later Stage VC</t>
        </is>
      </c>
      <c r="H353" s="16" t="inlineStr">
        <is>
          <t>Series B</t>
        </is>
      </c>
      <c r="I353" s="17" t="n">
        <v>2.6</v>
      </c>
      <c r="J353" s="18" t="n">
        <v>41.48</v>
      </c>
      <c r="K353" s="19" t="inlineStr">
        <is>
          <t>Completed</t>
        </is>
      </c>
      <c r="L353" s="20" t="inlineStr">
        <is>
          <t>Privately Held (backing)</t>
        </is>
      </c>
      <c r="M353" s="21" t="inlineStr">
        <is>
          <t>Venture Capital-Backed</t>
        </is>
      </c>
      <c r="N353" s="22" t="inlineStr">
        <is>
          <t>The company raised $2.5 million of Series B venture funding from undisclosed investors on April 5, 2010, putting the pre-money valuation at $39 million.</t>
        </is>
      </c>
      <c r="O353" s="23" t="inlineStr">
        <is>
          <t>Highland Capital Partners</t>
        </is>
      </c>
      <c r="P353" s="24" t="inlineStr">
        <is>
          <t/>
        </is>
      </c>
      <c r="Q353" s="25" t="inlineStr">
        <is>
          <t>Managed Care</t>
        </is>
      </c>
      <c r="R353" s="26" t="inlineStr">
        <is>
          <t>Provider of yoga related goods and services. The company manages a national chain of yoga and fitness studios.</t>
        </is>
      </c>
      <c r="S353" s="27" t="inlineStr">
        <is>
          <t>Santa Monica, CA</t>
        </is>
      </c>
      <c r="T353" s="28" t="inlineStr">
        <is>
          <t/>
        </is>
      </c>
      <c r="U353" s="131">
        <f>HYPERLINK("https://my.pitchbook.com?c=53459-20", "View company online")</f>
      </c>
    </row>
    <row r="354">
      <c r="A354" s="30" t="inlineStr">
        <is>
          <t>107834-86</t>
        </is>
      </c>
      <c r="B354" s="31" t="inlineStr">
        <is>
          <t>Whole Biome</t>
        </is>
      </c>
      <c r="C354" s="32" t="inlineStr">
        <is>
          <t/>
        </is>
      </c>
      <c r="D354" s="33" t="n">
        <v>0.4576086195015406</v>
      </c>
      <c r="E354" s="34" t="n">
        <v>1.0909680867307987</v>
      </c>
      <c r="F354" s="35" t="n">
        <v>42396.0</v>
      </c>
      <c r="G354" s="36" t="inlineStr">
        <is>
          <t>Early Stage VC</t>
        </is>
      </c>
      <c r="H354" s="37" t="inlineStr">
        <is>
          <t>Series A</t>
        </is>
      </c>
      <c r="I354" s="38" t="n">
        <v>8.0</v>
      </c>
      <c r="J354" s="39" t="n">
        <v>20.0</v>
      </c>
      <c r="K354" s="40" t="inlineStr">
        <is>
          <t>Completed</t>
        </is>
      </c>
      <c r="L354" s="41" t="inlineStr">
        <is>
          <t>Privately Held (backing)</t>
        </is>
      </c>
      <c r="M354" s="42" t="inlineStr">
        <is>
          <t>Venture Capital-Backed</t>
        </is>
      </c>
      <c r="N354" s="43" t="inlineStr">
        <is>
          <t>The company raised $8 million of Series A venture funding from Data Collective and True Ventures on January 27, 2016, putting the pre-money valuation at $12 million.</t>
        </is>
      </c>
      <c r="O354" s="44" t="inlineStr">
        <is>
          <t>AME Cloud Ventures, BayBio FAST, California Institute for Quantitative Biosciences, Data Collective, True Ventures</t>
        </is>
      </c>
      <c r="P354" s="45" t="inlineStr">
        <is>
          <t/>
        </is>
      </c>
      <c r="Q354" s="46" t="inlineStr">
        <is>
          <t>Therapeutic Devices</t>
        </is>
      </c>
      <c r="R354" s="47" t="inlineStr">
        <is>
          <t>Provider of a microbiome diagnostic platform. The company develops diagnostics and therapeutics for treatment of patients through equilibration of human microbiomes.</t>
        </is>
      </c>
      <c r="S354" s="48" t="inlineStr">
        <is>
          <t>San Francisco, CA</t>
        </is>
      </c>
      <c r="T354" s="49" t="inlineStr">
        <is>
          <t>www.wholebiome.com</t>
        </is>
      </c>
      <c r="U354" s="132">
        <f>HYPERLINK("https://my.pitchbook.com?c=107834-86", "View company online")</f>
      </c>
    </row>
    <row r="355">
      <c r="A355" s="9" t="inlineStr">
        <is>
          <t>60288-04</t>
        </is>
      </c>
      <c r="B355" s="10" t="inlineStr">
        <is>
          <t>WhoKnows</t>
        </is>
      </c>
      <c r="C355" s="11" t="inlineStr">
        <is>
          <t/>
        </is>
      </c>
      <c r="D355" s="12" t="n">
        <v>0.25270934830905983</v>
      </c>
      <c r="E355" s="13" t="n">
        <v>0.31971222195982696</v>
      </c>
      <c r="F355" s="14" t="n">
        <v>42248.0</v>
      </c>
      <c r="G355" s="15" t="inlineStr">
        <is>
          <t>Seed Round</t>
        </is>
      </c>
      <c r="H355" s="16" t="inlineStr">
        <is>
          <t>Seed</t>
        </is>
      </c>
      <c r="I355" s="17" t="n">
        <v>2.0</v>
      </c>
      <c r="J355" s="18" t="inlineStr">
        <is>
          <t/>
        </is>
      </c>
      <c r="K355" s="19" t="inlineStr">
        <is>
          <t>Completed</t>
        </is>
      </c>
      <c r="L355" s="20" t="inlineStr">
        <is>
          <t>Privately Held (backing)</t>
        </is>
      </c>
      <c r="M355" s="21" t="inlineStr">
        <is>
          <t>Venture Capital-Backed</t>
        </is>
      </c>
      <c r="N355" s="22" t="inlineStr">
        <is>
          <t>The company raised $2 million of seed funding from Intel Capital in September 2015. PivotNorth Capital, Dave Furneaux and other undisclosed investors also participated in the round.</t>
        </is>
      </c>
      <c r="O355" s="23" t="inlineStr">
        <is>
          <t>Citrix Startup Accelerator, Cloud Capital Partners, David Furneaux, Individual Investor, Intel Capital, NewGen Capital, PivotNorth Capital</t>
        </is>
      </c>
      <c r="P355" s="24" t="inlineStr">
        <is>
          <t/>
        </is>
      </c>
      <c r="Q355" s="25" t="inlineStr">
        <is>
          <t>Business/Productivity Software</t>
        </is>
      </c>
      <c r="R355" s="26" t="inlineStr">
        <is>
          <t>Developer of an online platform for accurate expertise discovery and knowledge retention. The company automatically creates comprehensive skills and contact profiles for entire organizations and uses that data to recommend and connect organizations' employees with expert colleagues who possess the skills and contacts to help them excel.</t>
        </is>
      </c>
      <c r="S355" s="27" t="inlineStr">
        <is>
          <t>Redwood City, CA</t>
        </is>
      </c>
      <c r="T355" s="28" t="inlineStr">
        <is>
          <t>corp.whoknows.com</t>
        </is>
      </c>
      <c r="U355" s="131">
        <f>HYPERLINK("https://my.pitchbook.com?c=60288-04", "View company online")</f>
      </c>
    </row>
    <row r="356">
      <c r="A356" s="30" t="inlineStr">
        <is>
          <t>52509-25</t>
        </is>
      </c>
      <c r="B356" s="31" t="inlineStr">
        <is>
          <t>WhiteHat Security</t>
        </is>
      </c>
      <c r="C356" s="32" t="n">
        <v>6.08</v>
      </c>
      <c r="D356" s="33" t="n">
        <v>0.31341899955560115</v>
      </c>
      <c r="E356" s="34" t="n">
        <v>57.32659092137721</v>
      </c>
      <c r="F356" s="35" t="n">
        <v>41270.0</v>
      </c>
      <c r="G356" s="36" t="inlineStr">
        <is>
          <t>Later Stage VC</t>
        </is>
      </c>
      <c r="H356" s="37" t="inlineStr">
        <is>
          <t>Series F</t>
        </is>
      </c>
      <c r="I356" s="38" t="n">
        <v>31.0</v>
      </c>
      <c r="J356" s="39" t="n">
        <v>191.32</v>
      </c>
      <c r="K356" s="40" t="inlineStr">
        <is>
          <t>Completed</t>
        </is>
      </c>
      <c r="L356" s="41" t="inlineStr">
        <is>
          <t>Privately Held (backing)</t>
        </is>
      </c>
      <c r="M356" s="42" t="inlineStr">
        <is>
          <t>Venture Capital-Backed</t>
        </is>
      </c>
      <c r="N356" s="43" t="inlineStr">
        <is>
          <t>The company raised $31 million of Series F funding from lead investor JMI Equity on December 27, 2012, putting the pre-money valuation at $160.32 million. Investor Growth Capital also participated. Previously, the company raised $8 million of Series E venture funding from Investor Growth Capital on July 26, 2011, putting the pre-money valuation at $88 million.</t>
        </is>
      </c>
      <c r="O356" s="44" t="inlineStr">
        <is>
          <t>Altos Ventures, American Pacific Ventures, Authosis Ventures, Garage Technology Ventures, Horizon Ventures, Individual Investor, JMI Equity, ORIX Growth Capital, Patricia Industries, Startup Capital Ventures, Tuputele Ventures, ZAP Ventures</t>
        </is>
      </c>
      <c r="P356" s="45" t="inlineStr">
        <is>
          <t/>
        </is>
      </c>
      <c r="Q356" s="46" t="inlineStr">
        <is>
          <t>Network Management Software</t>
        </is>
      </c>
      <c r="R356" s="47" t="inlineStr">
        <is>
          <t>Provider of a website risk management platform. The company's product prevent web attacks and enables mitigation of website vulnerabilities via integration with web application firewalls.</t>
        </is>
      </c>
      <c r="S356" s="48" t="inlineStr">
        <is>
          <t>Santa Clara, CA</t>
        </is>
      </c>
      <c r="T356" s="49" t="inlineStr">
        <is>
          <t>www.whitehatsec.com</t>
        </is>
      </c>
      <c r="U356" s="132">
        <f>HYPERLINK("https://my.pitchbook.com?c=52509-25", "View company online")</f>
      </c>
    </row>
    <row r="357">
      <c r="A357" s="9" t="inlineStr">
        <is>
          <t>64229-95</t>
        </is>
      </c>
      <c r="B357" s="10" t="inlineStr">
        <is>
          <t>White Ops</t>
        </is>
      </c>
      <c r="C357" s="11" t="inlineStr">
        <is>
          <t/>
        </is>
      </c>
      <c r="D357" s="12" t="n">
        <v>0.03099236108192127</v>
      </c>
      <c r="E357" s="13" t="n">
        <v>13.275830006762211</v>
      </c>
      <c r="F357" s="14" t="n">
        <v>42583.0</v>
      </c>
      <c r="G357" s="15" t="inlineStr">
        <is>
          <t>Early Stage VC</t>
        </is>
      </c>
      <c r="H357" s="16" t="inlineStr">
        <is>
          <t>Series B</t>
        </is>
      </c>
      <c r="I357" s="17" t="n">
        <v>20.0</v>
      </c>
      <c r="J357" s="18" t="n">
        <v>71.75</v>
      </c>
      <c r="K357" s="19" t="inlineStr">
        <is>
          <t>Completed</t>
        </is>
      </c>
      <c r="L357" s="20" t="inlineStr">
        <is>
          <t>Privately Held (backing)</t>
        </is>
      </c>
      <c r="M357" s="21" t="inlineStr">
        <is>
          <t>Venture Capital-Backed</t>
        </is>
      </c>
      <c r="N357" s="22" t="inlineStr">
        <is>
          <t>The company raised $20 million of Series B venture funding in a deal led by Paladin Capital Group and Grotech Ventures on August 1, 2016, putting the pre-money valuation at $51.75 million. Other undisclosed investors also participated. The company intends to use the funds to accelerate research and development efforts and enable strategic expansion of its U.S. and international sales and marketing presence.</t>
        </is>
      </c>
      <c r="O357" s="23" t="inlineStr">
        <is>
          <t>Andy Chou, Eleven Two Capital, Grotech Ventures, Paladin Capital Group, Shawn Carpenter, Shelley Zhuang, Three Tree Ventures</t>
        </is>
      </c>
      <c r="P357" s="24" t="inlineStr">
        <is>
          <t/>
        </is>
      </c>
      <c r="Q357" s="25" t="inlineStr">
        <is>
          <t>Network Management Software</t>
        </is>
      </c>
      <c r="R357" s="26" t="inlineStr">
        <is>
          <t>Provider of software security services. The company provides detection of systematic defense against bot and malware fraud, enabling advertisers and enterprise businesses with the tools they need to eliminate fraud and ensure the success of their campaigns and the security of their systems and data.</t>
        </is>
      </c>
      <c r="S357" s="27" t="inlineStr">
        <is>
          <t>New York, NY</t>
        </is>
      </c>
      <c r="T357" s="28" t="inlineStr">
        <is>
          <t>www.whiteops.com</t>
        </is>
      </c>
      <c r="U357" s="131">
        <f>HYPERLINK("https://my.pitchbook.com?c=64229-95", "View company online")</f>
      </c>
    </row>
    <row r="358">
      <c r="A358" s="30" t="inlineStr">
        <is>
          <t>98941-15</t>
        </is>
      </c>
      <c r="B358" s="31" t="inlineStr">
        <is>
          <t>Whistle Sports</t>
        </is>
      </c>
      <c r="C358" s="32" t="inlineStr">
        <is>
          <t/>
        </is>
      </c>
      <c r="D358" s="33" t="n">
        <v>0.3427722908730735</v>
      </c>
      <c r="E358" s="34" t="n">
        <v>800.7676800497729</v>
      </c>
      <c r="F358" s="35" t="n">
        <v>42758.0</v>
      </c>
      <c r="G358" s="36" t="inlineStr">
        <is>
          <t>Later Stage VC</t>
        </is>
      </c>
      <c r="H358" s="37" t="inlineStr">
        <is>
          <t>Series C</t>
        </is>
      </c>
      <c r="I358" s="38" t="n">
        <v>27.5</v>
      </c>
      <c r="J358" s="39" t="n">
        <v>119.5</v>
      </c>
      <c r="K358" s="40" t="inlineStr">
        <is>
          <t>Completed</t>
        </is>
      </c>
      <c r="L358" s="41" t="inlineStr">
        <is>
          <t>Privately Held (backing)</t>
        </is>
      </c>
      <c r="M358" s="42" t="inlineStr">
        <is>
          <t>Venture Capital-Backed</t>
        </is>
      </c>
      <c r="N358" s="43" t="inlineStr">
        <is>
          <t>The company raised $27.5 million of Series C venture funding from NBC Sports Ventures, Sky Ventures and Emil Capital Partners on January 23, 2017, putting the pre-money valuation at $92 million. Beringea, TEGNA and Foley Ventures also participated in the round. The company intends to use the funds to accelerate revenue growth via advertising campaigns for brands including athletic apparel companies, movie studios, food franchises and auto manufacturers. The company also aims to increase creation of content and social amplification for its existing pro league partners; and expand its data analytics and insights practice.</t>
        </is>
      </c>
      <c r="O358" s="44" t="inlineStr">
        <is>
          <t>Beringea, Derek Jeter, Emil Capital Partners, Foley Ventures, Geraldine Laybourne, Liberty Global, Liberty Global Ventures, NBC Sports Ventures, Peyton Manning, Robert Pittman, SeventySix Capital, Sky Startup Investments &amp; Partnerships, Tegna, Vineyard Point Associates</t>
        </is>
      </c>
      <c r="P358" s="45" t="inlineStr">
        <is>
          <t/>
        </is>
      </c>
      <c r="Q358" s="46" t="inlineStr">
        <is>
          <t>Broadcasting, Radio and Television</t>
        </is>
      </c>
      <c r="R358" s="47" t="inlineStr">
        <is>
          <t>Producer and publisher of sports-focused videos. The company is a YouTube-certified broadcaster that produces and publishes a range of sports-focused videos aimed at demographics in the 14-34 age group. It offers branded content and advertisements to sponsors.</t>
        </is>
      </c>
      <c r="S358" s="48" t="inlineStr">
        <is>
          <t>New York, NY</t>
        </is>
      </c>
      <c r="T358" s="49" t="inlineStr">
        <is>
          <t>www.whistlesports.com</t>
        </is>
      </c>
      <c r="U358" s="132">
        <f>HYPERLINK("https://my.pitchbook.com?c=98941-15", "View company online")</f>
      </c>
    </row>
    <row r="359">
      <c r="A359" s="9" t="inlineStr">
        <is>
          <t>62245-09</t>
        </is>
      </c>
      <c r="B359" s="10" t="inlineStr">
        <is>
          <t>Whispir</t>
        </is>
      </c>
      <c r="C359" s="11" t="inlineStr">
        <is>
          <t/>
        </is>
      </c>
      <c r="D359" s="12" t="n">
        <v>0.5790555235878171</v>
      </c>
      <c r="E359" s="13" t="n">
        <v>2.1660609841339395</v>
      </c>
      <c r="F359" s="14" t="n">
        <v>42632.0</v>
      </c>
      <c r="G359" s="15" t="inlineStr">
        <is>
          <t>Later Stage VC</t>
        </is>
      </c>
      <c r="H359" s="16" t="inlineStr">
        <is>
          <t/>
        </is>
      </c>
      <c r="I359" s="17" t="n">
        <v>11.75</v>
      </c>
      <c r="J359" s="18" t="inlineStr">
        <is>
          <t/>
        </is>
      </c>
      <c r="K359" s="19" t="inlineStr">
        <is>
          <t>Completed</t>
        </is>
      </c>
      <c r="L359" s="20" t="inlineStr">
        <is>
          <t>Privately Held (backing)</t>
        </is>
      </c>
      <c r="M359" s="21" t="inlineStr">
        <is>
          <t>Venture Capital-Backed</t>
        </is>
      </c>
      <c r="N359" s="22" t="inlineStr">
        <is>
          <t>The company raised AUD 11.75 million of venture funding from Telstra Ventures, NSI Ventures and Rippledot Capital Advisers on September 19, 2016. Jeromy Wells and other undisclosed investors also participated. The funding will be used to continue our expansion into the United States and Asia.</t>
        </is>
      </c>
      <c r="O359" s="23" t="inlineStr">
        <is>
          <t>Jeromy Wells, NSI Ventures, Rippledot Capital Advisers, Telstra Ventures</t>
        </is>
      </c>
      <c r="P359" s="24" t="inlineStr">
        <is>
          <t/>
        </is>
      </c>
      <c r="Q359" s="25" t="inlineStr">
        <is>
          <t>Communication Software</t>
        </is>
      </c>
      <c r="R359" s="26" t="inlineStr">
        <is>
          <t>Developer of a cloud based business communication software. The company helps engaging in powerful conversations with employees and customers in the areas of Business Resilience, Operational Communications and Customer Engagement. I</t>
        </is>
      </c>
      <c r="S359" s="27" t="inlineStr">
        <is>
          <t>Melbourne, Australia</t>
        </is>
      </c>
      <c r="T359" s="28" t="inlineStr">
        <is>
          <t>www.whispir.com</t>
        </is>
      </c>
      <c r="U359" s="131">
        <f>HYPERLINK("https://my.pitchbook.com?c=62245-09", "View company online")</f>
      </c>
    </row>
    <row r="360">
      <c r="A360" s="30" t="inlineStr">
        <is>
          <t>56511-37</t>
        </is>
      </c>
      <c r="B360" s="31" t="inlineStr">
        <is>
          <t>Whisper</t>
        </is>
      </c>
      <c r="C360" s="32" t="inlineStr">
        <is>
          <t/>
        </is>
      </c>
      <c r="D360" s="33" t="n">
        <v>-2.6942837491407743</v>
      </c>
      <c r="E360" s="34" t="n">
        <v>1028.956224837323</v>
      </c>
      <c r="F360" s="35" t="inlineStr">
        <is>
          <t/>
        </is>
      </c>
      <c r="G360" s="36" t="inlineStr">
        <is>
          <t>Secondary Transaction - Private</t>
        </is>
      </c>
      <c r="H360" s="37" t="inlineStr">
        <is>
          <t/>
        </is>
      </c>
      <c r="I360" s="38" t="inlineStr">
        <is>
          <t/>
        </is>
      </c>
      <c r="J360" s="39" t="inlineStr">
        <is>
          <t/>
        </is>
      </c>
      <c r="K360" s="40" t="inlineStr">
        <is>
          <t>Completed</t>
        </is>
      </c>
      <c r="L360" s="41" t="inlineStr">
        <is>
          <t>Privately Held (backing)</t>
        </is>
      </c>
      <c r="M360" s="42" t="inlineStr">
        <is>
          <t>Venture Capital-Backed</t>
        </is>
      </c>
      <c r="N360" s="43" t="inlineStr">
        <is>
          <t>Milliways Ventures sold its stake in the company on an undisclosed date.</t>
        </is>
      </c>
      <c r="O360" s="44" t="inlineStr">
        <is>
          <t>Brian Lee, CAA Ventures, Chad Byers, Diego Berdakin, Ellis Capital, Individual Investor, Jason Calacanis, Joe Greenstein, John Hadl, Lightspeed Venture Partners, Matt Coffin, Michael Broukhim, Rani Aliahmad, Sequoia Capital, Shasta Ventures, Susa Ventures, Tencent Industry Win-Win Fund, Thrive Capital, Trinity Ventures, Venkatesh Harinarayan</t>
        </is>
      </c>
      <c r="P360" s="45" t="inlineStr">
        <is>
          <t/>
        </is>
      </c>
      <c r="Q360" s="46" t="inlineStr">
        <is>
          <t>Application Software</t>
        </is>
      </c>
      <c r="R360" s="47" t="inlineStr">
        <is>
          <t>Provider of a mobile application designed to provide a platform where people share real thoughts and feelings. The company's mobile application is available in both iOS and android and it asks people to be open about their struggle of life, enabling users to post comments and visual content with the added expressive benefit of anonymity.</t>
        </is>
      </c>
      <c r="S360" s="48" t="inlineStr">
        <is>
          <t>Los Angeles, CA</t>
        </is>
      </c>
      <c r="T360" s="49" t="inlineStr">
        <is>
          <t>www.whisper.sh</t>
        </is>
      </c>
      <c r="U360" s="132">
        <f>HYPERLINK("https://my.pitchbook.com?c=56511-37", "View company online")</f>
      </c>
    </row>
    <row r="361">
      <c r="A361" s="9" t="inlineStr">
        <is>
          <t>115023-52</t>
        </is>
      </c>
      <c r="B361" s="10" t="inlineStr">
        <is>
          <t>Whirl</t>
        </is>
      </c>
      <c r="C361" s="11" t="inlineStr">
        <is>
          <t/>
        </is>
      </c>
      <c r="D361" s="12" t="inlineStr">
        <is>
          <t/>
        </is>
      </c>
      <c r="E361" s="13" t="inlineStr">
        <is>
          <t/>
        </is>
      </c>
      <c r="F361" s="14" t="n">
        <v>42093.0</v>
      </c>
      <c r="G361" s="15" t="inlineStr">
        <is>
          <t>Early Stage VC</t>
        </is>
      </c>
      <c r="H361" s="16" t="inlineStr">
        <is>
          <t/>
        </is>
      </c>
      <c r="I361" s="17" t="inlineStr">
        <is>
          <t/>
        </is>
      </c>
      <c r="J361" s="18" t="inlineStr">
        <is>
          <t/>
        </is>
      </c>
      <c r="K361" s="19" t="inlineStr">
        <is>
          <t>Completed</t>
        </is>
      </c>
      <c r="L361" s="20" t="inlineStr">
        <is>
          <t>Privately Held (backing)</t>
        </is>
      </c>
      <c r="M361" s="21" t="inlineStr">
        <is>
          <t>Venture Capital-Backed</t>
        </is>
      </c>
      <c r="N361" s="22" t="inlineStr">
        <is>
          <t>The company raised an undisclosed amount of venture funding from venture/science and Wei Guo on March 30, 2015. Prevously, the company joined Y Combinator on January 15, 2015.</t>
        </is>
      </c>
      <c r="O361" s="23" t="inlineStr">
        <is>
          <t>venture/science, Wei Guo, Y Combinator</t>
        </is>
      </c>
      <c r="P361" s="24" t="inlineStr">
        <is>
          <t/>
        </is>
      </c>
      <c r="Q361" s="25" t="inlineStr">
        <is>
          <t>Electronics (B2C)</t>
        </is>
      </c>
      <c r="R361" s="26" t="inlineStr">
        <is>
          <t>Provider of an electronic payment system. The company offers a payment system which enables users to make various payment through the device with just a finger touch.</t>
        </is>
      </c>
      <c r="S361" s="27" t="inlineStr">
        <is>
          <t>East Palo Alto, CA</t>
        </is>
      </c>
      <c r="T361" s="28" t="inlineStr">
        <is>
          <t>www.getwhirl.com</t>
        </is>
      </c>
      <c r="U361" s="131">
        <f>HYPERLINK("https://my.pitchbook.com?c=115023-52", "View company online")</f>
      </c>
    </row>
    <row r="362">
      <c r="A362" s="30" t="inlineStr">
        <is>
          <t>58474-36</t>
        </is>
      </c>
      <c r="B362" s="31" t="inlineStr">
        <is>
          <t>Whipster</t>
        </is>
      </c>
      <c r="C362" s="32" t="inlineStr">
        <is>
          <t/>
        </is>
      </c>
      <c r="D362" s="33" t="n">
        <v>0.17820654603522512</v>
      </c>
      <c r="E362" s="34" t="n">
        <v>9.691823179111314</v>
      </c>
      <c r="F362" s="35" t="n">
        <v>42058.0</v>
      </c>
      <c r="G362" s="36" t="inlineStr">
        <is>
          <t>Seed Round</t>
        </is>
      </c>
      <c r="H362" s="37" t="inlineStr">
        <is>
          <t>Seed</t>
        </is>
      </c>
      <c r="I362" s="38" t="n">
        <v>1.2</v>
      </c>
      <c r="J362" s="39" t="inlineStr">
        <is>
          <t/>
        </is>
      </c>
      <c r="K362" s="40" t="inlineStr">
        <is>
          <t>Completed</t>
        </is>
      </c>
      <c r="L362" s="41" t="inlineStr">
        <is>
          <t>Privately Held (backing)</t>
        </is>
      </c>
      <c r="M362" s="42" t="inlineStr">
        <is>
          <t>Venture Capital-Backed</t>
        </is>
      </c>
      <c r="N362" s="43" t="inlineStr">
        <is>
          <t>The company raised $1.2 million of seed funding from Nicholas Bartlett, Richard Anderson and Victoria Spackman and on February 23, 2015. Other undisclosed investors also participated in this round. Previously, the company raised $270,000 of seed funding from undisclosed investors on August 2, 2014, putting the company's pre-money valuation at $1.33 million and joined Microsoft BizSpark as a part of the 2014 Class.</t>
        </is>
      </c>
      <c r="O362" s="44" t="inlineStr">
        <is>
          <t>AngelHQ, Ben Kepes, Creative HQ, ICE Angels, Lightning Lab, Microsoft BizSpark, New Zealand Venture Investment Fund, Nicholas Bartlett, Richard Anderson, Sam Knowles, Victoria Spackman</t>
        </is>
      </c>
      <c r="P362" s="45" t="inlineStr">
        <is>
          <t/>
        </is>
      </c>
      <c r="Q362" s="46" t="inlineStr">
        <is>
          <t>Social/Platform Software</t>
        </is>
      </c>
      <c r="R362" s="47" t="inlineStr">
        <is>
          <t>Developer of a platform for sharing videos. The company develops a collaborative video review and approval platform that allows filmmakers to upload reference images, videos and sound bites to simplify the editing process.</t>
        </is>
      </c>
      <c r="S362" s="48" t="inlineStr">
        <is>
          <t>Wellington, New Zealand</t>
        </is>
      </c>
      <c r="T362" s="49" t="inlineStr">
        <is>
          <t>www.wipster.io</t>
        </is>
      </c>
      <c r="U362" s="132">
        <f>HYPERLINK("https://my.pitchbook.com?c=58474-36", "View company online")</f>
      </c>
    </row>
    <row r="363">
      <c r="A363" s="9" t="inlineStr">
        <is>
          <t>98514-91</t>
        </is>
      </c>
      <c r="B363" s="10" t="inlineStr">
        <is>
          <t>Whim</t>
        </is>
      </c>
      <c r="C363" s="11" t="inlineStr">
        <is>
          <t/>
        </is>
      </c>
      <c r="D363" s="12" t="n">
        <v>0.03815090350634611</v>
      </c>
      <c r="E363" s="13" t="n">
        <v>0.7954296516750459</v>
      </c>
      <c r="F363" s="14" t="n">
        <v>41862.0</v>
      </c>
      <c r="G363" s="15" t="inlineStr">
        <is>
          <t>Seed Round</t>
        </is>
      </c>
      <c r="H363" s="16" t="inlineStr">
        <is>
          <t>Seed</t>
        </is>
      </c>
      <c r="I363" s="17" t="n">
        <v>0.13</v>
      </c>
      <c r="J363" s="18" t="inlineStr">
        <is>
          <t/>
        </is>
      </c>
      <c r="K363" s="19" t="inlineStr">
        <is>
          <t>Completed</t>
        </is>
      </c>
      <c r="L363" s="20" t="inlineStr">
        <is>
          <t>Privately Held (backing)</t>
        </is>
      </c>
      <c r="M363" s="21" t="inlineStr">
        <is>
          <t>Venture Capital-Backed</t>
        </is>
      </c>
      <c r="N363" s="22" t="inlineStr">
        <is>
          <t>The company raised $130,000 of seed funding from venture/science on August 11, 2014.</t>
        </is>
      </c>
      <c r="O363" s="23" t="inlineStr">
        <is>
          <t>500 Startups, venture/science</t>
        </is>
      </c>
      <c r="P363" s="24" t="inlineStr">
        <is>
          <t/>
        </is>
      </c>
      <c r="Q363" s="25" t="inlineStr">
        <is>
          <t>Entertainment Software</t>
        </is>
      </c>
      <c r="R363" s="26" t="inlineStr">
        <is>
          <t>Developer of a mobile dating application. The company offers a dating-on-demand service that provides a curated, same-day dates with singles that have been pre-approved.</t>
        </is>
      </c>
      <c r="S363" s="27" t="inlineStr">
        <is>
          <t>San Francisco, CA</t>
        </is>
      </c>
      <c r="T363" s="28" t="inlineStr">
        <is>
          <t>www.joinwhim.com</t>
        </is>
      </c>
      <c r="U363" s="131">
        <f>HYPERLINK("https://my.pitchbook.com?c=98514-91", "View company online")</f>
      </c>
    </row>
    <row r="364">
      <c r="A364" s="30" t="inlineStr">
        <is>
          <t>57014-65</t>
        </is>
      </c>
      <c r="B364" s="31" t="inlineStr">
        <is>
          <t>Whill</t>
        </is>
      </c>
      <c r="C364" s="32" t="inlineStr">
        <is>
          <t/>
        </is>
      </c>
      <c r="D364" s="33" t="n">
        <v>0.2678571664083195</v>
      </c>
      <c r="E364" s="34" t="n">
        <v>0.6138723469231944</v>
      </c>
      <c r="F364" s="35" t="n">
        <v>42692.0</v>
      </c>
      <c r="G364" s="36" t="inlineStr">
        <is>
          <t>Early Stage VC</t>
        </is>
      </c>
      <c r="H364" s="37" t="inlineStr">
        <is>
          <t>Series B</t>
        </is>
      </c>
      <c r="I364" s="38" t="n">
        <v>19.52</v>
      </c>
      <c r="J364" s="39" t="n">
        <v>82.17</v>
      </c>
      <c r="K364" s="40" t="inlineStr">
        <is>
          <t>Completed</t>
        </is>
      </c>
      <c r="L364" s="41" t="inlineStr">
        <is>
          <t>Privately Held (backing)</t>
        </is>
      </c>
      <c r="M364" s="42" t="inlineStr">
        <is>
          <t>Venture Capital-Backed</t>
        </is>
      </c>
      <c r="N364" s="43" t="inlineStr">
        <is>
          <t>The company raised $19.52 million of Series B venture funding in a deal led by Eight Roads Ventures on November 18, 2016, putting the company's pre-money valuation at $62.65 million. SPARX Group and Industrial Technology Investment also participated. The company intends to use the funds to expand its presence throughout the U.S. and into Europe later this year, as well as to accelerate its research and development programs for autonomous driving, remote device management system and rental program at airports.</t>
        </is>
      </c>
      <c r="O364" s="44" t="inlineStr">
        <is>
          <t>500 Startups, Andy White, Eight Roads Ventures, Eric Kwan, Individual Investor, Industrial Technology Investment, Innovation Network Corporation of Japan, ITOCHU Technology Ventures, Jochu Technology, Kamiya Manufacture Group, Mitsubishi UFJ Capital, NTT Docomo Ventures, Open Network Lab, Scott McNealy, SPARX Group, SunBridge Global Ventures, Tokyo Century, VTF Capital, Wingle, YJ Capital</t>
        </is>
      </c>
      <c r="P364" s="45" t="inlineStr">
        <is>
          <t/>
        </is>
      </c>
      <c r="Q364" s="46" t="inlineStr">
        <is>
          <t>Other Devices and Supplies</t>
        </is>
      </c>
      <c r="R364" s="47" t="inlineStr">
        <is>
          <t>Developer of motorized wheelchair. The company's wheelchair can be driven on sidewalks and is steered by leaning the handle in the direction the user wishes to go and its a three-wheeled device has been designed in compliance with Japanese traffic laws, enabling users in Japan to drive on public roads without a driver's license and empowers wheel chair users to lead a liberating lifestyle.</t>
        </is>
      </c>
      <c r="S364" s="48" t="inlineStr">
        <is>
          <t>San Carlos, CA</t>
        </is>
      </c>
      <c r="T364" s="49" t="inlineStr">
        <is>
          <t>www.whill.us</t>
        </is>
      </c>
      <c r="U364" s="132">
        <f>HYPERLINK("https://my.pitchbook.com?c=57014-65", "View company online")</f>
      </c>
    </row>
    <row r="365">
      <c r="A365" s="9" t="inlineStr">
        <is>
          <t>56291-86</t>
        </is>
      </c>
      <c r="B365" s="10" t="inlineStr">
        <is>
          <t>WHI</t>
        </is>
      </c>
      <c r="C365" s="11" t="inlineStr">
        <is>
          <t/>
        </is>
      </c>
      <c r="D365" s="12" t="n">
        <v>-0.018769319370420475</v>
      </c>
      <c r="E365" s="13" t="n">
        <v>1166.0996683387248</v>
      </c>
      <c r="F365" s="14" t="n">
        <v>42485.0</v>
      </c>
      <c r="G365" s="15" t="inlineStr">
        <is>
          <t>Later Stage VC</t>
        </is>
      </c>
      <c r="H365" s="16" t="inlineStr">
        <is>
          <t/>
        </is>
      </c>
      <c r="I365" s="17" t="n">
        <v>7.69</v>
      </c>
      <c r="J365" s="18" t="inlineStr">
        <is>
          <t/>
        </is>
      </c>
      <c r="K365" s="19" t="inlineStr">
        <is>
          <t>Completed</t>
        </is>
      </c>
      <c r="L365" s="20" t="inlineStr">
        <is>
          <t>Privately Held (backing)</t>
        </is>
      </c>
      <c r="M365" s="21" t="inlineStr">
        <is>
          <t>Venture Capital-Backed</t>
        </is>
      </c>
      <c r="N365" s="22" t="inlineStr">
        <is>
          <t>The company raised $7.69 million of convertible debt financing from undisclosed investors on April 25, 2016. Previously, the company raised $5 million of convertible debt financing from Time Warner Investments and other undisclosed investors on April 2, 2014. The company is being actively tracked by PitchBook.</t>
        </is>
      </c>
      <c r="O365" s="23" t="inlineStr">
        <is>
          <t>Crossbar Capital, IDG Ventures USA, Joe Greenstein, KCP Capital, MHS Capital, Shan Mehta, Time Warner Investments, Valor Capital Group, White Oak Advisory, White Oak Partners</t>
        </is>
      </c>
      <c r="P365" s="24" t="inlineStr">
        <is>
          <t/>
        </is>
      </c>
      <c r="Q365" s="25" t="inlineStr">
        <is>
          <t>Social/Platform Software</t>
        </is>
      </c>
      <c r="R365" s="26" t="inlineStr">
        <is>
          <t>Provider of an image-based social networking platform. The company provides a platform that enables users to store, share and discover images and videos from the Web that they believe represent their personality, interests and aspirations.</t>
        </is>
      </c>
      <c r="S365" s="27" t="inlineStr">
        <is>
          <t>San Francisco, CA</t>
        </is>
      </c>
      <c r="T365" s="28" t="inlineStr">
        <is>
          <t>www.weheartit.com</t>
        </is>
      </c>
      <c r="U365" s="131">
        <f>HYPERLINK("https://my.pitchbook.com?c=56291-86", "View company online")</f>
      </c>
    </row>
    <row r="366">
      <c r="A366" s="30" t="inlineStr">
        <is>
          <t>103008-07</t>
        </is>
      </c>
      <c r="B366" s="31" t="inlineStr">
        <is>
          <t>Wherefor</t>
        </is>
      </c>
      <c r="C366" s="32" t="n">
        <v>2.25</v>
      </c>
      <c r="D366" s="33" t="n">
        <v>-0.046672194590848565</v>
      </c>
      <c r="E366" s="34" t="n">
        <v>3.238783551421724</v>
      </c>
      <c r="F366" s="35" t="n">
        <v>42782.0</v>
      </c>
      <c r="G366" s="36" t="inlineStr">
        <is>
          <t>Early Stage VC</t>
        </is>
      </c>
      <c r="H366" s="37" t="inlineStr">
        <is>
          <t/>
        </is>
      </c>
      <c r="I366" s="38" t="n">
        <v>0.98</v>
      </c>
      <c r="J366" s="39" t="inlineStr">
        <is>
          <t/>
        </is>
      </c>
      <c r="K366" s="40" t="inlineStr">
        <is>
          <t>Completed</t>
        </is>
      </c>
      <c r="L366" s="41" t="inlineStr">
        <is>
          <t>Privately Held (backing)</t>
        </is>
      </c>
      <c r="M366" s="42" t="inlineStr">
        <is>
          <t>Venture Capital-Backed</t>
        </is>
      </c>
      <c r="N366" s="43" t="inlineStr">
        <is>
          <t>The company raised $975,000 of venture funding from Stage Venture Partners and Dyrdek Machine on February 16, 2017.</t>
        </is>
      </c>
      <c r="O366" s="44" t="inlineStr">
        <is>
          <t>500 Startups, Dyrdek Machine, Stage Venture Partners</t>
        </is>
      </c>
      <c r="P366" s="45" t="inlineStr">
        <is>
          <t/>
        </is>
      </c>
      <c r="Q366" s="46" t="inlineStr">
        <is>
          <t>Social/Platform Software</t>
        </is>
      </c>
      <c r="R366" s="47" t="inlineStr">
        <is>
          <t>Developer of a travel search engine designed to search travel destinations by price. The company offers a smarter travel search engine that analyzes a quarter million hotels and 5 million flights in over 150 destinations, in about 10 seconds and automatically selects the ideal flight and hotel for user's budget, enabling users to customize and find the cheapest flight and highest-rated hotel in their budget.</t>
        </is>
      </c>
      <c r="S366" s="48" t="inlineStr">
        <is>
          <t>Los Angeles, CA</t>
        </is>
      </c>
      <c r="T366" s="49" t="inlineStr">
        <is>
          <t>www.wherefor.com</t>
        </is>
      </c>
      <c r="U366" s="132">
        <f>HYPERLINK("https://my.pitchbook.com?c=103008-07", "View company online")</f>
      </c>
    </row>
    <row r="367">
      <c r="A367" s="9" t="inlineStr">
        <is>
          <t>104275-00</t>
        </is>
      </c>
      <c r="B367" s="10" t="inlineStr">
        <is>
          <t>Wheelys</t>
        </is>
      </c>
      <c r="C367" s="11" t="n">
        <v>0.55</v>
      </c>
      <c r="D367" s="12" t="n">
        <v>0.5203596634315432</v>
      </c>
      <c r="E367" s="13" t="n">
        <v>11.764342500727906</v>
      </c>
      <c r="F367" s="14" t="inlineStr">
        <is>
          <t/>
        </is>
      </c>
      <c r="G367" s="15" t="inlineStr">
        <is>
          <t>Early Stage VC</t>
        </is>
      </c>
      <c r="H367" s="16" t="inlineStr">
        <is>
          <t>Series A</t>
        </is>
      </c>
      <c r="I367" s="17" t="n">
        <v>2.0</v>
      </c>
      <c r="J367" s="18" t="inlineStr">
        <is>
          <t/>
        </is>
      </c>
      <c r="K367" s="19" t="inlineStr">
        <is>
          <t>Upcoming</t>
        </is>
      </c>
      <c r="L367" s="20" t="inlineStr">
        <is>
          <t>Privately Held (backing)</t>
        </is>
      </c>
      <c r="M367" s="21" t="inlineStr">
        <is>
          <t>Venture Capital-Backed</t>
        </is>
      </c>
      <c r="N367" s="22" t="inlineStr">
        <is>
          <t>The company is planning to raise $2 million of Series A venture funding from undisclosed investors as of June 28, 2016. Previously, the company raised EUR 844,556 of product crowdfunding via FundedByMe on August 15, 2016. The company is being actively tracked by PitchBook.</t>
        </is>
      </c>
      <c r="O367" s="23" t="inlineStr">
        <is>
          <t>Alexander Elenskiy, FundersClub, Jared Friedman, Justin Waldron, Othman Laraki, Paul Holliman, Seth Ginns, Tank Stream Ventures, Three Point Group, VentureLab (Lund University), Y Combinator, Zillionize</t>
        </is>
      </c>
      <c r="P367" s="24" t="inlineStr">
        <is>
          <t/>
        </is>
      </c>
      <c r="Q367" s="25" t="inlineStr">
        <is>
          <t>Restaurants and Bars</t>
        </is>
      </c>
      <c r="R367" s="26" t="inlineStr">
        <is>
          <t>Operator of a chain of organic bicycle cafés. The company's organic bicycle cafés is specialized in offering organically grown coffee, enabling consumers to start their own cafe on a bike.</t>
        </is>
      </c>
      <c r="S367" s="27" t="inlineStr">
        <is>
          <t>Stockholm, Sweden</t>
        </is>
      </c>
      <c r="T367" s="28" t="inlineStr">
        <is>
          <t>www.wheelyscafe.com</t>
        </is>
      </c>
      <c r="U367" s="131">
        <f>HYPERLINK("https://my.pitchbook.com?c=104275-00", "View company online")</f>
      </c>
    </row>
    <row r="368">
      <c r="A368" s="30" t="inlineStr">
        <is>
          <t>104274-91</t>
        </is>
      </c>
      <c r="B368" s="31" t="inlineStr">
        <is>
          <t>Wheelwell</t>
        </is>
      </c>
      <c r="C368" s="32" t="inlineStr">
        <is>
          <t/>
        </is>
      </c>
      <c r="D368" s="33" t="n">
        <v>0.028815793043869442</v>
      </c>
      <c r="E368" s="34" t="n">
        <v>3.2046741762290765</v>
      </c>
      <c r="F368" s="35" t="n">
        <v>42627.0</v>
      </c>
      <c r="G368" s="36" t="inlineStr">
        <is>
          <t>Seed Round</t>
        </is>
      </c>
      <c r="H368" s="37" t="inlineStr">
        <is>
          <t>Seed</t>
        </is>
      </c>
      <c r="I368" s="38" t="n">
        <v>2.0</v>
      </c>
      <c r="J368" s="39" t="inlineStr">
        <is>
          <t/>
        </is>
      </c>
      <c r="K368" s="40" t="inlineStr">
        <is>
          <t>Completed</t>
        </is>
      </c>
      <c r="L368" s="41" t="inlineStr">
        <is>
          <t>Privately Held (backing)</t>
        </is>
      </c>
      <c r="M368" s="42" t="inlineStr">
        <is>
          <t>Venture Capital-Backed</t>
        </is>
      </c>
      <c r="N368" s="43" t="inlineStr">
        <is>
          <t>The company raised $2 million of Series seed funding in a deal led by GGV Capital on September 14, 2016. iAngels, NFX Guild, John Couch and Jeff Bonforte also participated in the round. Previously, the company joined NFX Guild as a part of second class on March 1, 2016, and received $120,000 of funding.</t>
        </is>
      </c>
      <c r="O368" s="44" t="inlineStr">
        <is>
          <t>GGV Capital, iAngels, Jeffrey Bonforte, John Couch, NFX Guild</t>
        </is>
      </c>
      <c r="P368" s="45" t="inlineStr">
        <is>
          <t/>
        </is>
      </c>
      <c r="Q368" s="46" t="inlineStr">
        <is>
          <t>Social/Platform Software</t>
        </is>
      </c>
      <c r="R368" s="47" t="inlineStr">
        <is>
          <t>Provider of an online platform for the automotive community. The company provides a Web-based social-commerce platform for car enthusiasts, fans and brands, offering information to help users find the products and services they need.</t>
        </is>
      </c>
      <c r="S368" s="48" t="inlineStr">
        <is>
          <t>San Francisco, CA</t>
        </is>
      </c>
      <c r="T368" s="49" t="inlineStr">
        <is>
          <t>www.wheelwell.com</t>
        </is>
      </c>
      <c r="U368" s="132">
        <f>HYPERLINK("https://my.pitchbook.com?c=104274-91", "View company online")</f>
      </c>
    </row>
    <row r="369">
      <c r="A369" s="9" t="inlineStr">
        <is>
          <t>114567-94</t>
        </is>
      </c>
      <c r="B369" s="10" t="inlineStr">
        <is>
          <t>Wheelhouse (Intelligent pricing software)</t>
        </is>
      </c>
      <c r="C369" s="11" t="inlineStr">
        <is>
          <t/>
        </is>
      </c>
      <c r="D369" s="12" t="n">
        <v>0.07044943491612515</v>
      </c>
      <c r="E369" s="13" t="n">
        <v>1.5825419034151533</v>
      </c>
      <c r="F369" s="14" t="n">
        <v>42265.0</v>
      </c>
      <c r="G369" s="15" t="inlineStr">
        <is>
          <t>Accelerator/Incubator</t>
        </is>
      </c>
      <c r="H369" s="16" t="inlineStr">
        <is>
          <t/>
        </is>
      </c>
      <c r="I369" s="17" t="n">
        <v>0.12</v>
      </c>
      <c r="J369" s="18" t="n">
        <v>1.71</v>
      </c>
      <c r="K369" s="19" t="inlineStr">
        <is>
          <t>Completed</t>
        </is>
      </c>
      <c r="L369" s="20" t="inlineStr">
        <is>
          <t>Privately Held (backing)</t>
        </is>
      </c>
      <c r="M369" s="21" t="inlineStr">
        <is>
          <t>Venture Capital-Backed</t>
        </is>
      </c>
      <c r="N369" s="22" t="inlineStr">
        <is>
          <t>The company joined NFX Guild and received $120,000 in funding on September 18, 2015.</t>
        </is>
      </c>
      <c r="O369" s="23" t="inlineStr">
        <is>
          <t>AXA Strategic Ventures, NFX Guild, Zelkova Ventures</t>
        </is>
      </c>
      <c r="P369" s="24" t="inlineStr">
        <is>
          <t/>
        </is>
      </c>
      <c r="Q369" s="25" t="inlineStr">
        <is>
          <t>Social/Platform Software</t>
        </is>
      </c>
      <c r="R369" s="26" t="inlineStr">
        <is>
          <t>Developer of an online pricing platform designed to offer vacation and short-term rentals on Airbnb, VRBO and HomeAway. The company's online pricing platform find events and determine how to price them, analyzes home performance in comparison to nearby similar listings and visualizes how neighbors are booking on any given day, enabling individuals to create a pricing strategy that suits their needs, homes and guests.</t>
        </is>
      </c>
      <c r="S369" s="27" t="inlineStr">
        <is>
          <t>San Francisco, CA</t>
        </is>
      </c>
      <c r="T369" s="28" t="inlineStr">
        <is>
          <t>www.usewheelhouse.com</t>
        </is>
      </c>
      <c r="U369" s="131">
        <f>HYPERLINK("https://my.pitchbook.com?c=114567-94", "View company online")</f>
      </c>
    </row>
    <row r="370">
      <c r="A370" s="30" t="inlineStr">
        <is>
          <t>124555-42</t>
        </is>
      </c>
      <c r="B370" s="31" t="inlineStr">
        <is>
          <t>Whatsgoodly</t>
        </is>
      </c>
      <c r="C370" s="32" t="inlineStr">
        <is>
          <t/>
        </is>
      </c>
      <c r="D370" s="33" t="n">
        <v>-0.08407481973273064</v>
      </c>
      <c r="E370" s="34" t="n">
        <v>4.423118033287524</v>
      </c>
      <c r="F370" s="35" t="n">
        <v>42248.0</v>
      </c>
      <c r="G370" s="36" t="inlineStr">
        <is>
          <t>Seed Round</t>
        </is>
      </c>
      <c r="H370" s="37" t="inlineStr">
        <is>
          <t>Seed</t>
        </is>
      </c>
      <c r="I370" s="38" t="n">
        <v>0.5</v>
      </c>
      <c r="J370" s="39" t="n">
        <v>10.31</v>
      </c>
      <c r="K370" s="40" t="inlineStr">
        <is>
          <t>Completed</t>
        </is>
      </c>
      <c r="L370" s="41" t="inlineStr">
        <is>
          <t>Privately Held (backing)</t>
        </is>
      </c>
      <c r="M370" s="42" t="inlineStr">
        <is>
          <t>Venture Capital-Backed</t>
        </is>
      </c>
      <c r="N370" s="43" t="inlineStr">
        <is>
          <t>The company raised $500,000 of seed funding from Highland Capital Partners on September 1, 2015, putting the company's pre-money valuation at $9.81 million.</t>
        </is>
      </c>
      <c r="O370" s="44" t="inlineStr">
        <is>
          <t>Highland Capital Partners</t>
        </is>
      </c>
      <c r="P370" s="45" t="inlineStr">
        <is>
          <t/>
        </is>
      </c>
      <c r="Q370" s="46" t="inlineStr">
        <is>
          <t>Application Software</t>
        </is>
      </c>
      <c r="R370" s="47" t="inlineStr">
        <is>
          <t>Provider of location based polling applications. The company develops a digital platform that offers location-based feed of user-generated one-question polls within a nearby radius on maters starting from relationship troubles to unpopular political opinions.</t>
        </is>
      </c>
      <c r="S370" s="48" t="inlineStr">
        <is>
          <t>Menlo Park, CA</t>
        </is>
      </c>
      <c r="T370" s="49" t="inlineStr">
        <is>
          <t>whatsgoodly.com</t>
        </is>
      </c>
      <c r="U370" s="132">
        <f>HYPERLINK("https://my.pitchbook.com?c=124555-42", "View company online")</f>
      </c>
    </row>
    <row r="371">
      <c r="A371" s="9" t="inlineStr">
        <is>
          <t>97269-58</t>
        </is>
      </c>
      <c r="B371" s="10" t="inlineStr">
        <is>
          <t>What's Trending</t>
        </is>
      </c>
      <c r="C371" s="11" t="inlineStr">
        <is>
          <t/>
        </is>
      </c>
      <c r="D371" s="12" t="n">
        <v>0.17978555183778527</v>
      </c>
      <c r="E371" s="13" t="n">
        <v>544.9265870328693</v>
      </c>
      <c r="F371" s="14" t="n">
        <v>41443.0</v>
      </c>
      <c r="G371" s="15" t="inlineStr">
        <is>
          <t>Seed Round</t>
        </is>
      </c>
      <c r="H371" s="16" t="inlineStr">
        <is>
          <t>Seed</t>
        </is>
      </c>
      <c r="I371" s="17" t="n">
        <v>1.0</v>
      </c>
      <c r="J371" s="18" t="inlineStr">
        <is>
          <t/>
        </is>
      </c>
      <c r="K371" s="19" t="inlineStr">
        <is>
          <t>Completed</t>
        </is>
      </c>
      <c r="L371" s="20" t="inlineStr">
        <is>
          <t>Privately Held (backing)</t>
        </is>
      </c>
      <c r="M371" s="21" t="inlineStr">
        <is>
          <t>Venture Capital-Backed</t>
        </is>
      </c>
      <c r="N371" s="22" t="inlineStr">
        <is>
          <t>The company raised $1 million of seed funding from Sportsrocket on June 18, 2013.</t>
        </is>
      </c>
      <c r="O371" s="23" t="inlineStr">
        <is>
          <t/>
        </is>
      </c>
      <c r="P371" s="24" t="inlineStr">
        <is>
          <t/>
        </is>
      </c>
      <c r="Q371" s="25" t="inlineStr">
        <is>
          <t>Broadcasting, Radio and Television</t>
        </is>
      </c>
      <c r="R371" s="26" t="inlineStr">
        <is>
          <t>Provider of digital media services. The company hosts a live and interactive talk show which airs on YouTube in Los Angeles, California.</t>
        </is>
      </c>
      <c r="S371" s="27" t="inlineStr">
        <is>
          <t>Los Angeles, CA</t>
        </is>
      </c>
      <c r="T371" s="28" t="inlineStr">
        <is>
          <t>www.whatstrending.com</t>
        </is>
      </c>
      <c r="U371" s="131">
        <f>HYPERLINK("https://my.pitchbook.com?c=97269-58", "View company online")</f>
      </c>
    </row>
    <row r="372">
      <c r="A372" s="30" t="inlineStr">
        <is>
          <t>98050-78</t>
        </is>
      </c>
      <c r="B372" s="31" t="inlineStr">
        <is>
          <t>Whatfix</t>
        </is>
      </c>
      <c r="C372" s="32" t="inlineStr">
        <is>
          <t/>
        </is>
      </c>
      <c r="D372" s="33" t="n">
        <v>0.23228101712881777</v>
      </c>
      <c r="E372" s="34" t="n">
        <v>1.6214010199271804</v>
      </c>
      <c r="F372" s="35" t="n">
        <v>42829.0</v>
      </c>
      <c r="G372" s="36" t="inlineStr">
        <is>
          <t>Later Stage VC</t>
        </is>
      </c>
      <c r="H372" s="37" t="inlineStr">
        <is>
          <t>Series A</t>
        </is>
      </c>
      <c r="I372" s="38" t="n">
        <v>3.6</v>
      </c>
      <c r="J372" s="39" t="inlineStr">
        <is>
          <t/>
        </is>
      </c>
      <c r="K372" s="40" t="inlineStr">
        <is>
          <t>Completed</t>
        </is>
      </c>
      <c r="L372" s="41" t="inlineStr">
        <is>
          <t>Privately Held (backing)</t>
        </is>
      </c>
      <c r="M372" s="42" t="inlineStr">
        <is>
          <t>Venture Capital-Backed</t>
        </is>
      </c>
      <c r="N372" s="43" t="inlineStr">
        <is>
          <t>The company raised $3.6 million of Series A venture funding in a round led by Stellaris Venture Partners on April 4, 2017. Helion Venture Partners, Powerhouse Ventures, Gokul Rajaram, Girish Mathrubootham, Aneesh Reddy and Vispi Daver also participated in this round. The company, which has raised $5 million in total funding, will use the capital for research and development, marketing the product in overseas markets and to expand its global presence.</t>
        </is>
      </c>
      <c r="O372" s="44" t="inlineStr">
        <is>
          <t>Aneesh Reddy, Anupam Mittal, Dinesh Agarwal, Girish Mathrubootham, Gokul Rajaram, GSF India, Hanwha, Helion Venture Partners, Murugavel Janakiraman, Nandita Jhaveri, Powerhouse Ventures, Rajesh Sawhney, Stellaris Venture Partners, TA Ventures, Vatsal Sonecha, Vispi Daver</t>
        </is>
      </c>
      <c r="P372" s="45" t="inlineStr">
        <is>
          <t/>
        </is>
      </c>
      <c r="Q372" s="46" t="inlineStr">
        <is>
          <t>Social/Platform Software</t>
        </is>
      </c>
      <c r="R372" s="47" t="inlineStr">
        <is>
          <t>Developer of a SaaS-based performance support platform designed to help enterprises and businesses simplify their training and support efforts with easily accessible contextual information. The company's SaaS-based performance support platform, Whatfix, allows startups, businesses and individuals to create interactive guides for web-based products and applications, enabling them to ease user onboarding, improve support and reduce training effort through an real-time interactive guidance technology.</t>
        </is>
      </c>
      <c r="S372" s="48" t="inlineStr">
        <is>
          <t>Bangalore, India</t>
        </is>
      </c>
      <c r="T372" s="49" t="inlineStr">
        <is>
          <t>www.whatfix.com</t>
        </is>
      </c>
      <c r="U372" s="132">
        <f>HYPERLINK("https://my.pitchbook.com?c=98050-78", "View company online")</f>
      </c>
    </row>
    <row r="373">
      <c r="A373" s="9" t="inlineStr">
        <is>
          <t>56541-25</t>
        </is>
      </c>
      <c r="B373" s="10" t="inlineStr">
        <is>
          <t>Whamix</t>
        </is>
      </c>
      <c r="C373" s="11" t="inlineStr">
        <is>
          <t/>
        </is>
      </c>
      <c r="D373" s="12" t="n">
        <v>0.0</v>
      </c>
      <c r="E373" s="13" t="n">
        <v>0.16107577469036571</v>
      </c>
      <c r="F373" s="14" t="n">
        <v>41372.0</v>
      </c>
      <c r="G373" s="15" t="inlineStr">
        <is>
          <t>Seed Round</t>
        </is>
      </c>
      <c r="H373" s="16" t="inlineStr">
        <is>
          <t>Seed</t>
        </is>
      </c>
      <c r="I373" s="17" t="n">
        <v>0.75</v>
      </c>
      <c r="J373" s="18" t="inlineStr">
        <is>
          <t/>
        </is>
      </c>
      <c r="K373" s="19" t="inlineStr">
        <is>
          <t>Completed</t>
        </is>
      </c>
      <c r="L373" s="20" t="inlineStr">
        <is>
          <t>Privately Held (backing)</t>
        </is>
      </c>
      <c r="M373" s="21" t="inlineStr">
        <is>
          <t>Venture Capital-Backed</t>
        </is>
      </c>
      <c r="N373" s="22" t="inlineStr">
        <is>
          <t>The company raised $750,000 of seed funding from First Round Capital and other undisclosed investors on April 8, 2013.</t>
        </is>
      </c>
      <c r="O373" s="23" t="inlineStr">
        <is>
          <t>Dorm Room Fund, First Round Capital</t>
        </is>
      </c>
      <c r="P373" s="24" t="inlineStr">
        <is>
          <t/>
        </is>
      </c>
      <c r="Q373" s="25" t="inlineStr">
        <is>
          <t>Communication Software</t>
        </is>
      </c>
      <c r="R373" s="26" t="inlineStr">
        <is>
          <t>Provider of an online platform for interactive video content. The company allows film studios and publishers to produce media applications such as intercative and video contents without any programming or scripting.</t>
        </is>
      </c>
      <c r="S373" s="27" t="inlineStr">
        <is>
          <t>San Mateo, CA</t>
        </is>
      </c>
      <c r="T373" s="28" t="inlineStr">
        <is>
          <t>www.whamix.com</t>
        </is>
      </c>
      <c r="U373" s="131">
        <f>HYPERLINK("https://my.pitchbook.com?c=56541-25", "View company online")</f>
      </c>
    </row>
    <row r="374">
      <c r="A374" s="30" t="inlineStr">
        <is>
          <t>118177-03</t>
        </is>
      </c>
      <c r="B374" s="31" t="inlineStr">
        <is>
          <t>Whalr</t>
        </is>
      </c>
      <c r="C374" s="32" t="inlineStr">
        <is>
          <t/>
        </is>
      </c>
      <c r="D374" s="33" t="n">
        <v>-0.2656228508122619</v>
      </c>
      <c r="E374" s="34" t="n">
        <v>32.69491525423729</v>
      </c>
      <c r="F374" s="35" t="n">
        <v>42005.0</v>
      </c>
      <c r="G374" s="36" t="inlineStr">
        <is>
          <t>Seed Round</t>
        </is>
      </c>
      <c r="H374" s="37" t="inlineStr">
        <is>
          <t>Seed</t>
        </is>
      </c>
      <c r="I374" s="38" t="inlineStr">
        <is>
          <t/>
        </is>
      </c>
      <c r="J374" s="39" t="inlineStr">
        <is>
          <t/>
        </is>
      </c>
      <c r="K374" s="40" t="inlineStr">
        <is>
          <t>Completed</t>
        </is>
      </c>
      <c r="L374" s="41" t="inlineStr">
        <is>
          <t>Privately Held (backing)</t>
        </is>
      </c>
      <c r="M374" s="42" t="inlineStr">
        <is>
          <t>Venture Capital-Backed</t>
        </is>
      </c>
      <c r="N374" s="43" t="inlineStr">
        <is>
          <t>The company raised an undisclosed amount of seed funding from Upside Partnership in 2015.</t>
        </is>
      </c>
      <c r="O374" s="44" t="inlineStr">
        <is>
          <t>Upside Partnership</t>
        </is>
      </c>
      <c r="P374" s="45" t="inlineStr">
        <is>
          <t/>
        </is>
      </c>
      <c r="Q374" s="46" t="inlineStr">
        <is>
          <t>Media and Information Services (B2B)</t>
        </is>
      </c>
      <c r="R374" s="47" t="inlineStr">
        <is>
          <t>Developer of sales acceleration tool for enterprise sales teams. The company's platform enables users to identify data into insightful behavior of potential leads.</t>
        </is>
      </c>
      <c r="S374" s="48" t="inlineStr">
        <is>
          <t>San Francisco, CA</t>
        </is>
      </c>
      <c r="T374" s="49" t="inlineStr">
        <is>
          <t>www.whalr.com</t>
        </is>
      </c>
      <c r="U374" s="132">
        <f>HYPERLINK("https://my.pitchbook.com?c=118177-03", "View company online")</f>
      </c>
    </row>
    <row r="375">
      <c r="A375" s="9" t="inlineStr">
        <is>
          <t>173500-66</t>
        </is>
      </c>
      <c r="B375" s="10" t="inlineStr">
        <is>
          <t>Whale (Application Software)</t>
        </is>
      </c>
      <c r="C375" s="11" t="inlineStr">
        <is>
          <t/>
        </is>
      </c>
      <c r="D375" s="12" t="n">
        <v>0.5184235840270927</v>
      </c>
      <c r="E375" s="13" t="n">
        <v>12.660532426836776</v>
      </c>
      <c r="F375" s="14" t="inlineStr">
        <is>
          <t/>
        </is>
      </c>
      <c r="G375" s="15" t="inlineStr">
        <is>
          <t>Early Stage VC</t>
        </is>
      </c>
      <c r="H375" s="16" t="inlineStr">
        <is>
          <t/>
        </is>
      </c>
      <c r="I375" s="17" t="inlineStr">
        <is>
          <t/>
        </is>
      </c>
      <c r="J375" s="18" t="inlineStr">
        <is>
          <t/>
        </is>
      </c>
      <c r="K375" s="19" t="inlineStr">
        <is>
          <t>Completed</t>
        </is>
      </c>
      <c r="L375" s="20" t="inlineStr">
        <is>
          <t>Privately Held (backing)</t>
        </is>
      </c>
      <c r="M375" s="21" t="inlineStr">
        <is>
          <t>Venture Capital-Backed</t>
        </is>
      </c>
      <c r="N375" s="22" t="inlineStr">
        <is>
          <t>The company raised venture funding from Transmedia Media on an undisclosed date. Previously, the company joined Zero-F on March 7, 2017.</t>
        </is>
      </c>
      <c r="O375" s="23" t="inlineStr">
        <is>
          <t>Transmedia Capital, Zero-F</t>
        </is>
      </c>
      <c r="P375" s="24" t="inlineStr">
        <is>
          <t/>
        </is>
      </c>
      <c r="Q375" s="25" t="inlineStr">
        <is>
          <t>Application Software</t>
        </is>
      </c>
      <c r="R375" s="26" t="inlineStr">
        <is>
          <t>Developer of a question and answer video application intended to create a community to share knowledge. The company'squestion and answer video application lets users post questions and enter into a one-to-one video conversation with an influencer or expert who can provide answers to their questions, enabling users to create an online library recording of all their queries and relevant answers to those questions.</t>
        </is>
      </c>
      <c r="S375" s="27" t="inlineStr">
        <is>
          <t>Millbrae, CA</t>
        </is>
      </c>
      <c r="T375" s="28" t="inlineStr">
        <is>
          <t>www.askwhale.com</t>
        </is>
      </c>
      <c r="U375" s="131">
        <f>HYPERLINK("https://my.pitchbook.com?c=173500-66", "View company online")</f>
      </c>
    </row>
    <row r="376">
      <c r="A376" s="30" t="inlineStr">
        <is>
          <t>62181-28</t>
        </is>
      </c>
      <c r="B376" s="31" t="inlineStr">
        <is>
          <t>WeWork</t>
        </is>
      </c>
      <c r="C376" s="32" t="n">
        <v>1000.0</v>
      </c>
      <c r="D376" s="33" t="n">
        <v>1.0090335463287339</v>
      </c>
      <c r="E376" s="34" t="n">
        <v>273.97092266231914</v>
      </c>
      <c r="F376" s="35" t="n">
        <v>42814.0</v>
      </c>
      <c r="G376" s="36" t="inlineStr">
        <is>
          <t>Later Stage VC</t>
        </is>
      </c>
      <c r="H376" s="37" t="inlineStr">
        <is>
          <t>Series G</t>
        </is>
      </c>
      <c r="I376" s="38" t="n">
        <v>300.0</v>
      </c>
      <c r="J376" s="39" t="n">
        <v>18000.0</v>
      </c>
      <c r="K376" s="40" t="inlineStr">
        <is>
          <t>Announced/In Progress</t>
        </is>
      </c>
      <c r="L376" s="41" t="inlineStr">
        <is>
          <t>Privately Held (backing)</t>
        </is>
      </c>
      <c r="M376" s="42" t="inlineStr">
        <is>
          <t>Venture Capital-Backed</t>
        </is>
      </c>
      <c r="N376" s="43" t="inlineStr">
        <is>
          <t>The company closed on $300 million of a planned $3 billion of Series G venture funding from SoftBank Group on March 20, 2017, putting the pre-money valuation at $17.7 billion. An additional $100 million of venture funding is expected to be raised from SoftBank's Vision Fund. Previously, the company raised $690 million of a planned $780 million round of Series F venture funding in a round led by Legend Holdings and Hony Capital on October 12, 2016, valuing the company at $16.9 billion. The company is being actively tracked by PitchBook.</t>
        </is>
      </c>
      <c r="O376" s="44" t="inlineStr">
        <is>
          <t>Aleph, Benchmark Capital, China Oceanwide Holdings Group, DAG Ventures, Fidelity Management &amp; Research, Glade Brook Capital Partners, Hartford Financial Services Group (Mutual Fund Business), Harvard Management Company, Hony Capital, John Hancock Investments, JPMorgan Chase &amp; Company, Legend Holdings, MassMutual Financial Group, Mort Zuckerman, Optimum Asset Management, Principal Financial Group, Shanghai Jin Jiang International Hotels, SoftBank Group, Star Farm Ventures, T. Rowe Price, The Goldman Sachs Group, The Hartford Financial Services Group, Wellington Management</t>
        </is>
      </c>
      <c r="P376" s="45" t="inlineStr">
        <is>
          <t/>
        </is>
      </c>
      <c r="Q376" s="46" t="inlineStr">
        <is>
          <t>Real Estate Services (B2C)</t>
        </is>
      </c>
      <c r="R376" s="47" t="inlineStr">
        <is>
          <t>Provider of a shared workspace community and office services designed to create collaboration between entrepreneurs, freelancers, startups and small businesses. The company's services include office space with facilities like high-speed internet, printers, free refreshments and private phone booths, enabling startups, entrepreneurs and small businesses to collaborate, share experiences and get inspiration from other members and communities.</t>
        </is>
      </c>
      <c r="S376" s="48" t="inlineStr">
        <is>
          <t>New York, NY</t>
        </is>
      </c>
      <c r="T376" s="49" t="inlineStr">
        <is>
          <t>www.wework.com</t>
        </is>
      </c>
      <c r="U376" s="132">
        <f>HYPERLINK("https://my.pitchbook.com?c=62181-28", "View company online")</f>
      </c>
    </row>
    <row r="377">
      <c r="A377" s="9" t="inlineStr">
        <is>
          <t>53604-64</t>
        </is>
      </c>
      <c r="B377" s="10" t="inlineStr">
        <is>
          <t>Wevr</t>
        </is>
      </c>
      <c r="C377" s="11" t="inlineStr">
        <is>
          <t/>
        </is>
      </c>
      <c r="D377" s="12" t="n">
        <v>0.19381115131620974</v>
      </c>
      <c r="E377" s="13" t="n">
        <v>10.017737998025396</v>
      </c>
      <c r="F377" s="14" t="n">
        <v>42405.0</v>
      </c>
      <c r="G377" s="15" t="inlineStr">
        <is>
          <t>Later Stage VC</t>
        </is>
      </c>
      <c r="H377" s="16" t="inlineStr">
        <is>
          <t>Series B</t>
        </is>
      </c>
      <c r="I377" s="17" t="n">
        <v>20.05</v>
      </c>
      <c r="J377" s="18" t="n">
        <v>86.72</v>
      </c>
      <c r="K377" s="19" t="inlineStr">
        <is>
          <t>Completed</t>
        </is>
      </c>
      <c r="L377" s="20" t="inlineStr">
        <is>
          <t>Privately Held (backing)</t>
        </is>
      </c>
      <c r="M377" s="21" t="inlineStr">
        <is>
          <t>Venture Capital-Backed</t>
        </is>
      </c>
      <c r="N377" s="22" t="inlineStr">
        <is>
          <t>The company raised $20 million of a planned $25 million of additional Series B venture funding from HTC, Samsung Ventures, Evolution Media Partners, Madison Wells Media, Orange Digital Ventures, Digital Garage, Colle Capital Partners, AME Cloud Ventures, Boldstart Ventures, Scott McNealy and Ross Levinsohn on February 5, 2016, putting the company's pre-money valuation at $66.67 million. The company intends to use the funding to develop new VR platform called Wevr Transportation. Evolution Media Capital and Dragoneer Investment Group also participated.</t>
        </is>
      </c>
      <c r="O377" s="23" t="inlineStr">
        <is>
          <t>Allen Debevoise, AME Cloud Ventures, Basset Investment Group, Boldstart Ventures, Cyan Banister, Deep Fork Capital, Digital Garage, Dragoneer Investment Group, Evolution Media Capital, HTC, Jeff Lo, Jerry Yang, Joichi Ito, Leo Spiegel, Montgomery &amp; Company, Orange Digital Ventures, Palantir Capital, Plus Capital, Rothenberg Ventures, Samsung Venture Investment, Scott Banister, Scott McNealy, Spiegel Capital Management, TenOneTen Ventures, Third Wave Digital, Yair Landau</t>
        </is>
      </c>
      <c r="P377" s="24" t="inlineStr">
        <is>
          <t/>
        </is>
      </c>
      <c r="Q377" s="25" t="inlineStr">
        <is>
          <t>Movies, Music and Entertainment</t>
        </is>
      </c>
      <c r="R377" s="26" t="inlineStr">
        <is>
          <t>Owner and operator of a virtual reality studio. The company provides an platform that enables digital artists and developers to produce and publish digital media for virtual reality devices.</t>
        </is>
      </c>
      <c r="S377" s="27" t="inlineStr">
        <is>
          <t>Los Angeles, CA</t>
        </is>
      </c>
      <c r="T377" s="28" t="inlineStr">
        <is>
          <t>www.wevr.com</t>
        </is>
      </c>
      <c r="U377" s="131">
        <f>HYPERLINK("https://my.pitchbook.com?c=53604-64", "View company online")</f>
      </c>
    </row>
    <row r="378">
      <c r="A378" s="30" t="inlineStr">
        <is>
          <t>56434-69</t>
        </is>
      </c>
      <c r="B378" s="31" t="inlineStr">
        <is>
          <t>Wevorce</t>
        </is>
      </c>
      <c r="C378" s="32" t="n">
        <v>0.13</v>
      </c>
      <c r="D378" s="33" t="n">
        <v>5.953665277534355</v>
      </c>
      <c r="E378" s="34" t="n">
        <v>18.428818609640274</v>
      </c>
      <c r="F378" s="35" t="n">
        <v>42380.0</v>
      </c>
      <c r="G378" s="36" t="inlineStr">
        <is>
          <t>Early Stage VC</t>
        </is>
      </c>
      <c r="H378" s="37" t="inlineStr">
        <is>
          <t>Series A</t>
        </is>
      </c>
      <c r="I378" s="38" t="n">
        <v>4.0</v>
      </c>
      <c r="J378" s="39" t="inlineStr">
        <is>
          <t/>
        </is>
      </c>
      <c r="K378" s="40" t="inlineStr">
        <is>
          <t>Completed</t>
        </is>
      </c>
      <c r="L378" s="41" t="inlineStr">
        <is>
          <t>Privately Held (backing)</t>
        </is>
      </c>
      <c r="M378" s="42" t="inlineStr">
        <is>
          <t>Venture Capital-Backed</t>
        </is>
      </c>
      <c r="N378" s="43" t="inlineStr">
        <is>
          <t>The company raised $4 million of Series A venture funding from Big Basin Partners, Techstars, Foundation Capital and Service Provider Capital on January 11, 2016.</t>
        </is>
      </c>
      <c r="O378" s="44" t="inlineStr">
        <is>
          <t>500 Startups, Adam Sharp, Alliance of Angels, Andrew Crichton, Barbara Corcoran Venture Partners, Big Basin Partners, Bobby Goodlatte, Bobby Yazdani, Catherine Chang, Deciens Capital, Fenox Venture Capital, Foundation Capital, Geoff Ralston, Hydrazine Capital, Paul Buchheit, Pear Ventures, Saad AlSogair, Sam Altman, Service Provider Capital, Signatures Capital, Streamlined Ventures, Techstars, Ullas Naik, Wei Guo, Y Combinator</t>
        </is>
      </c>
      <c r="P378" s="45" t="inlineStr">
        <is>
          <t/>
        </is>
      </c>
      <c r="Q378" s="46" t="inlineStr">
        <is>
          <t>Legal Services (B2C)</t>
        </is>
      </c>
      <c r="R378" s="47" t="inlineStr">
        <is>
          <t>Provider of a system for handling divorces through a combination of divorce professionals and online tools. The company covers six broad steps divorce planning, co-parent planning, a parenting agreement, financial mapping, financial agreements and divorce settlement.</t>
        </is>
      </c>
      <c r="S378" s="48" t="inlineStr">
        <is>
          <t>San Mateo, CA</t>
        </is>
      </c>
      <c r="T378" s="49" t="inlineStr">
        <is>
          <t>www.wevorce.com</t>
        </is>
      </c>
      <c r="U378" s="132">
        <f>HYPERLINK("https://my.pitchbook.com?c=56434-69", "View company online")</f>
      </c>
    </row>
    <row r="379">
      <c r="A379" s="9" t="inlineStr">
        <is>
          <t>54312-22</t>
        </is>
      </c>
      <c r="B379" s="10" t="inlineStr">
        <is>
          <t>WeVideo</t>
        </is>
      </c>
      <c r="C379" s="11" t="inlineStr">
        <is>
          <t/>
        </is>
      </c>
      <c r="D379" s="12" t="n">
        <v>-0.019002993382577285</v>
      </c>
      <c r="E379" s="13" t="n">
        <v>84.48955556251062</v>
      </c>
      <c r="F379" s="14" t="n">
        <v>41640.0</v>
      </c>
      <c r="G379" s="15" t="inlineStr">
        <is>
          <t>Accelerator/Incubator</t>
        </is>
      </c>
      <c r="H379" s="16" t="inlineStr">
        <is>
          <t/>
        </is>
      </c>
      <c r="I379" s="17" t="inlineStr">
        <is>
          <t/>
        </is>
      </c>
      <c r="J379" s="18" t="inlineStr">
        <is>
          <t/>
        </is>
      </c>
      <c r="K379" s="19" t="inlineStr">
        <is>
          <t>Completed</t>
        </is>
      </c>
      <c r="L379" s="20" t="inlineStr">
        <is>
          <t>Privately Held (backing)</t>
        </is>
      </c>
      <c r="M379" s="21" t="inlineStr">
        <is>
          <t>Venture Capital-Backed</t>
        </is>
      </c>
      <c r="N379" s="22" t="inlineStr">
        <is>
          <t>The company joined Reach Accelerator as part of the 2014 Class in 2014.</t>
        </is>
      </c>
      <c r="O379" s="23" t="inlineStr">
        <is>
          <t>Brian NeSmith, Crest Capital Ventures, Keiretsu Forum, REach Accelerator, Second Century Ventures</t>
        </is>
      </c>
      <c r="P379" s="24" t="inlineStr">
        <is>
          <t/>
        </is>
      </c>
      <c r="Q379" s="25" t="inlineStr">
        <is>
          <t>Social/Platform Software</t>
        </is>
      </c>
      <c r="R379" s="26" t="inlineStr">
        <is>
          <t>Provider of a cloud based video editing platform designed to provide an online creative toolbox for children, to be used both in school and at home. The company's cloud based video editing platform can be accessed from any computer or device at home, work, or on the go to capture, edit, view and share with secure storage of their content in the cloud, enabling sports enthusiasts, entertainers, groups and communities, families, gamers, educators, students, marketers, online journalists and pro-video graphers to help in storytelling and video creation which will be accessible to everyone.</t>
        </is>
      </c>
      <c r="S379" s="27" t="inlineStr">
        <is>
          <t>Menlo Park, CA</t>
        </is>
      </c>
      <c r="T379" s="28" t="inlineStr">
        <is>
          <t>www.wevideo.com</t>
        </is>
      </c>
      <c r="U379" s="131">
        <f>HYPERLINK("https://my.pitchbook.com?c=54312-22", "View company online")</f>
      </c>
    </row>
    <row r="380">
      <c r="A380" s="30" t="inlineStr">
        <is>
          <t>103662-19</t>
        </is>
      </c>
      <c r="B380" s="31" t="inlineStr">
        <is>
          <t>We'Ve</t>
        </is>
      </c>
      <c r="C380" s="32" t="inlineStr">
        <is>
          <t/>
        </is>
      </c>
      <c r="D380" s="33" t="n">
        <v>-0.03632850195601328</v>
      </c>
      <c r="E380" s="34" t="n">
        <v>1.9476057460766376</v>
      </c>
      <c r="F380" s="35" t="n">
        <v>41275.0</v>
      </c>
      <c r="G380" s="36" t="inlineStr">
        <is>
          <t>Early Stage VC</t>
        </is>
      </c>
      <c r="H380" s="37" t="inlineStr">
        <is>
          <t/>
        </is>
      </c>
      <c r="I380" s="38" t="inlineStr">
        <is>
          <t/>
        </is>
      </c>
      <c r="J380" s="39" t="inlineStr">
        <is>
          <t/>
        </is>
      </c>
      <c r="K380" s="40" t="inlineStr">
        <is>
          <t>Completed</t>
        </is>
      </c>
      <c r="L380" s="41" t="inlineStr">
        <is>
          <t>Privately Held (backing)</t>
        </is>
      </c>
      <c r="M380" s="42" t="inlineStr">
        <is>
          <t>Venture Capital-Backed</t>
        </is>
      </c>
      <c r="N380" s="43" t="inlineStr">
        <is>
          <t>The company raised an undisclosed amount of venture funding from Emil Capital Partners on January 1, 2013.</t>
        </is>
      </c>
      <c r="O380" s="44" t="inlineStr">
        <is>
          <t>Emil Capital Partners</t>
        </is>
      </c>
      <c r="P380" s="45" t="inlineStr">
        <is>
          <t/>
        </is>
      </c>
      <c r="Q380" s="46" t="inlineStr">
        <is>
          <t>Accessories</t>
        </is>
      </c>
      <c r="R380" s="47" t="inlineStr">
        <is>
          <t>Provider of a global online collective of handcrafted products designed to reimagine the relationship between buyers, artisans and designers. The company's global online collective of handcrafted products are sustainably produced by skilled artisans and result in limited edition, providing buyers and sellers a direct connection that strengthens community and changes lives.</t>
        </is>
      </c>
      <c r="S380" s="48" t="inlineStr">
        <is>
          <t>San Francisco, CA</t>
        </is>
      </c>
      <c r="T380" s="49" t="inlineStr">
        <is>
          <t>www.wevebuilt.com</t>
        </is>
      </c>
      <c r="U380" s="132">
        <f>HYPERLINK("https://my.pitchbook.com?c=103662-19", "View company online")</f>
      </c>
    </row>
    <row r="381">
      <c r="A381" s="9" t="inlineStr">
        <is>
          <t>110510-29</t>
        </is>
      </c>
      <c r="B381" s="10" t="inlineStr">
        <is>
          <t>Wetravel</t>
        </is>
      </c>
      <c r="C381" s="11" t="inlineStr">
        <is>
          <t/>
        </is>
      </c>
      <c r="D381" s="12" t="n">
        <v>0.3245183162738385</v>
      </c>
      <c r="E381" s="13" t="n">
        <v>4.274555216338562</v>
      </c>
      <c r="F381" s="14" t="inlineStr">
        <is>
          <t/>
        </is>
      </c>
      <c r="G381" s="15" t="inlineStr">
        <is>
          <t>Seed Round</t>
        </is>
      </c>
      <c r="H381" s="16" t="inlineStr">
        <is>
          <t>Seed</t>
        </is>
      </c>
      <c r="I381" s="17" t="inlineStr">
        <is>
          <t/>
        </is>
      </c>
      <c r="J381" s="18" t="inlineStr">
        <is>
          <t/>
        </is>
      </c>
      <c r="K381" s="19" t="inlineStr">
        <is>
          <t>Failed/Cancelled</t>
        </is>
      </c>
      <c r="L381" s="20" t="inlineStr">
        <is>
          <t>Privately Held (backing)</t>
        </is>
      </c>
      <c r="M381" s="21" t="inlineStr">
        <is>
          <t>Venture Capital-Backed</t>
        </is>
      </c>
      <c r="N381" s="22" t="inlineStr">
        <is>
          <t>The company was in talks to raise undisclosed amount of seed funding from 500 Startups. Subsequently the deal was cancelled. Previously, the company raised an undisclosed amount of seed funding from Creative Ventures on October 1, 2015. Dorm Room Fund and Foundation Capital also participated in the round.</t>
        </is>
      </c>
      <c r="O381" s="23" t="inlineStr">
        <is>
          <t>Creative Ventures, Dorm Room Fund, Foundation Capital, Hansoo Lee Fellowship, LAUNCH (UC Berkeley), Skydeck | Berkeley</t>
        </is>
      </c>
      <c r="P381" s="24" t="inlineStr">
        <is>
          <t/>
        </is>
      </c>
      <c r="Q381" s="25" t="inlineStr">
        <is>
          <t>Social/Platform Software</t>
        </is>
      </c>
      <c r="R381" s="26" t="inlineStr">
        <is>
          <t>Provider of an online platform for planning trips. The company provides an online portal for organizing, sharing and managing group trips with friends and family.</t>
        </is>
      </c>
      <c r="S381" s="27" t="inlineStr">
        <is>
          <t>San Francisco, CA</t>
        </is>
      </c>
      <c r="T381" s="28" t="inlineStr">
        <is>
          <t>www.wetravel.com</t>
        </is>
      </c>
      <c r="U381" s="131">
        <f>HYPERLINK("https://my.pitchbook.com?c=110510-29", "View company online")</f>
      </c>
    </row>
    <row r="382">
      <c r="A382" s="30" t="inlineStr">
        <is>
          <t>104273-56</t>
        </is>
      </c>
      <c r="B382" s="31" t="inlineStr">
        <is>
          <t>WeTransfer</t>
        </is>
      </c>
      <c r="C382" s="32" t="n">
        <v>24.64</v>
      </c>
      <c r="D382" s="33" t="n">
        <v>0.7716589735333965</v>
      </c>
      <c r="E382" s="34" t="n">
        <v>617.3411882379273</v>
      </c>
      <c r="F382" s="35" t="n">
        <v>42052.0</v>
      </c>
      <c r="G382" s="36" t="inlineStr">
        <is>
          <t>Later Stage VC</t>
        </is>
      </c>
      <c r="H382" s="37" t="inlineStr">
        <is>
          <t>Series A</t>
        </is>
      </c>
      <c r="I382" s="38" t="n">
        <v>25.0</v>
      </c>
      <c r="J382" s="39" t="n">
        <v>150.0</v>
      </c>
      <c r="K382" s="40" t="inlineStr">
        <is>
          <t>Completed</t>
        </is>
      </c>
      <c r="L382" s="41" t="inlineStr">
        <is>
          <t>Privately Held (backing)</t>
        </is>
      </c>
      <c r="M382" s="42" t="inlineStr">
        <is>
          <t>Venture Capital-Backed</t>
        </is>
      </c>
      <c r="N382" s="43" t="inlineStr">
        <is>
          <t>The company raised $25 million of Series A venture funding from Highland Capital Partners Europe on February 17, 2015.</t>
        </is>
      </c>
      <c r="O382" s="44" t="inlineStr">
        <is>
          <t>Highland Capital Partners Europe</t>
        </is>
      </c>
      <c r="P382" s="45" t="inlineStr">
        <is>
          <t/>
        </is>
      </c>
      <c r="Q382" s="46" t="inlineStr">
        <is>
          <t>Application Software</t>
        </is>
      </c>
      <c r="R382" s="47" t="inlineStr">
        <is>
          <t>Provider of cloud-based file transfer platform designed to offer effortless transfer of ideas from one creative mind to many. The company's cloud-based file transfer platform facilitates online media exchange, transferring password protected files and also helps to resend, forward, or delete transfers, enabling users to transmit files that are too large to send as email attachments.</t>
        </is>
      </c>
      <c r="S382" s="48" t="inlineStr">
        <is>
          <t>Amsterdam, Netherlands</t>
        </is>
      </c>
      <c r="T382" s="49" t="inlineStr">
        <is>
          <t>www.wetransfer.com</t>
        </is>
      </c>
      <c r="U382" s="132">
        <f>HYPERLINK("https://my.pitchbook.com?c=104273-56", "View company online")</f>
      </c>
    </row>
    <row r="383">
      <c r="A383" s="9" t="inlineStr">
        <is>
          <t>63508-33</t>
        </is>
      </c>
      <c r="B383" s="10" t="inlineStr">
        <is>
          <t>West Health Institute</t>
        </is>
      </c>
      <c r="C383" s="11" t="n">
        <v>8.58</v>
      </c>
      <c r="D383" s="12" t="inlineStr">
        <is>
          <t/>
        </is>
      </c>
      <c r="E383" s="13" t="inlineStr">
        <is>
          <t/>
        </is>
      </c>
      <c r="F383" s="14" t="inlineStr">
        <is>
          <t/>
        </is>
      </c>
      <c r="G383" s="15" t="inlineStr">
        <is>
          <t>Early Stage VC</t>
        </is>
      </c>
      <c r="H383" s="16" t="inlineStr">
        <is>
          <t>Series B</t>
        </is>
      </c>
      <c r="I383" s="17" t="inlineStr">
        <is>
          <t/>
        </is>
      </c>
      <c r="J383" s="18" t="inlineStr">
        <is>
          <t/>
        </is>
      </c>
      <c r="K383" s="19" t="inlineStr">
        <is>
          <t>Completed</t>
        </is>
      </c>
      <c r="L383" s="20" t="inlineStr">
        <is>
          <t>Privately Held (backing)</t>
        </is>
      </c>
      <c r="M383" s="21" t="inlineStr">
        <is>
          <t>Venture Capital-Backed</t>
        </is>
      </c>
      <c r="N383" s="22" t="inlineStr">
        <is>
          <t>The company raised Series B venture funding from undisclosed investors.</t>
        </is>
      </c>
      <c r="O383" s="23" t="inlineStr">
        <is>
          <t/>
        </is>
      </c>
      <c r="P383" s="24" t="inlineStr">
        <is>
          <t/>
        </is>
      </c>
      <c r="Q383" s="25" t="inlineStr">
        <is>
          <t>Other Healthcare Technology Systems</t>
        </is>
      </c>
      <c r="R383" s="26" t="inlineStr">
        <is>
          <t>Provider of medical-research services. The company is an independent medical research organization with a mission of lowering healthcare costs by developing patient-centered technology that is accessible when and where it is needed.</t>
        </is>
      </c>
      <c r="S383" s="27" t="inlineStr">
        <is>
          <t>San Diego, CA</t>
        </is>
      </c>
      <c r="T383" s="28" t="inlineStr">
        <is>
          <t/>
        </is>
      </c>
      <c r="U383" s="131">
        <f>HYPERLINK("https://my.pitchbook.com?c=63508-33", "View company online")</f>
      </c>
    </row>
    <row r="384">
      <c r="A384" s="30" t="inlineStr">
        <is>
          <t>51226-21</t>
        </is>
      </c>
      <c r="B384" s="31" t="inlineStr">
        <is>
          <t>WeSpire</t>
        </is>
      </c>
      <c r="C384" s="32" t="n">
        <v>1.6</v>
      </c>
      <c r="D384" s="33" t="n">
        <v>5.363631784211604</v>
      </c>
      <c r="E384" s="34" t="n">
        <v>24.2806803987902</v>
      </c>
      <c r="F384" s="35" t="n">
        <v>42851.0</v>
      </c>
      <c r="G384" s="36" t="inlineStr">
        <is>
          <t>Convertible Debt</t>
        </is>
      </c>
      <c r="H384" s="37" t="inlineStr">
        <is>
          <t/>
        </is>
      </c>
      <c r="I384" s="38" t="n">
        <v>0.75</v>
      </c>
      <c r="J384" s="39" t="inlineStr">
        <is>
          <t/>
        </is>
      </c>
      <c r="K384" s="40" t="inlineStr">
        <is>
          <t>Announced/In Progress</t>
        </is>
      </c>
      <c r="L384" s="41" t="inlineStr">
        <is>
          <t>Privately Held (backing)</t>
        </is>
      </c>
      <c r="M384" s="42" t="inlineStr">
        <is>
          <t>Venture Capital-Backed</t>
        </is>
      </c>
      <c r="N384" s="43" t="inlineStr">
        <is>
          <t>The company closed on $607,848 of convertible debt financing from undisclosed investors April 26, 2017. Previously, the company raised $3.5 million of Series A1 venture funding from Converge Venture Partners and EnerNOC on January 12, 2016, putting the company's pre-money valuation at $10 million. The company is being actively tracked by PitchBook.</t>
        </is>
      </c>
      <c r="O384" s="44" t="inlineStr">
        <is>
          <t>Clean Energy Venture Group, Converge Venture Partners, Dogpatch Labs, EnerNOC, Gene Zimon, Golden Seeds, Individual Investor, Jean Hammond, John Landry, Launchpad Venture Group, Lead Dog Ventures, Mentor Capital Network, Pan Asia Solar, Springboard (Acquired), WindSail Capital Group</t>
        </is>
      </c>
      <c r="P384" s="45" t="inlineStr">
        <is>
          <t/>
        </is>
      </c>
      <c r="Q384" s="46" t="inlineStr">
        <is>
          <t>Human Capital Services</t>
        </is>
      </c>
      <c r="R384" s="47" t="inlineStr">
        <is>
          <t>Developer of a enterprise employee engagement technology intended to capture people's imagination and produce meaningful results. The company's enterprise employee engagement technology provides of a platform that uses applied behavioral science, social, gamification and mobile technology to offer employee sustainability and responsibility programs to global corporations.</t>
        </is>
      </c>
      <c r="S384" s="48" t="inlineStr">
        <is>
          <t>Boston, MA</t>
        </is>
      </c>
      <c r="T384" s="49" t="inlineStr">
        <is>
          <t>www.wespire.com</t>
        </is>
      </c>
      <c r="U384" s="132">
        <f>HYPERLINK("https://my.pitchbook.com?c=51226-21", "View company online")</f>
      </c>
    </row>
    <row r="385">
      <c r="A385" s="9" t="inlineStr">
        <is>
          <t>56002-69</t>
        </is>
      </c>
      <c r="B385" s="10" t="inlineStr">
        <is>
          <t>Wercker</t>
        </is>
      </c>
      <c r="C385" s="11" t="inlineStr">
        <is>
          <t/>
        </is>
      </c>
      <c r="D385" s="12" t="n">
        <v>0.42784781852062725</v>
      </c>
      <c r="E385" s="13" t="n">
        <v>3.485215987647823</v>
      </c>
      <c r="F385" s="14" t="n">
        <v>42842.0</v>
      </c>
      <c r="G385" s="15" t="inlineStr">
        <is>
          <t>Merger/Acquisition</t>
        </is>
      </c>
      <c r="H385" s="16" t="inlineStr">
        <is>
          <t/>
        </is>
      </c>
      <c r="I385" s="17" t="inlineStr">
        <is>
          <t/>
        </is>
      </c>
      <c r="J385" s="18" t="inlineStr">
        <is>
          <t/>
        </is>
      </c>
      <c r="K385" s="19" t="inlineStr">
        <is>
          <t>Announced/In Progress</t>
        </is>
      </c>
      <c r="L385" s="20" t="inlineStr">
        <is>
          <t>Privately Held (backing)</t>
        </is>
      </c>
      <c r="M385" s="21" t="inlineStr">
        <is>
          <t>Venture Capital-Backed</t>
        </is>
      </c>
      <c r="N385" s="22" t="inlineStr">
        <is>
          <t>The company reached a definitive agreement to be acquired by Oracle (NYSE: ORCL) for an undisclosed amount on April 17, 2017. The acquisition will democratize developer tooling for the modern cloud. Previously, the company raised $4.5 million of Series A venture funding led by Inkef Capital on January 28, 2016. The company is being actively tracked by PitchBook.</t>
        </is>
      </c>
      <c r="O385" s="23" t="inlineStr">
        <is>
          <t>CE Tech Invest, Chang Ng, Greylock Partners, INKEF Capital, Notion Capital, RockStart Accelerator, Shamrock Ventures, Tola Capital, Vitulum Ventures, WebFWD</t>
        </is>
      </c>
      <c r="P385" s="24" t="inlineStr">
        <is>
          <t/>
        </is>
      </c>
      <c r="Q385" s="25" t="inlineStr">
        <is>
          <t>Software Development Applications</t>
        </is>
      </c>
      <c r="R385" s="26" t="inlineStr">
        <is>
          <t>Developer of SaaS cloud code deployment platform for automating the process of testing and deploying code. The company's container-centric and cloud-native automation platform comprised of their local command line interface (CLI), online SaaS platform and API allows developers to build, test and deploy in one place, enabling organizations and their development teams to achieve their CI/CD goals with micro-services and Docker.</t>
        </is>
      </c>
      <c r="S385" s="27" t="inlineStr">
        <is>
          <t>Amsterdam, Netherlands</t>
        </is>
      </c>
      <c r="T385" s="28" t="inlineStr">
        <is>
          <t>www.wercker.com</t>
        </is>
      </c>
      <c r="U385" s="131">
        <f>HYPERLINK("https://my.pitchbook.com?c=56002-69", "View company online")</f>
      </c>
    </row>
    <row r="386">
      <c r="A386" s="30" t="inlineStr">
        <is>
          <t>53004-61</t>
        </is>
      </c>
      <c r="B386" s="31" t="inlineStr">
        <is>
          <t>WePow</t>
        </is>
      </c>
      <c r="C386" s="32" t="inlineStr">
        <is>
          <t/>
        </is>
      </c>
      <c r="D386" s="33" t="n">
        <v>0.5279721739626482</v>
      </c>
      <c r="E386" s="34" t="n">
        <v>5.014494010275145</v>
      </c>
      <c r="F386" s="35" t="n">
        <v>41065.0</v>
      </c>
      <c r="G386" s="36" t="inlineStr">
        <is>
          <t>Early Stage VC</t>
        </is>
      </c>
      <c r="H386" s="37" t="inlineStr">
        <is>
          <t/>
        </is>
      </c>
      <c r="I386" s="38" t="inlineStr">
        <is>
          <t/>
        </is>
      </c>
      <c r="J386" s="39" t="inlineStr">
        <is>
          <t/>
        </is>
      </c>
      <c r="K386" s="40" t="inlineStr">
        <is>
          <t>Completed</t>
        </is>
      </c>
      <c r="L386" s="41" t="inlineStr">
        <is>
          <t>Privately Held (backing)</t>
        </is>
      </c>
      <c r="M386" s="42" t="inlineStr">
        <is>
          <t>Venture Capital-Backed</t>
        </is>
      </c>
      <c r="N386" s="43" t="inlineStr">
        <is>
          <t>The company raised an undisclosed amount of venture funding from Recruit and Quotidian Ventures on June 5, 2012. Previously, the company raised $2.18 million of Series A venture funding in a deal led by DCM Ventures on October 18, 2011, putting the pre-money valuation at $7.18 million. Kapor Capital, Recruit Strategic Partners, 500 Startups, Christine Tsai and Paul Singh also participated in the round.</t>
        </is>
      </c>
      <c r="O386" s="44" t="inlineStr">
        <is>
          <t>500 Startups, Christine Tsai, DCM Ventures, Kapor Capital, Paul Singh, Quotidian Ventures, Recruit Holdings, Recruit Strategic Partners, Sun Mountain Capital</t>
        </is>
      </c>
      <c r="P386" s="45" t="inlineStr">
        <is>
          <t/>
        </is>
      </c>
      <c r="Q386" s="46" t="inlineStr">
        <is>
          <t>Communication Software</t>
        </is>
      </c>
      <c r="R386" s="47" t="inlineStr">
        <is>
          <t>Provider of a video interviewing platform. The company develops and delivers Web and mobile video interviewing platforms which helps users to manage the applicant selection process with an online video interview application.</t>
        </is>
      </c>
      <c r="S386" s="48" t="inlineStr">
        <is>
          <t>Cupertino, CA</t>
        </is>
      </c>
      <c r="T386" s="49" t="inlineStr">
        <is>
          <t>www.wepow.com</t>
        </is>
      </c>
      <c r="U386" s="132">
        <f>HYPERLINK("https://my.pitchbook.com?c=53004-61", "View company online")</f>
      </c>
    </row>
    <row r="387">
      <c r="A387" s="9" t="inlineStr">
        <is>
          <t>50844-52</t>
        </is>
      </c>
      <c r="B387" s="10" t="inlineStr">
        <is>
          <t>WePay</t>
        </is>
      </c>
      <c r="C387" s="11" t="n">
        <v>57.81</v>
      </c>
      <c r="D387" s="12" t="n">
        <v>-0.2969050976774526</v>
      </c>
      <c r="E387" s="13" t="n">
        <v>105.03196834849378</v>
      </c>
      <c r="F387" s="14" t="inlineStr">
        <is>
          <t/>
        </is>
      </c>
      <c r="G387" s="15" t="inlineStr">
        <is>
          <t>Secondary Transaction - Private</t>
        </is>
      </c>
      <c r="H387" s="16" t="inlineStr">
        <is>
          <t/>
        </is>
      </c>
      <c r="I387" s="17" t="inlineStr">
        <is>
          <t/>
        </is>
      </c>
      <c r="J387" s="18" t="inlineStr">
        <is>
          <t/>
        </is>
      </c>
      <c r="K387" s="19" t="inlineStr">
        <is>
          <t>Completed</t>
        </is>
      </c>
      <c r="L387" s="20" t="inlineStr">
        <is>
          <t>Privately Held (backing)</t>
        </is>
      </c>
      <c r="M387" s="21" t="inlineStr">
        <is>
          <t>Venture Capital-Backed</t>
        </is>
      </c>
      <c r="N387" s="22" t="inlineStr">
        <is>
          <t>FUEL Capital sold its stake in the company on an undisclosed date.</t>
        </is>
      </c>
      <c r="O387" s="23" t="inlineStr">
        <is>
          <t>500 Startups, Andrew McCollum, Angus Davis, August Capital, Continental Investors, David McClure, Eric Dunn, FTV Capital, Hard Valuable Fun, Highland Capital Partners, Ignition Venture Partners, Joe Campanelli, Mark Goines, Max Levchin, Maynard Webb, Nils Johnson, Paul Buchheit, Philip Purcell, Rakuten, Raymond Tonsing, Ronald Conway, Steve Chen, SV Angel, Webb Investment Network, Y Combinator</t>
        </is>
      </c>
      <c r="P387" s="24" t="inlineStr">
        <is>
          <t/>
        </is>
      </c>
      <c r="Q387" s="25" t="inlineStr">
        <is>
          <t>Application Software</t>
        </is>
      </c>
      <c r="R387" s="26" t="inlineStr">
        <is>
          <t>Provider of an online payment platform for individuals, organizations and businesses. The company provides an application programming interface (API) that enables clients to accept and process payments for their users.</t>
        </is>
      </c>
      <c r="S387" s="27" t="inlineStr">
        <is>
          <t>Redwood City, CA</t>
        </is>
      </c>
      <c r="T387" s="28" t="inlineStr">
        <is>
          <t>www.wepay.com</t>
        </is>
      </c>
      <c r="U387" s="131">
        <f>HYPERLINK("https://my.pitchbook.com?c=50844-52", "View company online")</f>
      </c>
    </row>
    <row r="388">
      <c r="A388" s="30" t="inlineStr">
        <is>
          <t>57345-04</t>
        </is>
      </c>
      <c r="B388" s="31" t="inlineStr">
        <is>
          <t>weMonitor</t>
        </is>
      </c>
      <c r="C388" s="32" t="inlineStr">
        <is>
          <t/>
        </is>
      </c>
      <c r="D388" s="33" t="n">
        <v>0.0</v>
      </c>
      <c r="E388" s="34" t="n">
        <v>0.2231638418079096</v>
      </c>
      <c r="F388" s="35" t="n">
        <v>41431.0</v>
      </c>
      <c r="G388" s="36" t="inlineStr">
        <is>
          <t>Early Stage VC</t>
        </is>
      </c>
      <c r="H388" s="37" t="inlineStr">
        <is>
          <t>Series A</t>
        </is>
      </c>
      <c r="I388" s="38" t="n">
        <v>5.3</v>
      </c>
      <c r="J388" s="39" t="inlineStr">
        <is>
          <t/>
        </is>
      </c>
      <c r="K388" s="40" t="inlineStr">
        <is>
          <t>Completed</t>
        </is>
      </c>
      <c r="L388" s="41" t="inlineStr">
        <is>
          <t>Privately Held (backing)</t>
        </is>
      </c>
      <c r="M388" s="42" t="inlineStr">
        <is>
          <t>Venture Capital-Backed</t>
        </is>
      </c>
      <c r="N388" s="43" t="inlineStr">
        <is>
          <t>The company raised $5.3 million of Series A venture funding from Dominion Investment Group on June 6, 2013.</t>
        </is>
      </c>
      <c r="O388" s="44" t="inlineStr">
        <is>
          <t>Dominion Investment Group</t>
        </is>
      </c>
      <c r="P388" s="45" t="inlineStr">
        <is>
          <t/>
        </is>
      </c>
      <c r="Q388" s="46" t="inlineStr">
        <is>
          <t>Application Software</t>
        </is>
      </c>
      <c r="R388" s="47" t="inlineStr">
        <is>
          <t>Developer of an application for monitoring energy. The company offers a monitoring software that allows homeowners to monitor, conserve and track energy usage of their home.</t>
        </is>
      </c>
      <c r="S388" s="48" t="inlineStr">
        <is>
          <t>San Diego, CA</t>
        </is>
      </c>
      <c r="T388" s="49" t="inlineStr">
        <is>
          <t>www.bluedot.com</t>
        </is>
      </c>
      <c r="U388" s="132">
        <f>HYPERLINK("https://my.pitchbook.com?c=57345-04", "View company online")</f>
      </c>
    </row>
    <row r="389">
      <c r="A389" s="9" t="inlineStr">
        <is>
          <t>115355-98</t>
        </is>
      </c>
      <c r="B389" s="10" t="inlineStr">
        <is>
          <t>WeMeUs</t>
        </is>
      </c>
      <c r="C389" s="11" t="inlineStr">
        <is>
          <t/>
        </is>
      </c>
      <c r="D389" s="12" t="n">
        <v>6.84619306692987E-5</v>
      </c>
      <c r="E389" s="13" t="n">
        <v>0.2953552009742135</v>
      </c>
      <c r="F389" s="14" t="n">
        <v>40901.0</v>
      </c>
      <c r="G389" s="15" t="inlineStr">
        <is>
          <t>Angel (individual)</t>
        </is>
      </c>
      <c r="H389" s="16" t="inlineStr">
        <is>
          <t>Angel</t>
        </is>
      </c>
      <c r="I389" s="17" t="inlineStr">
        <is>
          <t/>
        </is>
      </c>
      <c r="J389" s="18" t="inlineStr">
        <is>
          <t/>
        </is>
      </c>
      <c r="K389" s="19" t="inlineStr">
        <is>
          <t>Completed</t>
        </is>
      </c>
      <c r="L389" s="20" t="inlineStr">
        <is>
          <t>Privately Held (backing)</t>
        </is>
      </c>
      <c r="M389" s="21" t="inlineStr">
        <is>
          <t>Venture Capital-Backed</t>
        </is>
      </c>
      <c r="N389" s="22" t="inlineStr">
        <is>
          <t>The company raised an undisclosed amount of angel funding from Landon Pollack and Bill Paseman on December 21, 2011.</t>
        </is>
      </c>
      <c r="O389" s="23" t="inlineStr">
        <is>
          <t>Ignite Venture Partners, William Paseman</t>
        </is>
      </c>
      <c r="P389" s="24" t="inlineStr">
        <is>
          <t/>
        </is>
      </c>
      <c r="Q389" s="25" t="inlineStr">
        <is>
          <t>Business/Productivity Software</t>
        </is>
      </c>
      <c r="R389" s="26" t="inlineStr">
        <is>
          <t>Provider of a professional contact management platform. The company offers a personal contact management platform that allows consultants and other self-employed professionals centralize and organize the information about their contacts from multiple address books, and generate more leads and referrals from their network.</t>
        </is>
      </c>
      <c r="S389" s="27" t="inlineStr">
        <is>
          <t>San Francisco, CA</t>
        </is>
      </c>
      <c r="T389" s="28" t="inlineStr">
        <is>
          <t>www.wemeus.com</t>
        </is>
      </c>
      <c r="U389" s="131">
        <f>HYPERLINK("https://my.pitchbook.com?c=115355-98", "View company online")</f>
      </c>
    </row>
    <row r="390">
      <c r="A390" s="30" t="inlineStr">
        <is>
          <t>119977-57</t>
        </is>
      </c>
      <c r="B390" s="31" t="inlineStr">
        <is>
          <t>WeMash</t>
        </is>
      </c>
      <c r="C390" s="32" t="inlineStr">
        <is>
          <t/>
        </is>
      </c>
      <c r="D390" s="33" t="n">
        <v>0.03904764559691725</v>
      </c>
      <c r="E390" s="34" t="n">
        <v>0.3081081081081081</v>
      </c>
      <c r="F390" s="35" t="inlineStr">
        <is>
          <t/>
        </is>
      </c>
      <c r="G390" s="36" t="inlineStr">
        <is>
          <t>Early Stage VC</t>
        </is>
      </c>
      <c r="H390" s="37" t="inlineStr">
        <is>
          <t/>
        </is>
      </c>
      <c r="I390" s="38" t="inlineStr">
        <is>
          <t/>
        </is>
      </c>
      <c r="J390" s="39" t="inlineStr">
        <is>
          <t/>
        </is>
      </c>
      <c r="K390" s="40" t="inlineStr">
        <is>
          <t>Completed</t>
        </is>
      </c>
      <c r="L390" s="41" t="inlineStr">
        <is>
          <t>Privately Held (backing)</t>
        </is>
      </c>
      <c r="M390" s="42" t="inlineStr">
        <is>
          <t>Venture Capital-Backed</t>
        </is>
      </c>
      <c r="N390" s="43" t="inlineStr">
        <is>
          <t>The company raised venture funding from Andreessen Horowitz, The Valley Fund and Manatt Venture Fund on an undisclosed date.</t>
        </is>
      </c>
      <c r="O390" s="44" t="inlineStr">
        <is>
          <t>Andreessen Horowitz, Manatt Venture Fund, The Valley Fund</t>
        </is>
      </c>
      <c r="P390" s="45" t="inlineStr">
        <is>
          <t/>
        </is>
      </c>
      <c r="Q390" s="46" t="inlineStr">
        <is>
          <t>Movies, Music and Entertainment</t>
        </is>
      </c>
      <c r="R390" s="47" t="inlineStr">
        <is>
          <t>Developer of a Web-based platform that specializes in online videos. The company offers an online platform that enables users to create and monetize content created out of videos derived from movie studios, news organizations, sports entities, music labels, publishers and documentaries.</t>
        </is>
      </c>
      <c r="S390" s="48" t="inlineStr">
        <is>
          <t>Los Angeles, CA</t>
        </is>
      </c>
      <c r="T390" s="49" t="inlineStr">
        <is>
          <t>wemash.com</t>
        </is>
      </c>
      <c r="U390" s="132">
        <f>HYPERLINK("https://my.pitchbook.com?c=119977-57", "View company online")</f>
      </c>
    </row>
    <row r="391">
      <c r="A391" s="9" t="inlineStr">
        <is>
          <t>55362-16</t>
        </is>
      </c>
      <c r="B391" s="10" t="inlineStr">
        <is>
          <t>Welltok</t>
        </is>
      </c>
      <c r="C391" s="11" t="n">
        <v>26.2</v>
      </c>
      <c r="D391" s="12" t="n">
        <v>-0.053644635308665534</v>
      </c>
      <c r="E391" s="13" t="n">
        <v>6.321858986578956</v>
      </c>
      <c r="F391" s="14" t="n">
        <v>42628.0</v>
      </c>
      <c r="G391" s="15" t="inlineStr">
        <is>
          <t>Later Stage VC</t>
        </is>
      </c>
      <c r="H391" s="16" t="inlineStr">
        <is>
          <t>Series E</t>
        </is>
      </c>
      <c r="I391" s="17" t="n">
        <v>46.7</v>
      </c>
      <c r="J391" s="18" t="n">
        <v>483.76</v>
      </c>
      <c r="K391" s="19" t="inlineStr">
        <is>
          <t>Completed</t>
        </is>
      </c>
      <c r="L391" s="20" t="inlineStr">
        <is>
          <t>Privately Held (backing)</t>
        </is>
      </c>
      <c r="M391" s="21" t="inlineStr">
        <is>
          <t>Venture Capital-Backed</t>
        </is>
      </c>
      <c r="N391" s="22" t="inlineStr">
        <is>
          <t>The company raised $46.7 million of Series E venture funding through a combination of equity and debt on September 15, 2016, putting the company's pre-money valuation at $450.06 million. $37.5 million of Series E funding was provided by New Enterprise Associates, Bessemer Venture Partners, Hearst, Georgian Partners, Emergence Capital, InterWest Partners, Sigma Partners, HLM Venture Partners, Flare Capital Partners, Trustmark, Qualcomm Life Fund, Hearst Health Ventures, EDBI, Okapi Venture Capital and Miramar Ventures. A $13 million debt facility was provided by SVB Financial Group. The company will use the funding for continued development of its CaféWell Health Optimization Platform and complementary technology-enabled healthcare service offerings, as well as expansion into new market segments. Previously, the company raised $38 million of Series D3 venture funding from The Entrepreneurs Fund and other undisclosed investors on December 7, 2015, putting the company's pre-money valuation at $412 million.</t>
        </is>
      </c>
      <c r="O391" s="23" t="inlineStr">
        <is>
          <t>Bessemer Venture Partners, Catholic Health Initiatives, EDB Investments, Emergence Capital Partners, Flare Capital Partners, Flybridge Capital Partners, Foundation Medical Management, Georgian Partners, Hearst, Hearst Health Ventures, Highland Capital Partners, HLM Venture Partners, IBM Ventures, InterWest Partners, Jeffrey Margolis, Miramar Ventures, New Enterprise Associates, Okapi Venture Capital, Qualcomm Ventures, Sigma Partners, The Entrepreneurs Fund, Trustmark Companies</t>
        </is>
      </c>
      <c r="P391" s="24" t="inlineStr">
        <is>
          <t/>
        </is>
      </c>
      <c r="Q391" s="25" t="inlineStr">
        <is>
          <t>Other Healthcare Technology Systems</t>
        </is>
      </c>
      <c r="R391" s="26" t="inlineStr">
        <is>
          <t>Developer of a platform designed to drive audience engagement in healthy activities. The company's CafeWell paltform targets, engages and guides population health behavior at the individual level with a focus on helping audience consumers, enabling them to meet personal goals and optimize their health.</t>
        </is>
      </c>
      <c r="S391" s="27" t="inlineStr">
        <is>
          <t>Denver, CO</t>
        </is>
      </c>
      <c r="T391" s="28" t="inlineStr">
        <is>
          <t>www.welltok.com</t>
        </is>
      </c>
      <c r="U391" s="131">
        <f>HYPERLINK("https://my.pitchbook.com?c=55362-16", "View company online")</f>
      </c>
    </row>
    <row r="392">
      <c r="A392" s="30" t="inlineStr">
        <is>
          <t>166932-91</t>
        </is>
      </c>
      <c r="B392" s="31" t="inlineStr">
        <is>
          <t>Well Health</t>
        </is>
      </c>
      <c r="C392" s="32" t="inlineStr">
        <is>
          <t/>
        </is>
      </c>
      <c r="D392" s="33" t="n">
        <v>0.19882690568501973</v>
      </c>
      <c r="E392" s="34" t="n">
        <v>0.4934722858451673</v>
      </c>
      <c r="F392" s="35" t="n">
        <v>42682.0</v>
      </c>
      <c r="G392" s="36" t="inlineStr">
        <is>
          <t>Seed Round</t>
        </is>
      </c>
      <c r="H392" s="37" t="inlineStr">
        <is>
          <t>Seed</t>
        </is>
      </c>
      <c r="I392" s="38" t="n">
        <v>2.86</v>
      </c>
      <c r="J392" s="39" t="n">
        <v>10.0</v>
      </c>
      <c r="K392" s="40" t="inlineStr">
        <is>
          <t>Completed</t>
        </is>
      </c>
      <c r="L392" s="41" t="inlineStr">
        <is>
          <t>Privately Held (backing)</t>
        </is>
      </c>
      <c r="M392" s="42" t="inlineStr">
        <is>
          <t>Venture Capital-Backed</t>
        </is>
      </c>
      <c r="N392" s="43" t="inlineStr">
        <is>
          <t>The company raised $2.86 million of seed venture funding from Structure Capital on November 8, 2016, putting the pre-money valuation at $7.14 million. TenOneTen Ventures also participated in this round.</t>
        </is>
      </c>
      <c r="O392" s="44" t="inlineStr">
        <is>
          <t>Cedars-Sinai, Right Side Capital Management, Structure Capital, Techstars, TenOneTen Ventures</t>
        </is>
      </c>
      <c r="P392" s="45" t="inlineStr">
        <is>
          <t/>
        </is>
      </c>
      <c r="Q392" s="46" t="inlineStr">
        <is>
          <t>Other Healthcare Technology Systems</t>
        </is>
      </c>
      <c r="R392" s="47" t="inlineStr">
        <is>
          <t>Provider and developer of a messaging platform for medical practices. The company provides a platform which offers secure communication and helps admins and care coordinators reach patients between visits.</t>
        </is>
      </c>
      <c r="S392" s="48" t="inlineStr">
        <is>
          <t>Summerland, CA</t>
        </is>
      </c>
      <c r="T392" s="49" t="inlineStr">
        <is>
          <t>www.wellapp.com</t>
        </is>
      </c>
      <c r="U392" s="132">
        <f>HYPERLINK("https://my.pitchbook.com?c=166932-91", "View company online")</f>
      </c>
    </row>
    <row r="393">
      <c r="A393" s="9" t="inlineStr">
        <is>
          <t>66086-74</t>
        </is>
      </c>
      <c r="B393" s="10" t="inlineStr">
        <is>
          <t>Welkin Health</t>
        </is>
      </c>
      <c r="C393" s="11" t="inlineStr">
        <is>
          <t/>
        </is>
      </c>
      <c r="D393" s="12" t="n">
        <v>0.10290130166135554</v>
      </c>
      <c r="E393" s="13" t="n">
        <v>1.3638611081868266</v>
      </c>
      <c r="F393" s="14" t="n">
        <v>42794.0</v>
      </c>
      <c r="G393" s="15" t="inlineStr">
        <is>
          <t>Early Stage VC</t>
        </is>
      </c>
      <c r="H393" s="16" t="inlineStr">
        <is>
          <t>Series A2</t>
        </is>
      </c>
      <c r="I393" s="17" t="n">
        <v>8.0</v>
      </c>
      <c r="J393" s="18" t="n">
        <v>32.0</v>
      </c>
      <c r="K393" s="19" t="inlineStr">
        <is>
          <t>Completed</t>
        </is>
      </c>
      <c r="L393" s="20" t="inlineStr">
        <is>
          <t>Privately Held (backing)</t>
        </is>
      </c>
      <c r="M393" s="21" t="inlineStr">
        <is>
          <t>Venture Capital-Backed</t>
        </is>
      </c>
      <c r="N393" s="22" t="inlineStr">
        <is>
          <t>The company raised an estimated $8 million of Series A2 venture funding from Thrive Capital on February 28, 2017, putting the pre-money valuation at $24 million. Other undisclosed investors also participated in the round.</t>
        </is>
      </c>
      <c r="O393" s="23" t="inlineStr">
        <is>
          <t>Asset Management Ventures, Charles MacInnis, Great Oaks VC, Great Oaks Venture Capital, iKang Healthcare, iSeed Ventures, James Kolotouros, Mayo Clinic Ventures, Nikhyl Singhal, Rock Health, Skip Fleshman, Thrive Capital</t>
        </is>
      </c>
      <c r="P393" s="24" t="inlineStr">
        <is>
          <t/>
        </is>
      </c>
      <c r="Q393" s="25" t="inlineStr">
        <is>
          <t>Outcome Management (Healthcare)</t>
        </is>
      </c>
      <c r="R393" s="26" t="inlineStr">
        <is>
          <t>Developer of a therapeutic platform designed to leverage the power of human relationships to help people living with chronic disease become healthier and happier. The company's therapeutic platform empowers healthcare organizations to run disease management programs for patients with mental illness, chronic diseases and pain, heart failure, addiction, hypertension, cognitive decline and others through engagement, education and support programs, enabling healthcare companies to build custom, successful digital therapeutics and improve outcomes through personal connections to patients.</t>
        </is>
      </c>
      <c r="S393" s="27" t="inlineStr">
        <is>
          <t>San Francisco, CA</t>
        </is>
      </c>
      <c r="T393" s="28" t="inlineStr">
        <is>
          <t>www.welkinhealth.com</t>
        </is>
      </c>
      <c r="U393" s="131">
        <f>HYPERLINK("https://my.pitchbook.com?c=66086-74", "View company online")</f>
      </c>
    </row>
    <row r="394">
      <c r="A394" s="30" t="inlineStr">
        <is>
          <t>53945-47</t>
        </is>
      </c>
      <c r="B394" s="31" t="inlineStr">
        <is>
          <t>Welcome</t>
        </is>
      </c>
      <c r="C394" s="32" t="inlineStr">
        <is>
          <t/>
        </is>
      </c>
      <c r="D394" s="33" t="n">
        <v>-0.001993897259987401</v>
      </c>
      <c r="E394" s="34" t="n">
        <v>1.5074832438502297</v>
      </c>
      <c r="F394" s="35" t="n">
        <v>42229.0</v>
      </c>
      <c r="G394" s="36" t="inlineStr">
        <is>
          <t>Early Stage VC</t>
        </is>
      </c>
      <c r="H394" s="37" t="inlineStr">
        <is>
          <t>Series B</t>
        </is>
      </c>
      <c r="I394" s="38" t="n">
        <v>11.23</v>
      </c>
      <c r="J394" s="39" t="n">
        <v>35.38</v>
      </c>
      <c r="K394" s="40" t="inlineStr">
        <is>
          <t>Completed</t>
        </is>
      </c>
      <c r="L394" s="41" t="inlineStr">
        <is>
          <t>Privately Held (backing)</t>
        </is>
      </c>
      <c r="M394" s="42" t="inlineStr">
        <is>
          <t>Venture Capital-Backed</t>
        </is>
      </c>
      <c r="N394" s="43" t="inlineStr">
        <is>
          <t>The company raised $11.23 million of Series B venture funding in a deal led by Costanoa Venture Capital on August 13, 2015, putting the company's pre-money valuation at $24.15 million. FirstMark Capital, Mack Capital, Lazerow Ventures, Commerce Ventures and Vayner/RSE also participated in the round.</t>
        </is>
      </c>
      <c r="O394" s="44" t="inlineStr">
        <is>
          <t>Akshay Navle, BoxGroup, Commerce Ventures, Costanoa Venture Capital, David Cohen, David Liu, David Tisch, FirstMark Capital, Joey Levin, Kal Vepuri, Lazerow Ventures, Lerer Hippeau Ventures, Mack Capital, Michael Lazerow, Nathaniel Turner, Patrick Keane, Ralph Mack, Robert Wiesenthal, SV Angel, Techstars, Vayner/RSE, Zachary Weinberg</t>
        </is>
      </c>
      <c r="P394" s="45" t="inlineStr">
        <is>
          <t/>
        </is>
      </c>
      <c r="Q394" s="46" t="inlineStr">
        <is>
          <t>Communication Software</t>
        </is>
      </c>
      <c r="R394" s="47" t="inlineStr">
        <is>
          <t>Developer of an unified conversation platform designed to connect brands and retailers in a single conversation with consumers across every touchpoint. The company's unified conversation platform allows consumers to discover available experts and receive personalized assistance while buying, enabling brands and retailers to improve acquisition and engagement of customers.</t>
        </is>
      </c>
      <c r="S394" s="48" t="inlineStr">
        <is>
          <t>New York, NY</t>
        </is>
      </c>
      <c r="T394" s="49" t="inlineStr">
        <is>
          <t>www.welcomecommerce.com</t>
        </is>
      </c>
      <c r="U394" s="132">
        <f>HYPERLINK("https://my.pitchbook.com?c=53945-47", "View company online")</f>
      </c>
    </row>
    <row r="395">
      <c r="A395" s="9" t="inlineStr">
        <is>
          <t>170361-55</t>
        </is>
      </c>
      <c r="B395" s="10" t="inlineStr">
        <is>
          <t>WelbeHealth</t>
        </is>
      </c>
      <c r="C395" s="11" t="inlineStr">
        <is>
          <t/>
        </is>
      </c>
      <c r="D395" s="12" t="n">
        <v>0.0</v>
      </c>
      <c r="E395" s="13" t="n">
        <v>0.08108108108108109</v>
      </c>
      <c r="F395" s="14" t="n">
        <v>42774.0</v>
      </c>
      <c r="G395" s="15" t="inlineStr">
        <is>
          <t>Early Stage VC</t>
        </is>
      </c>
      <c r="H395" s="16" t="inlineStr">
        <is>
          <t>Series A</t>
        </is>
      </c>
      <c r="I395" s="17" t="n">
        <v>15.0</v>
      </c>
      <c r="J395" s="18" t="inlineStr">
        <is>
          <t/>
        </is>
      </c>
      <c r="K395" s="19" t="inlineStr">
        <is>
          <t>Completed</t>
        </is>
      </c>
      <c r="L395" s="20" t="inlineStr">
        <is>
          <t>Privately Held (backing)</t>
        </is>
      </c>
      <c r="M395" s="21" t="inlineStr">
        <is>
          <t>Venture Capital-Backed</t>
        </is>
      </c>
      <c r="N395" s="22" t="inlineStr">
        <is>
          <t>The company raised $15 million of Series A funding led by F-Prime Capital and .406 Ventures on February 8, 2017. Other undisclosed investors also participated. The funds will be used to develop its initial market and roll out new initiatives to improve the quality of care for seniors.</t>
        </is>
      </c>
      <c r="O395" s="23" t="inlineStr">
        <is>
          <t>.406 Ventures, F-Prime Capital Partners</t>
        </is>
      </c>
      <c r="P395" s="24" t="inlineStr">
        <is>
          <t/>
        </is>
      </c>
      <c r="Q395" s="25" t="inlineStr">
        <is>
          <t>Elder and Disabled Care</t>
        </is>
      </c>
      <c r="R395" s="26" t="inlineStr">
        <is>
          <t>Provider of healthcare services created to serve seniors with greater quality, compassion and value. The company's healthcare management technology improves clinical communication, help caregivers make treatment decisions and monitor patients at home or in a hospital and supports highly coordinated interdisciplinary care teams and cultivate a service-oriented mentality in attending to each individual, enabling patients to attain comprehensive health and social needs.</t>
        </is>
      </c>
      <c r="S395" s="27" t="inlineStr">
        <is>
          <t>Menlo Park, CA</t>
        </is>
      </c>
      <c r="T395" s="28" t="inlineStr">
        <is>
          <t>www.welbehealth.com</t>
        </is>
      </c>
      <c r="U395" s="131">
        <f>HYPERLINK("https://my.pitchbook.com?c=170361-55", "View company online")</f>
      </c>
    </row>
    <row r="396">
      <c r="A396" s="30" t="inlineStr">
        <is>
          <t>160815-16</t>
        </is>
      </c>
      <c r="B396" s="31" t="inlineStr">
        <is>
          <t>Weka.IO</t>
        </is>
      </c>
      <c r="C396" s="32" t="inlineStr">
        <is>
          <t/>
        </is>
      </c>
      <c r="D396" s="33" t="n">
        <v>1.0267455359575348</v>
      </c>
      <c r="E396" s="34" t="n">
        <v>1.2425552855729716</v>
      </c>
      <c r="F396" s="35" t="n">
        <v>42528.0</v>
      </c>
      <c r="G396" s="36" t="inlineStr">
        <is>
          <t>Early Stage VC</t>
        </is>
      </c>
      <c r="H396" s="37" t="inlineStr">
        <is>
          <t>Series B</t>
        </is>
      </c>
      <c r="I396" s="38" t="n">
        <v>22.25</v>
      </c>
      <c r="J396" s="39" t="inlineStr">
        <is>
          <t/>
        </is>
      </c>
      <c r="K396" s="40" t="inlineStr">
        <is>
          <t>Completed</t>
        </is>
      </c>
      <c r="L396" s="41" t="inlineStr">
        <is>
          <t>Privately Held (backing)</t>
        </is>
      </c>
      <c r="M396" s="42" t="inlineStr">
        <is>
          <t>Venture Capital-Backed</t>
        </is>
      </c>
      <c r="N396" s="43" t="inlineStr">
        <is>
          <t>The company raised $22.25 million of Series B venture funding in a deal led by Walden Riverwood Ventures on June 7, 2016. Qualcomm Ventures, Gemini Israel Ventures, Norwest Venture Partners, WRV Capital and other undisclosed investors also participated in the round. The company intends to use the funds to continue building the engineering team and accelerate its go-to-market strategy, with immediate plans to expand sales and marketing in the USA.</t>
        </is>
      </c>
      <c r="O396" s="44" t="inlineStr">
        <is>
          <t>Gemini Israel Ventures, Norwest Venture Partners, Qualcomm Ventures, Walden International, WRV</t>
        </is>
      </c>
      <c r="P396" s="45" t="inlineStr">
        <is>
          <t/>
        </is>
      </c>
      <c r="Q396" s="46" t="inlineStr">
        <is>
          <t>Systems and Information Management</t>
        </is>
      </c>
      <c r="R396" s="47" t="inlineStr">
        <is>
          <t>Developer of a software defined storage (SDS) technology designed to offer the first software-defined file system that delivers flash performance at cloud scale and economics. The company's software defined storage (SDS) technology transforms enterprise and cloud storage by radically simplifying the way storage is deployed in the datacenter, enabling enterprises to build highly differentiated storage systems and convert data to money faster and easier.</t>
        </is>
      </c>
      <c r="S396" s="48" t="inlineStr">
        <is>
          <t>San Jose, CA</t>
        </is>
      </c>
      <c r="T396" s="49" t="inlineStr">
        <is>
          <t>www.weka.io</t>
        </is>
      </c>
      <c r="U396" s="132">
        <f>HYPERLINK("https://my.pitchbook.com?c=160815-16", "View company online")</f>
      </c>
    </row>
    <row r="397">
      <c r="A397" s="9" t="inlineStr">
        <is>
          <t>55684-81</t>
        </is>
      </c>
      <c r="B397" s="10" t="inlineStr">
        <is>
          <t>Wefunder</t>
        </is>
      </c>
      <c r="C397" s="11" t="n">
        <v>0.27</v>
      </c>
      <c r="D397" s="12" t="n">
        <v>0.3639224686669587</v>
      </c>
      <c r="E397" s="13" t="n">
        <v>10.68747952605727</v>
      </c>
      <c r="F397" s="14" t="n">
        <v>42746.0</v>
      </c>
      <c r="G397" s="15" t="inlineStr">
        <is>
          <t>Seed Round</t>
        </is>
      </c>
      <c r="H397" s="16" t="inlineStr">
        <is>
          <t>Seed</t>
        </is>
      </c>
      <c r="I397" s="17" t="n">
        <v>2.18</v>
      </c>
      <c r="J397" s="18" t="n">
        <v>32.18</v>
      </c>
      <c r="K397" s="19" t="inlineStr">
        <is>
          <t>Completed</t>
        </is>
      </c>
      <c r="L397" s="20" t="inlineStr">
        <is>
          <t>Privately Held (backing)</t>
        </is>
      </c>
      <c r="M397" s="21" t="inlineStr">
        <is>
          <t>Venture Capital-Backed</t>
        </is>
      </c>
      <c r="N397" s="22" t="inlineStr">
        <is>
          <t>The company raised $2.18 million of seed 2 venture funding from Yang Ventures, Turning Point Brands and other undisclosed investors on January 11, 2017, putting the pre-money valuation at $30 million.</t>
        </is>
      </c>
      <c r="O397" s="23" t="inlineStr">
        <is>
          <t>Alexander Angerer, Amish Shah, Andreessen Horowitz, Andrew Ellis, Ben Cohen, Bill Warner, Bridge Boys, Carl Collins, Chris Mather, Conor White-Sullivan, Dan Grover, Dharmesh Shah, Don Leeds, Eric Kagan, Florian Huber, Gary Baltor, General Catalyst Partners, Green Visor Capital, James Pallotta, Jan Cieslikiewicz, Jared Chung, Jennifer Ku, Jim Alvarez, Maverick Capital, MD Pham, Mike Volpe, Nihal Mehta, Paul English, Raptor Group, Reinmkr, Reynolds and Company Venture Partners, Runway Incubator, Saad AlSogair, Scott Segel, Shen Tong, SierraMaya360, Terrence Yang, Timothy Rowe, Tong Shen, Tsingyuan Ventures, Tucker Max, Turning Point Brands, Wei Guo, William Wissing, Y Combinator, Yang Ventures, Yuri Milner</t>
        </is>
      </c>
      <c r="P397" s="24" t="inlineStr">
        <is>
          <t/>
        </is>
      </c>
      <c r="Q397" s="25" t="inlineStr">
        <is>
          <t>Social/Platform Software</t>
        </is>
      </c>
      <c r="R397" s="26" t="inlineStr">
        <is>
          <t>Operator of an online investment crowdfunding platform designed to connects start-ups with investors. The company's online investment crowdfunding platform supports the start up companies and help seed investors purchase stock, enabling unaccredited investors to put money into start-ups and ideas they find of interest.</t>
        </is>
      </c>
      <c r="S397" s="27" t="inlineStr">
        <is>
          <t>Cambridge, MA</t>
        </is>
      </c>
      <c r="T397" s="28" t="inlineStr">
        <is>
          <t>www.wefunder.com</t>
        </is>
      </c>
      <c r="U397" s="131">
        <f>HYPERLINK("https://my.pitchbook.com?c=55684-81", "View company online")</f>
      </c>
    </row>
    <row r="398">
      <c r="A398" s="30" t="inlineStr">
        <is>
          <t>104793-31</t>
        </is>
      </c>
      <c r="B398" s="31" t="inlineStr">
        <is>
          <t>WeFinance</t>
        </is>
      </c>
      <c r="C398" s="32" t="inlineStr">
        <is>
          <t/>
        </is>
      </c>
      <c r="D398" s="33" t="n">
        <v>0.2699390145090599</v>
      </c>
      <c r="E398" s="34" t="n">
        <v>1.9897263723350678</v>
      </c>
      <c r="F398" s="35" t="n">
        <v>42275.0</v>
      </c>
      <c r="G398" s="36" t="inlineStr">
        <is>
          <t>Seed Round</t>
        </is>
      </c>
      <c r="H398" s="37" t="inlineStr">
        <is>
          <t>Seed</t>
        </is>
      </c>
      <c r="I398" s="38" t="inlineStr">
        <is>
          <t/>
        </is>
      </c>
      <c r="J398" s="39" t="inlineStr">
        <is>
          <t/>
        </is>
      </c>
      <c r="K398" s="40" t="inlineStr">
        <is>
          <t>Completed</t>
        </is>
      </c>
      <c r="L398" s="41" t="inlineStr">
        <is>
          <t>Privately Held (backing)</t>
        </is>
      </c>
      <c r="M398" s="42" t="inlineStr">
        <is>
          <t>Venture Capital-Backed</t>
        </is>
      </c>
      <c r="N398" s="43" t="inlineStr">
        <is>
          <t>The company raised seed funding from Graph Ventures, 500 Startups and other undisclosed investors on September 28, 2015.</t>
        </is>
      </c>
      <c r="O398" s="44" t="inlineStr">
        <is>
          <t>500 Startups, Graph Ventures, StartX</t>
        </is>
      </c>
      <c r="P398" s="45" t="inlineStr">
        <is>
          <t/>
        </is>
      </c>
      <c r="Q398" s="46" t="inlineStr">
        <is>
          <t>Other Financial Services</t>
        </is>
      </c>
      <c r="R398" s="47" t="inlineStr">
        <is>
          <t>Developer of a loan-based crowdfunding platform. The company's software allows borrowers to crowdfund loans from their networks and also matches them with lender partners to meet their borrowing needs.</t>
        </is>
      </c>
      <c r="S398" s="48" t="inlineStr">
        <is>
          <t>San Francisco, CA</t>
        </is>
      </c>
      <c r="T398" s="49" t="inlineStr">
        <is>
          <t>www.wefinance.co</t>
        </is>
      </c>
      <c r="U398" s="132">
        <f>HYPERLINK("https://my.pitchbook.com?c=104793-31", "View company online")</f>
      </c>
    </row>
    <row r="399">
      <c r="A399" s="9" t="inlineStr">
        <is>
          <t>52295-05</t>
        </is>
      </c>
      <c r="B399" s="10" t="inlineStr">
        <is>
          <t>wefi</t>
        </is>
      </c>
      <c r="C399" s="11" t="inlineStr">
        <is>
          <t/>
        </is>
      </c>
      <c r="D399" s="12" t="n">
        <v>-0.26412920631605485</v>
      </c>
      <c r="E399" s="13" t="n">
        <v>19.170773168157105</v>
      </c>
      <c r="F399" s="14" t="n">
        <v>40927.0</v>
      </c>
      <c r="G399" s="15" t="inlineStr">
        <is>
          <t>Later Stage VC</t>
        </is>
      </c>
      <c r="H399" s="16" t="inlineStr">
        <is>
          <t>Series C</t>
        </is>
      </c>
      <c r="I399" s="17" t="n">
        <v>10.0</v>
      </c>
      <c r="J399" s="18" t="n">
        <v>50.59</v>
      </c>
      <c r="K399" s="19" t="inlineStr">
        <is>
          <t>Completed</t>
        </is>
      </c>
      <c r="L399" s="20" t="inlineStr">
        <is>
          <t>Privately Held (backing)</t>
        </is>
      </c>
      <c r="M399" s="21" t="inlineStr">
        <is>
          <t>Venture Capital-Backed</t>
        </is>
      </c>
      <c r="N399" s="22" t="inlineStr">
        <is>
          <t>The company raised $10 million in Series C funding from undisclosed investors on January 19, 2012, putting the pre-money valuation at $40.59 million.</t>
        </is>
      </c>
      <c r="O399" s="23" t="inlineStr">
        <is>
          <t>Gemini Israel Ventures, Individual Investor, Lightspeed Venture Partners Israel, Pitango Venture Capital, Time Warner Cable</t>
        </is>
      </c>
      <c r="P399" s="24" t="inlineStr">
        <is>
          <t/>
        </is>
      </c>
      <c r="Q399" s="25" t="inlineStr">
        <is>
          <t>Wireless Service Providers</t>
        </is>
      </c>
      <c r="R399" s="26" t="inlineStr">
        <is>
          <t>Developer of wireless access services and communities. The company provides an open broadband wireless network tool that automatically detects and qualifies Wi-Fi access points within range and connects to the spot with the internet connection.</t>
        </is>
      </c>
      <c r="S399" s="27" t="inlineStr">
        <is>
          <t>Herndon, VA</t>
        </is>
      </c>
      <c r="T399" s="28" t="inlineStr">
        <is>
          <t>www.wefi.com</t>
        </is>
      </c>
      <c r="U399" s="131">
        <f>HYPERLINK("https://my.pitchbook.com?c=52295-05", "View company online")</f>
      </c>
    </row>
    <row r="400">
      <c r="A400" s="30" t="inlineStr">
        <is>
          <t>158911-57</t>
        </is>
      </c>
      <c r="B400" s="31" t="inlineStr">
        <is>
          <t>Weee</t>
        </is>
      </c>
      <c r="C400" s="32" t="inlineStr">
        <is>
          <t/>
        </is>
      </c>
      <c r="D400" s="33" t="n">
        <v>3.709423219446733</v>
      </c>
      <c r="E400" s="34" t="n">
        <v>5.096978344804432</v>
      </c>
      <c r="F400" s="35" t="n">
        <v>42501.0</v>
      </c>
      <c r="G400" s="36" t="inlineStr">
        <is>
          <t>Early Stage VC</t>
        </is>
      </c>
      <c r="H400" s="37" t="inlineStr">
        <is>
          <t>Series A</t>
        </is>
      </c>
      <c r="I400" s="38" t="n">
        <v>6.0</v>
      </c>
      <c r="J400" s="39" t="n">
        <v>34.18</v>
      </c>
      <c r="K400" s="40" t="inlineStr">
        <is>
          <t>Completed</t>
        </is>
      </c>
      <c r="L400" s="41" t="inlineStr">
        <is>
          <t>Privately Held (backing)</t>
        </is>
      </c>
      <c r="M400" s="42" t="inlineStr">
        <is>
          <t>Venture Capital-Backed</t>
        </is>
      </c>
      <c r="N400" s="43" t="inlineStr">
        <is>
          <t>The company raised $6 million of Series A funding from undisclosed investors on May 11, 2016, putting the company's pre-money valuation at $28.18 million.</t>
        </is>
      </c>
      <c r="O400" s="44" t="inlineStr">
        <is>
          <t>Goodwater Capital</t>
        </is>
      </c>
      <c r="P400" s="45" t="inlineStr">
        <is>
          <t/>
        </is>
      </c>
      <c r="Q400" s="46" t="inlineStr">
        <is>
          <t>Social/Platform Software</t>
        </is>
      </c>
      <c r="R400" s="47" t="inlineStr">
        <is>
          <t>Provider of a consumer to consumer selling platform. The company offers an online platform helping consumers to list, buy, sell or trade their surplus items.</t>
        </is>
      </c>
      <c r="S400" s="48" t="inlineStr">
        <is>
          <t>Sunnyvale, CA</t>
        </is>
      </c>
      <c r="T400" s="49" t="inlineStr">
        <is>
          <t>www.sayweee.com</t>
        </is>
      </c>
      <c r="U400" s="132">
        <f>HYPERLINK("https://my.pitchbook.com?c=158911-57", "View company online")</f>
      </c>
    </row>
    <row r="401">
      <c r="A401" s="9" t="inlineStr">
        <is>
          <t>53625-70</t>
        </is>
      </c>
      <c r="B401" s="10" t="inlineStr">
        <is>
          <t>Weebly</t>
        </is>
      </c>
      <c r="C401" s="11" t="inlineStr">
        <is>
          <t/>
        </is>
      </c>
      <c r="D401" s="12" t="n">
        <v>1.8744757015941578</v>
      </c>
      <c r="E401" s="13" t="n">
        <v>6143.745462040101</v>
      </c>
      <c r="F401" s="14" t="n">
        <v>42593.0</v>
      </c>
      <c r="G401" s="15" t="inlineStr">
        <is>
          <t>Later Stage VC</t>
        </is>
      </c>
      <c r="H401" s="16" t="inlineStr">
        <is>
          <t/>
        </is>
      </c>
      <c r="I401" s="17" t="n">
        <v>4.16</v>
      </c>
      <c r="J401" s="18" t="inlineStr">
        <is>
          <t/>
        </is>
      </c>
      <c r="K401" s="19" t="inlineStr">
        <is>
          <t>Completed</t>
        </is>
      </c>
      <c r="L401" s="20" t="inlineStr">
        <is>
          <t>Privately Held (backing)</t>
        </is>
      </c>
      <c r="M401" s="21" t="inlineStr">
        <is>
          <t>Venture Capital-Backed</t>
        </is>
      </c>
      <c r="N401" s="22" t="inlineStr">
        <is>
          <t>The company raised $4.15 million of venture funding from undisclosed investors on August 11, 2016.</t>
        </is>
      </c>
      <c r="O401" s="23" t="inlineStr">
        <is>
          <t>Baseline Ventures, Felicis Ventures, Floodgate Fund, Inara Ventures, Paul Buchheit, RocketSpace, Ronald Conway, Sequoia Capital, Steve Anderson, SV Angel, Tencent Industry Win-Win Fund, Y Combinator</t>
        </is>
      </c>
      <c r="P401" s="24" t="inlineStr">
        <is>
          <t/>
        </is>
      </c>
      <c r="Q401" s="25" t="inlineStr">
        <is>
          <t>Multimedia and Design Software</t>
        </is>
      </c>
      <c r="R401" s="26" t="inlineStr">
        <is>
          <t>Provider of a website creation platform. The company provides a platform to create blog, website or online stores by adding media and documents like pictures as well as videos.</t>
        </is>
      </c>
      <c r="S401" s="27" t="inlineStr">
        <is>
          <t>San Francisco, CA</t>
        </is>
      </c>
      <c r="T401" s="28" t="inlineStr">
        <is>
          <t>www.weebly.com</t>
        </is>
      </c>
      <c r="U401" s="131">
        <f>HYPERLINK("https://my.pitchbook.com?c=53625-70", "View company online")</f>
      </c>
    </row>
    <row r="402">
      <c r="A402" s="30" t="inlineStr">
        <is>
          <t>55328-41</t>
        </is>
      </c>
      <c r="B402" s="31" t="inlineStr">
        <is>
          <t>Wedge Buster</t>
        </is>
      </c>
      <c r="C402" s="32" t="inlineStr">
        <is>
          <t/>
        </is>
      </c>
      <c r="D402" s="33" t="n">
        <v>0.01741240368003249</v>
      </c>
      <c r="E402" s="34" t="n">
        <v>6.678240952817225</v>
      </c>
      <c r="F402" s="35" t="n">
        <v>41176.0</v>
      </c>
      <c r="G402" s="36" t="inlineStr">
        <is>
          <t>Early Stage VC</t>
        </is>
      </c>
      <c r="H402" s="37" t="inlineStr">
        <is>
          <t>Series A</t>
        </is>
      </c>
      <c r="I402" s="38" t="n">
        <v>2.2</v>
      </c>
      <c r="J402" s="39" t="n">
        <v>10.32</v>
      </c>
      <c r="K402" s="40" t="inlineStr">
        <is>
          <t>Completed</t>
        </is>
      </c>
      <c r="L402" s="41" t="inlineStr">
        <is>
          <t>Privately Held (backing)</t>
        </is>
      </c>
      <c r="M402" s="42" t="inlineStr">
        <is>
          <t>Venture Capital-Backed</t>
        </is>
      </c>
      <c r="N402" s="43" t="inlineStr">
        <is>
          <t>The company raised $2.2 million of Series A venture funding from Drew Brees, Rob Dyrdek, 37 Ventures, Park Lane, Cranberry Capital, Anton Kaszubowski, Archer Venture Capital, Robert Jadon and other undisclosed individual investors on September 24, 2012, putting the pre-money valuation at $8.12 million.</t>
        </is>
      </c>
      <c r="O402" s="44" t="inlineStr">
        <is>
          <t>37 Ventures, Anton Kaszubowski, Archer Venture Capital, Cranberry Capital, Drew Brees, Individual Investor, Park Lane, Pasadena Angels, Rob Dyrdek, Robert Jadon</t>
        </is>
      </c>
      <c r="P402" s="45" t="inlineStr">
        <is>
          <t/>
        </is>
      </c>
      <c r="Q402" s="46" t="inlineStr">
        <is>
          <t>Social/Platform Software</t>
        </is>
      </c>
      <c r="R402" s="47" t="inlineStr">
        <is>
          <t>Developer of a social gaming platform. The company develops online gaming applications for mobile and social networks.</t>
        </is>
      </c>
      <c r="S402" s="48" t="inlineStr">
        <is>
          <t>Los Angeles, CA</t>
        </is>
      </c>
      <c r="T402" s="49" t="inlineStr">
        <is>
          <t>www.wedgebuster.com</t>
        </is>
      </c>
      <c r="U402" s="132">
        <f>HYPERLINK("https://my.pitchbook.com?c=55328-41", "View company online")</f>
      </c>
    </row>
    <row r="403">
      <c r="A403" s="9" t="inlineStr">
        <is>
          <t>108902-98</t>
        </is>
      </c>
      <c r="B403" s="10" t="inlineStr">
        <is>
          <t>Webyog</t>
        </is>
      </c>
      <c r="C403" s="97">
        <f>HYPERLINK("https://my.pitchbook.com?rrp=108902-98&amp;type=c", "This Company's information is not available to download. Need this Company? Request availability")</f>
      </c>
      <c r="D403" s="12" t="inlineStr">
        <is>
          <t/>
        </is>
      </c>
      <c r="E403" s="13" t="inlineStr">
        <is>
          <t/>
        </is>
      </c>
      <c r="F403" s="14" t="inlineStr">
        <is>
          <t/>
        </is>
      </c>
      <c r="G403" s="15" t="inlineStr">
        <is>
          <t/>
        </is>
      </c>
      <c r="H403" s="16" t="inlineStr">
        <is>
          <t/>
        </is>
      </c>
      <c r="I403" s="17" t="inlineStr">
        <is>
          <t/>
        </is>
      </c>
      <c r="J403" s="18" t="inlineStr">
        <is>
          <t/>
        </is>
      </c>
      <c r="K403" s="19" t="inlineStr">
        <is>
          <t/>
        </is>
      </c>
      <c r="L403" s="20" t="inlineStr">
        <is>
          <t/>
        </is>
      </c>
      <c r="M403" s="21" t="inlineStr">
        <is>
          <t/>
        </is>
      </c>
      <c r="N403" s="22" t="inlineStr">
        <is>
          <t/>
        </is>
      </c>
      <c r="O403" s="23" t="inlineStr">
        <is>
          <t/>
        </is>
      </c>
      <c r="P403" s="24" t="inlineStr">
        <is>
          <t/>
        </is>
      </c>
      <c r="Q403" s="25" t="inlineStr">
        <is>
          <t/>
        </is>
      </c>
      <c r="R403" s="26" t="inlineStr">
        <is>
          <t/>
        </is>
      </c>
      <c r="S403" s="27" t="inlineStr">
        <is>
          <t/>
        </is>
      </c>
      <c r="T403" s="28" t="inlineStr">
        <is>
          <t/>
        </is>
      </c>
      <c r="U403" s="29" t="inlineStr">
        <is>
          <t/>
        </is>
      </c>
    </row>
    <row r="404">
      <c r="A404" s="30" t="inlineStr">
        <is>
          <t>97769-26</t>
        </is>
      </c>
      <c r="B404" s="31" t="inlineStr">
        <is>
          <t>WebVision</t>
        </is>
      </c>
      <c r="C404" s="32" t="inlineStr">
        <is>
          <t/>
        </is>
      </c>
      <c r="D404" s="33" t="inlineStr">
        <is>
          <t/>
        </is>
      </c>
      <c r="E404" s="34" t="inlineStr">
        <is>
          <t/>
        </is>
      </c>
      <c r="F404" s="35" t="inlineStr">
        <is>
          <t/>
        </is>
      </c>
      <c r="G404" s="36" t="inlineStr">
        <is>
          <t>Secondary Transaction - Private</t>
        </is>
      </c>
      <c r="H404" s="37" t="inlineStr">
        <is>
          <t/>
        </is>
      </c>
      <c r="I404" s="38" t="inlineStr">
        <is>
          <t/>
        </is>
      </c>
      <c r="J404" s="39" t="inlineStr">
        <is>
          <t/>
        </is>
      </c>
      <c r="K404" s="40" t="inlineStr">
        <is>
          <t>Completed</t>
        </is>
      </c>
      <c r="L404" s="41" t="inlineStr">
        <is>
          <t>Privately Held (backing)</t>
        </is>
      </c>
      <c r="M404" s="42" t="inlineStr">
        <is>
          <t>Venture Capital-Backed</t>
        </is>
      </c>
      <c r="N404" s="43" t="inlineStr">
        <is>
          <t>Freeman Spogli sold its stake in the company on an undisclosed date.</t>
        </is>
      </c>
      <c r="O404" s="44" t="inlineStr">
        <is>
          <t>Denota Ventures, Jefferies Group, KPS Capital Partners, SCP Partners, The Goldman Sachs Group, TL Ventures</t>
        </is>
      </c>
      <c r="P404" s="45" t="inlineStr">
        <is>
          <t/>
        </is>
      </c>
      <c r="Q404" s="46" t="inlineStr">
        <is>
          <t>Internet Service Providers</t>
        </is>
      </c>
      <c r="R404" s="47" t="inlineStr">
        <is>
          <t>Provider of integrated internet services intended to offer web hosting services. The company's integrated internet services develops innovative Web 2.0 technologies, enabling businesses to access, organize and share multimedia information according to personal and group interests.</t>
        </is>
      </c>
      <c r="S404" s="48" t="inlineStr">
        <is>
          <t>Torrance, CA</t>
        </is>
      </c>
      <c r="T404" s="49" t="inlineStr">
        <is>
          <t>www.webvision.us</t>
        </is>
      </c>
      <c r="U404" s="132">
        <f>HYPERLINK("https://my.pitchbook.com?c=97769-26", "View company online")</f>
      </c>
    </row>
    <row r="405">
      <c r="A405" s="9" t="inlineStr">
        <is>
          <t>173846-62</t>
        </is>
      </c>
      <c r="B405" s="10" t="inlineStr">
        <is>
          <t>WebTelecom</t>
        </is>
      </c>
      <c r="C405" s="97">
        <f>HYPERLINK("https://my.pitchbook.com?rrp=173846-62&amp;type=c", "This Company's information is not available to download. Need this Company? Request availability")</f>
      </c>
      <c r="D405" s="12" t="inlineStr">
        <is>
          <t/>
        </is>
      </c>
      <c r="E405" s="13" t="inlineStr">
        <is>
          <t/>
        </is>
      </c>
      <c r="F405" s="14" t="inlineStr">
        <is>
          <t/>
        </is>
      </c>
      <c r="G405" s="15" t="inlineStr">
        <is>
          <t/>
        </is>
      </c>
      <c r="H405" s="16" t="inlineStr">
        <is>
          <t/>
        </is>
      </c>
      <c r="I405" s="17" t="inlineStr">
        <is>
          <t/>
        </is>
      </c>
      <c r="J405" s="18" t="inlineStr">
        <is>
          <t/>
        </is>
      </c>
      <c r="K405" s="19" t="inlineStr">
        <is>
          <t/>
        </is>
      </c>
      <c r="L405" s="20" t="inlineStr">
        <is>
          <t/>
        </is>
      </c>
      <c r="M405" s="21" t="inlineStr">
        <is>
          <t/>
        </is>
      </c>
      <c r="N405" s="22" t="inlineStr">
        <is>
          <t/>
        </is>
      </c>
      <c r="O405" s="23" t="inlineStr">
        <is>
          <t/>
        </is>
      </c>
      <c r="P405" s="24" t="inlineStr">
        <is>
          <t/>
        </is>
      </c>
      <c r="Q405" s="25" t="inlineStr">
        <is>
          <t/>
        </is>
      </c>
      <c r="R405" s="26" t="inlineStr">
        <is>
          <t/>
        </is>
      </c>
      <c r="S405" s="27" t="inlineStr">
        <is>
          <t/>
        </is>
      </c>
      <c r="T405" s="28" t="inlineStr">
        <is>
          <t/>
        </is>
      </c>
      <c r="U405" s="29" t="inlineStr">
        <is>
          <t/>
        </is>
      </c>
    </row>
    <row r="406">
      <c r="A406" s="30" t="inlineStr">
        <is>
          <t>56610-37</t>
        </is>
      </c>
      <c r="B406" s="31" t="inlineStr">
        <is>
          <t>Webtab</t>
        </is>
      </c>
      <c r="C406" s="32" t="inlineStr">
        <is>
          <t/>
        </is>
      </c>
      <c r="D406" s="33" t="n">
        <v>0.0</v>
      </c>
      <c r="E406" s="34" t="n">
        <v>0.03954802259887006</v>
      </c>
      <c r="F406" s="35" t="n">
        <v>41333.0</v>
      </c>
      <c r="G406" s="36" t="inlineStr">
        <is>
          <t>Early Stage VC</t>
        </is>
      </c>
      <c r="H406" s="37" t="inlineStr">
        <is>
          <t/>
        </is>
      </c>
      <c r="I406" s="38" t="n">
        <v>2.0</v>
      </c>
      <c r="J406" s="39" t="inlineStr">
        <is>
          <t/>
        </is>
      </c>
      <c r="K406" s="40" t="inlineStr">
        <is>
          <t>Completed</t>
        </is>
      </c>
      <c r="L406" s="41" t="inlineStr">
        <is>
          <t>Privately Held (backing)</t>
        </is>
      </c>
      <c r="M406" s="42" t="inlineStr">
        <is>
          <t>Venture Capital-Backed</t>
        </is>
      </c>
      <c r="N406" s="43" t="inlineStr">
        <is>
          <t>The company raised $2 million of venture funding from undisclosed investors on February 28, 2013.</t>
        </is>
      </c>
      <c r="O406" s="44" t="inlineStr">
        <is>
          <t/>
        </is>
      </c>
      <c r="P406" s="45" t="inlineStr">
        <is>
          <t/>
        </is>
      </c>
      <c r="Q406" s="46" t="inlineStr">
        <is>
          <t>Social/Platform Software</t>
        </is>
      </c>
      <c r="R406" s="47" t="inlineStr">
        <is>
          <t>Operator of a social commerce platform. The company connects companies to their audiences and enables the sharing of products, services, promotions, loyalty rewards and incentives through any web enabled mobile device.</t>
        </is>
      </c>
      <c r="S406" s="48" t="inlineStr">
        <is>
          <t>Seattle, WA</t>
        </is>
      </c>
      <c r="T406" s="49" t="inlineStr">
        <is>
          <t>www.gestotech.com</t>
        </is>
      </c>
      <c r="U406" s="132">
        <f>HYPERLINK("https://my.pitchbook.com?c=56610-37", "View company online")</f>
      </c>
    </row>
    <row r="407">
      <c r="A407" s="9" t="inlineStr">
        <is>
          <t>55397-53</t>
        </is>
      </c>
      <c r="B407" s="10" t="inlineStr">
        <is>
          <t>Webscale Networks</t>
        </is>
      </c>
      <c r="C407" s="11" t="inlineStr">
        <is>
          <t/>
        </is>
      </c>
      <c r="D407" s="12" t="n">
        <v>0.2524301577635517</v>
      </c>
      <c r="E407" s="13" t="n">
        <v>1.2980058356071622</v>
      </c>
      <c r="F407" s="14" t="n">
        <v>42653.0</v>
      </c>
      <c r="G407" s="15" t="inlineStr">
        <is>
          <t>Early Stage VC</t>
        </is>
      </c>
      <c r="H407" s="16" t="inlineStr">
        <is>
          <t>Series A1</t>
        </is>
      </c>
      <c r="I407" s="17" t="n">
        <v>12.0</v>
      </c>
      <c r="J407" s="18" t="n">
        <v>25.0</v>
      </c>
      <c r="K407" s="19" t="inlineStr">
        <is>
          <t>Completed</t>
        </is>
      </c>
      <c r="L407" s="20" t="inlineStr">
        <is>
          <t>Privately Held (backing)</t>
        </is>
      </c>
      <c r="M407" s="21" t="inlineStr">
        <is>
          <t>Venture Capital-Backed</t>
        </is>
      </c>
      <c r="N407" s="22" t="inlineStr">
        <is>
          <t>The company raised $12 million of Series A1 venture funding led by Mohr Davidow Ventures on October 10, 2016, putting the pre-money valuation at $13 million. Benhamou Global Ventures, Grotech and Silicon Valley Bank also participated. The funding will be used to serve the rising demand for Layer 4-7 functionality delivered as-a-service within all cloud environments, public, private or hybrid.</t>
        </is>
      </c>
      <c r="O407" s="23" t="inlineStr">
        <is>
          <t>Benhamou Global Ventures, Grotech Ventures, Mohr Davidow Ventures, Silicon Valley Bank</t>
        </is>
      </c>
      <c r="P407" s="24" t="inlineStr">
        <is>
          <t/>
        </is>
      </c>
      <c r="Q407" s="25" t="inlineStr">
        <is>
          <t>Software Development Applications</t>
        </is>
      </c>
      <c r="R407" s="26" t="inlineStr">
        <is>
          <t>Provider of an integrated web application delivery platform. The company's platform is fully cloud-agnostic and integrated with all the leading cloud providers and CDNs. It uses predictive analytics to monitor the big data, namely the traffic patterns of users.</t>
        </is>
      </c>
      <c r="S407" s="27" t="inlineStr">
        <is>
          <t>Mountain View, CA</t>
        </is>
      </c>
      <c r="T407" s="28" t="inlineStr">
        <is>
          <t>www.webscalenetworks.com</t>
        </is>
      </c>
      <c r="U407" s="131">
        <f>HYPERLINK("https://my.pitchbook.com?c=55397-53", "View company online")</f>
      </c>
    </row>
    <row r="408">
      <c r="A408" s="30" t="inlineStr">
        <is>
          <t>43642-18</t>
        </is>
      </c>
      <c r="B408" s="31" t="inlineStr">
        <is>
          <t>Webroot</t>
        </is>
      </c>
      <c r="C408" s="32" t="n">
        <v>110.0</v>
      </c>
      <c r="D408" s="33" t="n">
        <v>0.1976587251164546</v>
      </c>
      <c r="E408" s="34" t="n">
        <v>235.1608544616835</v>
      </c>
      <c r="F408" s="35" t="n">
        <v>40531.0</v>
      </c>
      <c r="G408" s="36" t="inlineStr">
        <is>
          <t>Later Stage VC</t>
        </is>
      </c>
      <c r="H408" s="37" t="inlineStr">
        <is>
          <t>Series A</t>
        </is>
      </c>
      <c r="I408" s="38" t="n">
        <v>0.91</v>
      </c>
      <c r="J408" s="39" t="n">
        <v>238.64</v>
      </c>
      <c r="K408" s="40" t="inlineStr">
        <is>
          <t>Completed</t>
        </is>
      </c>
      <c r="L408" s="41" t="inlineStr">
        <is>
          <t>Privately Held (backing)</t>
        </is>
      </c>
      <c r="M408" s="42" t="inlineStr">
        <is>
          <t>Venture Capital-Backed</t>
        </is>
      </c>
      <c r="N408" s="43" t="inlineStr">
        <is>
          <t>The company raised $912,901 of Series A venture funding from undisclosed investors on December 19, 2010, putting the pre-money valuation at $237.73 million.</t>
        </is>
      </c>
      <c r="O408" s="44" t="inlineStr">
        <is>
          <t>Accel, Mayfield Fund, Saints Capital, Technology Crossover Ventures</t>
        </is>
      </c>
      <c r="P408" s="45" t="inlineStr">
        <is>
          <t/>
        </is>
      </c>
      <c r="Q408" s="46" t="inlineStr">
        <is>
          <t>Network Management Software</t>
        </is>
      </c>
      <c r="R408" s="47" t="inlineStr">
        <is>
          <t>Provider of a next-generation endpoint security and threat intelligence platform designed to reduce malware. The company's endpoint security and threat intelligence platform harnesses the power of cloud-based collective threat intelligence derived from real-world devices to stop threats in real time and help secure the connected world, enabling consumers and businesses to access anomaly detection services.</t>
        </is>
      </c>
      <c r="S408" s="48" t="inlineStr">
        <is>
          <t>Broomfield, CO</t>
        </is>
      </c>
      <c r="T408" s="49" t="inlineStr">
        <is>
          <t>www.webroot.com</t>
        </is>
      </c>
      <c r="U408" s="132">
        <f>HYPERLINK("https://my.pitchbook.com?c=43642-18", "View company online")</f>
      </c>
    </row>
    <row r="409">
      <c r="A409" s="9" t="inlineStr">
        <is>
          <t>104482-90</t>
        </is>
      </c>
      <c r="B409" s="10" t="inlineStr">
        <is>
          <t>WebLife Balance</t>
        </is>
      </c>
      <c r="C409" s="11" t="inlineStr">
        <is>
          <t/>
        </is>
      </c>
      <c r="D409" s="12" t="n">
        <v>0.006955634285119061</v>
      </c>
      <c r="E409" s="13" t="n">
        <v>0.6780365690461492</v>
      </c>
      <c r="F409" s="14" t="n">
        <v>42675.0</v>
      </c>
      <c r="G409" s="15" t="inlineStr">
        <is>
          <t>Early Stage VC</t>
        </is>
      </c>
      <c r="H409" s="16" t="inlineStr">
        <is>
          <t>Series A</t>
        </is>
      </c>
      <c r="I409" s="17" t="n">
        <v>3.5</v>
      </c>
      <c r="J409" s="18" t="n">
        <v>10.0</v>
      </c>
      <c r="K409" s="19" t="inlineStr">
        <is>
          <t>Completed</t>
        </is>
      </c>
      <c r="L409" s="20" t="inlineStr">
        <is>
          <t>Privately Held (backing)</t>
        </is>
      </c>
      <c r="M409" s="21" t="inlineStr">
        <is>
          <t>Venture Capital-Backed</t>
        </is>
      </c>
      <c r="N409" s="22" t="inlineStr">
        <is>
          <t>The company raised an estimated $3.5 million of Series A venture funding from Nordic Eye Venture Capital on November 1, 2016, putting the pre-money valuation at $6.5 million.</t>
        </is>
      </c>
      <c r="O409" s="23" t="inlineStr">
        <is>
          <t>Nordic Eye Venture Capital</t>
        </is>
      </c>
      <c r="P409" s="24" t="inlineStr">
        <is>
          <t/>
        </is>
      </c>
      <c r="Q409" s="25" t="inlineStr">
        <is>
          <t>Application Software</t>
        </is>
      </c>
      <c r="R409" s="26" t="inlineStr">
        <is>
          <t>Provider of online tools intended to offer cyber security services and malware protection. The company's online tools cleanses potentially harmful content within a browser, enabling the users to access Web without the risk of exposure to financial theft or data breaches.</t>
        </is>
      </c>
      <c r="S409" s="27" t="inlineStr">
        <is>
          <t>Los Angeles, CA</t>
        </is>
      </c>
      <c r="T409" s="28" t="inlineStr">
        <is>
          <t>www.weblife.io</t>
        </is>
      </c>
      <c r="U409" s="131">
        <f>HYPERLINK("https://my.pitchbook.com?c=104482-90", "View company online")</f>
      </c>
    </row>
    <row r="410">
      <c r="A410" s="30" t="inlineStr">
        <is>
          <t>170242-57</t>
        </is>
      </c>
      <c r="B410" s="31" t="inlineStr">
        <is>
          <t>Webio</t>
        </is>
      </c>
      <c r="C410" s="32" t="inlineStr">
        <is>
          <t/>
        </is>
      </c>
      <c r="D410" s="33" t="n">
        <v>0.555800845251814</v>
      </c>
      <c r="E410" s="34" t="n">
        <v>0.6881962444600618</v>
      </c>
      <c r="F410" s="35" t="inlineStr">
        <is>
          <t/>
        </is>
      </c>
      <c r="G410" s="36" t="inlineStr">
        <is>
          <t>Early Stage VC</t>
        </is>
      </c>
      <c r="H410" s="37" t="inlineStr">
        <is>
          <t>Series A</t>
        </is>
      </c>
      <c r="I410" s="38" t="n">
        <v>10.0</v>
      </c>
      <c r="J410" s="39" t="inlineStr">
        <is>
          <t/>
        </is>
      </c>
      <c r="K410" s="40" t="inlineStr">
        <is>
          <t>Upcoming</t>
        </is>
      </c>
      <c r="L410" s="41" t="inlineStr">
        <is>
          <t>Privately Held (backing)</t>
        </is>
      </c>
      <c r="M410" s="42" t="inlineStr">
        <is>
          <t>Venture Capital-Backed</t>
        </is>
      </c>
      <c r="N410" s="43" t="inlineStr">
        <is>
          <t>The company is planning to raise $10 million of Series A venture funding from undisclosed investors towards the end of 2017. Previously, the company raised EUR 1.75 million of seed funding from Cameo Global as a deferred cash payment on February 3, 2017. The company is being actively tracked by PitchBook.</t>
        </is>
      </c>
      <c r="O410" s="44" t="inlineStr">
        <is>
          <t>Cameo Global, Enterprise Ireland</t>
        </is>
      </c>
      <c r="P410" s="45" t="inlineStr">
        <is>
          <t/>
        </is>
      </c>
      <c r="Q410" s="46" t="inlineStr">
        <is>
          <t>Social/Platform Software</t>
        </is>
      </c>
      <c r="R410" s="47" t="inlineStr">
        <is>
          <t>Provider of an artificial intelligence-based software intended to streamline inbound and outbound customer communications across all channels. The company uses conversational interface to streamline inbound and outbound customer communications and effectively engages with customers with personalised, intelligent conversations enabling them deliver superior customer experiences and better business outcomes every time.</t>
        </is>
      </c>
      <c r="S410" s="48" t="inlineStr">
        <is>
          <t>Dublin, Ireland</t>
        </is>
      </c>
      <c r="T410" s="49" t="inlineStr">
        <is>
          <t>www.webio.com</t>
        </is>
      </c>
      <c r="U410" s="132">
        <f>HYPERLINK("https://my.pitchbook.com?c=170242-57", "View company online")</f>
      </c>
    </row>
    <row r="411">
      <c r="A411" s="9" t="inlineStr">
        <is>
          <t>58278-52</t>
        </is>
      </c>
      <c r="B411" s="10" t="inlineStr">
        <is>
          <t>Webflow</t>
        </is>
      </c>
      <c r="C411" s="11" t="inlineStr">
        <is>
          <t/>
        </is>
      </c>
      <c r="D411" s="12" t="n">
        <v>0.3845631287143383</v>
      </c>
      <c r="E411" s="13" t="n">
        <v>23.6810693207156</v>
      </c>
      <c r="F411" s="14" t="n">
        <v>41709.0</v>
      </c>
      <c r="G411" s="15" t="inlineStr">
        <is>
          <t>Seed Round</t>
        </is>
      </c>
      <c r="H411" s="16" t="inlineStr">
        <is>
          <t>Seed</t>
        </is>
      </c>
      <c r="I411" s="17" t="n">
        <v>1.5</v>
      </c>
      <c r="J411" s="18" t="inlineStr">
        <is>
          <t/>
        </is>
      </c>
      <c r="K411" s="19" t="inlineStr">
        <is>
          <t>Completed</t>
        </is>
      </c>
      <c r="L411" s="20" t="inlineStr">
        <is>
          <t>Privately Held (backing)</t>
        </is>
      </c>
      <c r="M411" s="21" t="inlineStr">
        <is>
          <t>Venture Capital-Backed</t>
        </is>
      </c>
      <c r="N411" s="22" t="inlineStr">
        <is>
          <t>The company raised $1.5 million of seed funding from Draper Associates, FundersClub and Khosla Ventures on March 11, 2014. Vaizra Ventures, Benjamin Ling, Eric Bahn and other undisclosed investors also participated. Previously, the company raised an undisclosed amount of seed funding from FundersClub and Amino Capital in August 25, 2013.</t>
        </is>
      </c>
      <c r="O411" s="23" t="inlineStr">
        <is>
          <t>Amino Capital, Benjamin Ling, Draper Associates, Eric Bahn, FundersClub, Individual Investor, Khosla Ventures, Vaizra Investments, Y Combinator</t>
        </is>
      </c>
      <c r="P411" s="24" t="inlineStr">
        <is>
          <t/>
        </is>
      </c>
      <c r="Q411" s="25" t="inlineStr">
        <is>
          <t>Application Software</t>
        </is>
      </c>
      <c r="R411" s="26" t="inlineStr">
        <is>
          <t>Provider of a hosted website design platform. The company offers a platform that allows web designers to create responsive websites, without coding.</t>
        </is>
      </c>
      <c r="S411" s="27" t="inlineStr">
        <is>
          <t>San Francisco, CA</t>
        </is>
      </c>
      <c r="T411" s="28" t="inlineStr">
        <is>
          <t>www.webflow.com</t>
        </is>
      </c>
      <c r="U411" s="131">
        <f>HYPERLINK("https://my.pitchbook.com?c=58278-52", "View company online")</f>
      </c>
    </row>
    <row r="412">
      <c r="A412" s="30" t="inlineStr">
        <is>
          <t>55105-75</t>
        </is>
      </c>
      <c r="B412" s="31" t="inlineStr">
        <is>
          <t>Webaroo</t>
        </is>
      </c>
      <c r="C412" s="32" t="n">
        <v>51.61</v>
      </c>
      <c r="D412" s="33" t="n">
        <v>0.2574507451717061</v>
      </c>
      <c r="E412" s="34" t="n">
        <v>5.74738649587581</v>
      </c>
      <c r="F412" s="35" t="n">
        <v>41449.0</v>
      </c>
      <c r="G412" s="36" t="inlineStr">
        <is>
          <t>Accelerator/Incubator</t>
        </is>
      </c>
      <c r="H412" s="37" t="inlineStr">
        <is>
          <t/>
        </is>
      </c>
      <c r="I412" s="38" t="inlineStr">
        <is>
          <t/>
        </is>
      </c>
      <c r="J412" s="39" t="inlineStr">
        <is>
          <t/>
        </is>
      </c>
      <c r="K412" s="40" t="inlineStr">
        <is>
          <t>Completed</t>
        </is>
      </c>
      <c r="L412" s="41" t="inlineStr">
        <is>
          <t>Privately Held (backing)</t>
        </is>
      </c>
      <c r="M412" s="42" t="inlineStr">
        <is>
          <t>Venture Capital-Backed</t>
        </is>
      </c>
      <c r="N412" s="43" t="inlineStr">
        <is>
          <t>The company joined Society for Innovation and Entrepreneurship on June 24, 2013.</t>
        </is>
      </c>
      <c r="O412" s="44" t="inlineStr">
        <is>
          <t>Cambrian Ventures, Charles River Ventures, Globespan Capital Partners, Helion Venture Partners, HTSG A/C TNHF A/C, Hummer Winblad Venture Partners, Individual Investor, Lloyd George Asian Plus Fund, Society for Innovation and Entrepreneurship, Tenaya Capital</t>
        </is>
      </c>
      <c r="P412" s="45" t="inlineStr">
        <is>
          <t/>
        </is>
      </c>
      <c r="Q412" s="46" t="inlineStr">
        <is>
          <t>Communication Software</t>
        </is>
      </c>
      <c r="R412" s="47" t="inlineStr">
        <is>
          <t>Provider of mobile messaging services. The company develops a cloud messaging platform that assist brands and businesses to interact, engage and communicate using any mobile device.</t>
        </is>
      </c>
      <c r="S412" s="48" t="inlineStr">
        <is>
          <t>San Francisco, CA</t>
        </is>
      </c>
      <c r="T412" s="49" t="inlineStr">
        <is>
          <t>www.webaroo.com</t>
        </is>
      </c>
      <c r="U412" s="132">
        <f>HYPERLINK("https://my.pitchbook.com?c=55105-75", "View company online")</f>
      </c>
    </row>
    <row r="413">
      <c r="A413" s="9" t="inlineStr">
        <is>
          <t>50955-49</t>
        </is>
      </c>
      <c r="B413" s="10" t="inlineStr">
        <is>
          <t>Webalo</t>
        </is>
      </c>
      <c r="C413" s="11" t="inlineStr">
        <is>
          <t/>
        </is>
      </c>
      <c r="D413" s="12" t="n">
        <v>0.34532844690452585</v>
      </c>
      <c r="E413" s="13" t="n">
        <v>4.356962895098489</v>
      </c>
      <c r="F413" s="14" t="n">
        <v>40391.0</v>
      </c>
      <c r="G413" s="15" t="inlineStr">
        <is>
          <t>Early Stage VC</t>
        </is>
      </c>
      <c r="H413" s="16" t="inlineStr">
        <is>
          <t>Series B</t>
        </is>
      </c>
      <c r="I413" s="17" t="n">
        <v>3.0</v>
      </c>
      <c r="J413" s="18" t="inlineStr">
        <is>
          <t/>
        </is>
      </c>
      <c r="K413" s="19" t="inlineStr">
        <is>
          <t>Completed</t>
        </is>
      </c>
      <c r="L413" s="20" t="inlineStr">
        <is>
          <t>Privately Held (backing)</t>
        </is>
      </c>
      <c r="M413" s="21" t="inlineStr">
        <is>
          <t>Venture Capital-Backed</t>
        </is>
      </c>
      <c r="N413" s="22" t="inlineStr">
        <is>
          <t>The company raised $3 million of Series B venture funding from J.L. Easton Ventures and Balch Hill Capital on August 1, 2010. Other undisclosed also participated in this round.</t>
        </is>
      </c>
      <c r="O413" s="23" t="inlineStr">
        <is>
          <t>Balch Hill Partners, J.L. Easton Ventures</t>
        </is>
      </c>
      <c r="P413" s="24" t="inlineStr">
        <is>
          <t/>
        </is>
      </c>
      <c r="Q413" s="25" t="inlineStr">
        <is>
          <t>Software Development Applications</t>
        </is>
      </c>
      <c r="R413" s="26" t="inlineStr">
        <is>
          <t>Provider of a tool for mobile application development. The company offers an application that eliminates the coding and helps in mobile application development.</t>
        </is>
      </c>
      <c r="S413" s="27" t="inlineStr">
        <is>
          <t>Los Angeles, CA</t>
        </is>
      </c>
      <c r="T413" s="28" t="inlineStr">
        <is>
          <t>www.webalo.com</t>
        </is>
      </c>
      <c r="U413" s="131">
        <f>HYPERLINK("https://my.pitchbook.com?c=50955-49", "View company online")</f>
      </c>
    </row>
    <row r="414">
      <c r="A414" s="30" t="inlineStr">
        <is>
          <t>56566-90</t>
        </is>
      </c>
      <c r="B414" s="31" t="inlineStr">
        <is>
          <t>Web Geo Services</t>
        </is>
      </c>
      <c r="C414" s="32" t="n">
        <v>2.46</v>
      </c>
      <c r="D414" s="33" t="n">
        <v>-0.009041115851238027</v>
      </c>
      <c r="E414" s="34" t="n">
        <v>1.9273083510924338</v>
      </c>
      <c r="F414" s="35" t="n">
        <v>41943.0</v>
      </c>
      <c r="G414" s="36" t="inlineStr">
        <is>
          <t>Early Stage VC</t>
        </is>
      </c>
      <c r="H414" s="37" t="inlineStr">
        <is>
          <t/>
        </is>
      </c>
      <c r="I414" s="38" t="n">
        <v>1.65</v>
      </c>
      <c r="J414" s="39" t="inlineStr">
        <is>
          <t/>
        </is>
      </c>
      <c r="K414" s="40" t="inlineStr">
        <is>
          <t>Completed</t>
        </is>
      </c>
      <c r="L414" s="41" t="inlineStr">
        <is>
          <t>Privately Held (backing)</t>
        </is>
      </c>
      <c r="M414" s="42" t="inlineStr">
        <is>
          <t>Venture Capital-Backed</t>
        </is>
      </c>
      <c r="N414" s="43" t="inlineStr">
        <is>
          <t>The company raised EUR 1.3 million of venture funding from Seventure, Soridec and FRCI on October 31, 2014. Ludovic Denis also participated in the round. This company will use the funding to accelerate the commercialization of its new offering and attack internationally.</t>
        </is>
      </c>
      <c r="O414" s="44" t="inlineStr">
        <is>
          <t>European Investment Fund, FRCI, Ludovic Denis, Seventure Partners, SORIDEC</t>
        </is>
      </c>
      <c r="P414" s="45" t="inlineStr">
        <is>
          <t/>
        </is>
      </c>
      <c r="Q414" s="46" t="inlineStr">
        <is>
          <t>Communication Software</t>
        </is>
      </c>
      <c r="R414" s="47" t="inlineStr">
        <is>
          <t>Developer of geo-location platform for e-commerce sites. The company develops geographic collaborative portals for communities and businesses to create their own community to communicate, automatically recommend the relevant collection point for their customers as well as share documents within and outside their organization.</t>
        </is>
      </c>
      <c r="S414" s="48" t="inlineStr">
        <is>
          <t>Boulogne-Billancourt, France</t>
        </is>
      </c>
      <c r="T414" s="49" t="inlineStr">
        <is>
          <t>www.webgeoservices.com</t>
        </is>
      </c>
      <c r="U414" s="132">
        <f>HYPERLINK("https://my.pitchbook.com?c=56566-90", "View company online")</f>
      </c>
    </row>
    <row r="415">
      <c r="A415" s="9" t="inlineStr">
        <is>
          <t>100099-09</t>
        </is>
      </c>
      <c r="B415" s="10" t="inlineStr">
        <is>
          <t>Weaveworks</t>
        </is>
      </c>
      <c r="C415" s="11" t="inlineStr">
        <is>
          <t/>
        </is>
      </c>
      <c r="D415" s="12" t="n">
        <v>0.6187123499535864</v>
      </c>
      <c r="E415" s="13" t="n">
        <v>10.655367231638419</v>
      </c>
      <c r="F415" s="14" t="n">
        <v>42501.0</v>
      </c>
      <c r="G415" s="15" t="inlineStr">
        <is>
          <t>Early Stage VC</t>
        </is>
      </c>
      <c r="H415" s="16" t="inlineStr">
        <is>
          <t>Series B</t>
        </is>
      </c>
      <c r="I415" s="17" t="n">
        <v>15.0</v>
      </c>
      <c r="J415" s="18" t="inlineStr">
        <is>
          <t/>
        </is>
      </c>
      <c r="K415" s="19" t="inlineStr">
        <is>
          <t>Completed</t>
        </is>
      </c>
      <c r="L415" s="20" t="inlineStr">
        <is>
          <t>Privately Held (backing)</t>
        </is>
      </c>
      <c r="M415" s="21" t="inlineStr">
        <is>
          <t>Venture Capital-Backed</t>
        </is>
      </c>
      <c r="N415" s="22" t="inlineStr">
        <is>
          <t>The company raised $15 million of Series B venture funding from lead investor GV on May 11, 2016. Accel Partners also participated. The company will use the funding to meet increasing demand for its services in containers and microservices as well as to further develop its product and invest in both sales and marketing.</t>
        </is>
      </c>
      <c r="O415" s="23" t="inlineStr">
        <is>
          <t>Accel, GV, Redline Capital Management</t>
        </is>
      </c>
      <c r="P415" s="24" t="inlineStr">
        <is>
          <t/>
        </is>
      </c>
      <c r="Q415" s="25" t="inlineStr">
        <is>
          <t>Automation/Workflow Software</t>
        </is>
      </c>
      <c r="R415" s="26" t="inlineStr">
        <is>
          <t>Developer of a virtual network that connects docker containers. The company’s product delivers a software-defined network across docker containers and layers cross-container.</t>
        </is>
      </c>
      <c r="S415" s="27" t="inlineStr">
        <is>
          <t>London, United Kingdom</t>
        </is>
      </c>
      <c r="T415" s="28" t="inlineStr">
        <is>
          <t>www.weave.works</t>
        </is>
      </c>
      <c r="U415" s="131">
        <f>HYPERLINK("https://my.pitchbook.com?c=100099-09", "View company online")</f>
      </c>
    </row>
    <row r="416">
      <c r="A416" s="30" t="inlineStr">
        <is>
          <t>53747-02</t>
        </is>
      </c>
      <c r="B416" s="31" t="inlineStr">
        <is>
          <t>Weaved</t>
        </is>
      </c>
      <c r="C416" s="32" t="inlineStr">
        <is>
          <t/>
        </is>
      </c>
      <c r="D416" s="33" t="n">
        <v>0.0629559796035857</v>
      </c>
      <c r="E416" s="34" t="n">
        <v>2.947129332722553</v>
      </c>
      <c r="F416" s="35" t="n">
        <v>41943.0</v>
      </c>
      <c r="G416" s="36" t="inlineStr">
        <is>
          <t>Seed Round</t>
        </is>
      </c>
      <c r="H416" s="37" t="inlineStr">
        <is>
          <t>Seed</t>
        </is>
      </c>
      <c r="I416" s="38" t="n">
        <v>2.3</v>
      </c>
      <c r="J416" s="39" t="n">
        <v>12.57</v>
      </c>
      <c r="K416" s="40" t="inlineStr">
        <is>
          <t>Completed</t>
        </is>
      </c>
      <c r="L416" s="41" t="inlineStr">
        <is>
          <t>Privately Held (backing)</t>
        </is>
      </c>
      <c r="M416" s="42" t="inlineStr">
        <is>
          <t>Venture Capital-Backed</t>
        </is>
      </c>
      <c r="N416" s="43" t="inlineStr">
        <is>
          <t>The company raised $2.3 million of seed funding led by Crunchfund on October 31, 2014, putting the pre-money valuation at $10.3 million. Metamorphic, Core Ventures Group, TMT Investments, Alpine Meridian Ventures, Double M Partners, HB Rama capital, Ironfire Angel Partners, Michael Arrington, Semil Shah, Maxfield Capital Fund, Haystack Fund, Big Basin Partners, Sumit Gupta, Yun-Fang Juan and previous angel investors also participated. The company will use these new funds to launch its Internet of things (IoT) products.</t>
        </is>
      </c>
      <c r="O416" s="44" t="inlineStr">
        <is>
          <t>Alpine Meridian, Big Basin Partners, Compound Ventures, Core Ventures Group, CrunchFund, Double M Partners, Garage Technology Ventures, GoAhead Ventures, HB Rama capital, Individual Investor, Ironfire Ventures, Maxfield Capital, Michael Arrington, Oleg Koujikov, Passport Capital, Plug and Play Tech Center, Postini, Scott Belsky, Semil Shah, Sumit Gupta, TMT Investments, yet2Ventures, Yun-Fang Juan</t>
        </is>
      </c>
      <c r="P416" s="45" t="inlineStr">
        <is>
          <t/>
        </is>
      </c>
      <c r="Q416" s="46" t="inlineStr">
        <is>
          <t>Network Management Software</t>
        </is>
      </c>
      <c r="R416" s="47" t="inlineStr">
        <is>
          <t>Developer of a network software that operates private networks within the Internet. The company’s network technology establishes a virtual private network that communicates to any service via an encrypted peer-to-peer connection.</t>
        </is>
      </c>
      <c r="S416" s="48" t="inlineStr">
        <is>
          <t>Palo Alto, CA</t>
        </is>
      </c>
      <c r="T416" s="49" t="inlineStr">
        <is>
          <t>www.remot3.it</t>
        </is>
      </c>
      <c r="U416" s="132">
        <f>HYPERLINK("https://my.pitchbook.com?c=53747-02", "View company online")</f>
      </c>
    </row>
    <row r="417">
      <c r="A417" s="9" t="inlineStr">
        <is>
          <t>103193-02</t>
        </is>
      </c>
      <c r="B417" s="10" t="inlineStr">
        <is>
          <t>Wearhaus</t>
        </is>
      </c>
      <c r="C417" s="11" t="inlineStr">
        <is>
          <t/>
        </is>
      </c>
      <c r="D417" s="12" t="n">
        <v>0.9940676204983228</v>
      </c>
      <c r="E417" s="13" t="n">
        <v>7.706259193713136</v>
      </c>
      <c r="F417" s="14" t="n">
        <v>42852.0</v>
      </c>
      <c r="G417" s="15" t="inlineStr">
        <is>
          <t>Early Stage VC</t>
        </is>
      </c>
      <c r="H417" s="16" t="inlineStr">
        <is>
          <t>Series A</t>
        </is>
      </c>
      <c r="I417" s="17" t="n">
        <v>4.03</v>
      </c>
      <c r="J417" s="18" t="inlineStr">
        <is>
          <t/>
        </is>
      </c>
      <c r="K417" s="19" t="inlineStr">
        <is>
          <t>Completed</t>
        </is>
      </c>
      <c r="L417" s="20" t="inlineStr">
        <is>
          <t>Privately Held (backing)</t>
        </is>
      </c>
      <c r="M417" s="21" t="inlineStr">
        <is>
          <t>Venture Capital-Backed</t>
        </is>
      </c>
      <c r="N417" s="22" t="inlineStr">
        <is>
          <t>The company raised $4.02 million of Series A venture funding in a deal led by Tellus International on April 27 2017. Xiaoxiang Capital, China Southern Media and other undisclosed investors also participated in the round. The company will use the funds to ramp up production to allow for immediate fulfillment of individual sales and large, soon to be announced retail orders.</t>
        </is>
      </c>
      <c r="O417" s="23" t="inlineStr">
        <is>
          <t>China Southern Media, Feng Hu, Highway1, John Galbraith, Richard Kain, Tellus International, Xiaoxiang Capital</t>
        </is>
      </c>
      <c r="P417" s="24" t="inlineStr">
        <is>
          <t/>
        </is>
      </c>
      <c r="Q417" s="25" t="inlineStr">
        <is>
          <t>Electronics (B2C)</t>
        </is>
      </c>
      <c r="R417" s="26" t="inlineStr">
        <is>
          <t>Producer of a social music sharing headphones. The company's headphones can broadcast music to other headphones, enabling users to listen to music with others in real time.</t>
        </is>
      </c>
      <c r="S417" s="27" t="inlineStr">
        <is>
          <t>Berkeley, CA</t>
        </is>
      </c>
      <c r="T417" s="28" t="inlineStr">
        <is>
          <t>www.wearhaus.com</t>
        </is>
      </c>
      <c r="U417" s="131">
        <f>HYPERLINK("https://my.pitchbook.com?c=103193-02", "View company online")</f>
      </c>
    </row>
    <row r="418">
      <c r="A418" s="30" t="inlineStr">
        <is>
          <t>111253-60</t>
        </is>
      </c>
      <c r="B418" s="31" t="inlineStr">
        <is>
          <t>Wearality</t>
        </is>
      </c>
      <c r="C418" s="32" t="inlineStr">
        <is>
          <t/>
        </is>
      </c>
      <c r="D418" s="33" t="n">
        <v>0.011864853980942665</v>
      </c>
      <c r="E418" s="34" t="n">
        <v>1.857692583097889</v>
      </c>
      <c r="F418" s="35" t="n">
        <v>42373.0</v>
      </c>
      <c r="G418" s="36" t="inlineStr">
        <is>
          <t>Early Stage VC</t>
        </is>
      </c>
      <c r="H418" s="37" t="inlineStr">
        <is>
          <t>Series A</t>
        </is>
      </c>
      <c r="I418" s="38" t="n">
        <v>5.62</v>
      </c>
      <c r="J418" s="39" t="n">
        <v>34.56</v>
      </c>
      <c r="K418" s="40" t="inlineStr">
        <is>
          <t>Completed</t>
        </is>
      </c>
      <c r="L418" s="41" t="inlineStr">
        <is>
          <t>Privately Held (backing)</t>
        </is>
      </c>
      <c r="M418" s="42" t="inlineStr">
        <is>
          <t>Venture Capital-Backed</t>
        </is>
      </c>
      <c r="N418" s="43" t="inlineStr">
        <is>
          <t>The company closed on $5.62 million of a planned $8.6 million of Series A venture funding from Beth Ellyn McClendon, Par Equity, Joi Ito, and other undisclosed investors on January 4, 2016, putting the pre-money valuation at $28.94 million.</t>
        </is>
      </c>
      <c r="O418" s="44" t="inlineStr">
        <is>
          <t>Beth Ellyn McClendon, DG Incubation, Joichi Ito, Par Equity</t>
        </is>
      </c>
      <c r="P418" s="45" t="inlineStr">
        <is>
          <t/>
        </is>
      </c>
      <c r="Q418" s="46" t="inlineStr">
        <is>
          <t>Electronics (B2C)</t>
        </is>
      </c>
      <c r="R418" s="47" t="inlineStr">
        <is>
          <t>Developer of VR and AR optics. The company also develops software suite that enables immersive content distribution and compression.</t>
        </is>
      </c>
      <c r="S418" s="48" t="inlineStr">
        <is>
          <t>Orlando, FL</t>
        </is>
      </c>
      <c r="T418" s="49" t="inlineStr">
        <is>
          <t>www.wearality.com</t>
        </is>
      </c>
      <c r="U418" s="132">
        <f>HYPERLINK("https://my.pitchbook.com?c=111253-60", "View company online")</f>
      </c>
    </row>
    <row r="419">
      <c r="A419" s="9" t="inlineStr">
        <is>
          <t>62846-74</t>
        </is>
      </c>
      <c r="B419" s="10" t="inlineStr">
        <is>
          <t>Wearable Technologies</t>
        </is>
      </c>
      <c r="C419" s="11" t="inlineStr">
        <is>
          <t/>
        </is>
      </c>
      <c r="D419" s="12" t="n">
        <v>0.17781254731691803</v>
      </c>
      <c r="E419" s="13" t="n">
        <v>39.151804931576486</v>
      </c>
      <c r="F419" s="14" t="n">
        <v>40848.0</v>
      </c>
      <c r="G419" s="15" t="inlineStr">
        <is>
          <t>Buyout/LBO</t>
        </is>
      </c>
      <c r="H419" s="16" t="inlineStr">
        <is>
          <t/>
        </is>
      </c>
      <c r="I419" s="17" t="inlineStr">
        <is>
          <t/>
        </is>
      </c>
      <c r="J419" s="18" t="inlineStr">
        <is>
          <t/>
        </is>
      </c>
      <c r="K419" s="19" t="inlineStr">
        <is>
          <t>Completed</t>
        </is>
      </c>
      <c r="L419" s="20" t="inlineStr">
        <is>
          <t>Privately Held (backing)</t>
        </is>
      </c>
      <c r="M419" s="21" t="inlineStr">
        <is>
          <t>Venture Capital-Backed</t>
        </is>
      </c>
      <c r="N419" s="22" t="inlineStr">
        <is>
          <t>The company was acquired by mic through an LBO in November 2011 for an undisclosed sum.</t>
        </is>
      </c>
      <c r="O419" s="23" t="inlineStr">
        <is>
          <t>mic</t>
        </is>
      </c>
      <c r="P419" s="24" t="inlineStr">
        <is>
          <t/>
        </is>
      </c>
      <c r="Q419" s="25" t="inlineStr">
        <is>
          <t>Other Consumer Durables</t>
        </is>
      </c>
      <c r="R419" s="26" t="inlineStr">
        <is>
          <t>Provider of an online shopping platform. The company primarily engages in selling wearables worn both close to the body as well as inside the body.</t>
        </is>
      </c>
      <c r="S419" s="27" t="inlineStr">
        <is>
          <t>Herrsching, Germany</t>
        </is>
      </c>
      <c r="T419" s="28" t="inlineStr">
        <is>
          <t>www.wearable-technologies.com</t>
        </is>
      </c>
      <c r="U419" s="131">
        <f>HYPERLINK("https://my.pitchbook.com?c=62846-74", "View company online")</f>
      </c>
    </row>
    <row r="420">
      <c r="A420" s="30" t="inlineStr">
        <is>
          <t>98102-53</t>
        </is>
      </c>
      <c r="B420" s="31" t="inlineStr">
        <is>
          <t>Wearable IoT World</t>
        </is>
      </c>
      <c r="C420" s="32" t="inlineStr">
        <is>
          <t/>
        </is>
      </c>
      <c r="D420" s="33" t="n">
        <v>0.013282545256501795</v>
      </c>
      <c r="E420" s="34" t="n">
        <v>2.516949152542373</v>
      </c>
      <c r="F420" s="35" t="n">
        <v>42552.0</v>
      </c>
      <c r="G420" s="36" t="inlineStr">
        <is>
          <t>Early Stage VC</t>
        </is>
      </c>
      <c r="H420" s="37" t="inlineStr">
        <is>
          <t>Series A1</t>
        </is>
      </c>
      <c r="I420" s="38" t="n">
        <v>4.5</v>
      </c>
      <c r="J420" s="39" t="n">
        <v>29.79</v>
      </c>
      <c r="K420" s="40" t="inlineStr">
        <is>
          <t>Completed</t>
        </is>
      </c>
      <c r="L420" s="41" t="inlineStr">
        <is>
          <t>Privately Held (backing)</t>
        </is>
      </c>
      <c r="M420" s="42" t="inlineStr">
        <is>
          <t>Venture Capital-Backed</t>
        </is>
      </c>
      <c r="N420" s="43" t="inlineStr">
        <is>
          <t>The company raised $4.5 million of Series A1 venture funding in a deal led by Radiant Venture Capital on July 1, 2016, putting the company's pre-money valuation at $25.29 million. Wavemaker Partners, TEEC Angel Fund, W Capital Partners, 7percent Ventures, Rising Tide Fund and other undisclosed investors also participated in the round. The funding will be used to advance early-stage Wearable and IoT Startups in Hong Kong, China and Asia. Previously, the company joined Loeb.nyc on August 3, 2015.</t>
        </is>
      </c>
      <c r="O420" s="44" t="inlineStr">
        <is>
          <t>7percent Ventures, Anoop Kansupada, Loeb.nyc, Ossama Hassanein, Radiant Venture Capital, Rising Tide Fund, Tamer Hassanein, The International Conclave of Entrepreneurs, Tony Kamin, Tsingyuan Ventures, W Capital Partners, Wavemaker Partners</t>
        </is>
      </c>
      <c r="P420" s="45" t="inlineStr">
        <is>
          <t/>
        </is>
      </c>
      <c r="Q420" s="46" t="inlineStr">
        <is>
          <t>Other Commercial Services</t>
        </is>
      </c>
      <c r="R420" s="47" t="inlineStr">
        <is>
          <t>Provider of business acceleration and incubation services. The company offers accelerator and advisory programs within a corporate environment, to businesses in the wearable sector.</t>
        </is>
      </c>
      <c r="S420" s="48" t="inlineStr">
        <is>
          <t>San Francisco, CA</t>
        </is>
      </c>
      <c r="T420" s="49" t="inlineStr">
        <is>
          <t>www.wearableworld.co</t>
        </is>
      </c>
      <c r="U420" s="132">
        <f>HYPERLINK("https://my.pitchbook.com?c=98102-53", "View company online")</f>
      </c>
    </row>
    <row r="421">
      <c r="A421" s="9" t="inlineStr">
        <is>
          <t>52816-87</t>
        </is>
      </c>
      <c r="B421" s="10" t="inlineStr">
        <is>
          <t>Wealthfront</t>
        </is>
      </c>
      <c r="C421" s="11" t="inlineStr">
        <is>
          <t/>
        </is>
      </c>
      <c r="D421" s="12" t="n">
        <v>0.2841049998018226</v>
      </c>
      <c r="E421" s="13" t="n">
        <v>76.88647465498977</v>
      </c>
      <c r="F421" s="14" t="n">
        <v>41940.0</v>
      </c>
      <c r="G421" s="15" t="inlineStr">
        <is>
          <t>Later Stage VC</t>
        </is>
      </c>
      <c r="H421" s="16" t="inlineStr">
        <is>
          <t>Series F</t>
        </is>
      </c>
      <c r="I421" s="17" t="n">
        <v>64.17</v>
      </c>
      <c r="J421" s="18" t="n">
        <v>700.0</v>
      </c>
      <c r="K421" s="19" t="inlineStr">
        <is>
          <t>Completed</t>
        </is>
      </c>
      <c r="L421" s="20" t="inlineStr">
        <is>
          <t>Privately Held (backing)</t>
        </is>
      </c>
      <c r="M421" s="21" t="inlineStr">
        <is>
          <t>Venture Capital-Backed</t>
        </is>
      </c>
      <c r="N421" s="22" t="inlineStr">
        <is>
          <t>The company raised $64.1 million of Series F venture funding from lead investor Spark Capital on October 28, 2014, putting the pre-money valuation at $635.83 million. Dragoneer Investment Group, Index Ventures, DAG Ventures, Greylock Partners, Ribbit Capital and the Social+Capital Partnership also participated. The company will use the funding to continue building out its automated investing platform.</t>
        </is>
      </c>
      <c r="O421" s="23" t="inlineStr">
        <is>
          <t>Adam D'Angelo, Adam Fischer, Alison Pincus, Alison Rosenthal, Andrew Dunn, Andrew Rachleff, Angela Zaeh, Ankur Pansari, Barry McCarthy, Benchmark Capital, Benjamin Horowitz, Bruce Dunlevie, Chris Morace, Cipora Herman, DAG Ventures, Dan Shapero, Dave Beirne, Dave Morin, David Hahn, Doug Mackenzie, Dragoneer Investment Group, Gil Penchina, Greylock Partners, Harris Barton, Hunter Walk, Index Ventures (UK), Individual Investor, Javier Olivan, Jeffrey Jordan, Jeffrey Weiner, Kay Luo, Kenneth Goldman, Kevin Colleran, Kevin Compton, Kevin Rose, Louis Eisenberg, Marc Andreessen, Marissa Mayer, Mark Leslie, Mark Pincus, Matt Mullenweg, Matthew Papakipos, Matthew Wyndowe, Maven Ventures, Michael Schroepfer, Mike Jones, Owen Tripp, Paul Kedrosky, Peter Pham, Reed Hundt, Ribbit Capital, Ronnie Lott, Ryan Roslansky, Satya Patel, Science, Scott Roberts, Sharmila Shahani-Mulligan, SK Ventures, Social Capital, Spark Capital, Tim Kendall, Timothy Ferriss</t>
        </is>
      </c>
      <c r="P421" s="24" t="inlineStr">
        <is>
          <t/>
        </is>
      </c>
      <c r="Q421" s="25" t="inlineStr">
        <is>
          <t>Financial Software</t>
        </is>
      </c>
      <c r="R421" s="26" t="inlineStr">
        <is>
          <t>Provider of software-based financial and investment advisory services. The company offers a portfolio management platform which enables users to access investment opportunities and allocate them according to their risk tolerance.</t>
        </is>
      </c>
      <c r="S421" s="27" t="inlineStr">
        <is>
          <t>Redwood City, CA</t>
        </is>
      </c>
      <c r="T421" s="28" t="inlineStr">
        <is>
          <t>www.wealthfront.com</t>
        </is>
      </c>
      <c r="U421" s="131">
        <f>HYPERLINK("https://my.pitchbook.com?c=52816-87", "View company online")</f>
      </c>
    </row>
    <row r="422">
      <c r="A422" s="30" t="inlineStr">
        <is>
          <t>61318-18</t>
        </is>
      </c>
      <c r="B422" s="31" t="inlineStr">
        <is>
          <t>WealthForge</t>
        </is>
      </c>
      <c r="C422" s="32" t="n">
        <v>4.5</v>
      </c>
      <c r="D422" s="33" t="n">
        <v>0.5422768135125833</v>
      </c>
      <c r="E422" s="34" t="n">
        <v>3.117365507417092</v>
      </c>
      <c r="F422" s="35" t="n">
        <v>42850.0</v>
      </c>
      <c r="G422" s="36" t="inlineStr">
        <is>
          <t>Later Stage VC</t>
        </is>
      </c>
      <c r="H422" s="37" t="inlineStr">
        <is>
          <t/>
        </is>
      </c>
      <c r="I422" s="38" t="n">
        <v>1.0</v>
      </c>
      <c r="J422" s="39" t="inlineStr">
        <is>
          <t/>
        </is>
      </c>
      <c r="K422" s="40" t="inlineStr">
        <is>
          <t>Announced/In Progress</t>
        </is>
      </c>
      <c r="L422" s="41" t="inlineStr">
        <is>
          <t>Privately Held (backing)</t>
        </is>
      </c>
      <c r="M422" s="42" t="inlineStr">
        <is>
          <t>Venture Capital-Backed</t>
        </is>
      </c>
      <c r="N422" s="43" t="inlineStr">
        <is>
          <t>The company closed on $1 million of convertible debt financing from an undisclosed investor on April 25, 2017. Earlier, the company raised $2.5 million of Series B venture funding from undisclosed investors in January 2017. The company is being actively tracked by PitchBook.</t>
        </is>
      </c>
      <c r="O422" s="44" t="inlineStr">
        <is>
          <t>Center for Innovative Technology Gap Funds, Jennifer O'Daniel, NRV, SenaHill Partners, UBS</t>
        </is>
      </c>
      <c r="P422" s="45" t="inlineStr">
        <is>
          <t/>
        </is>
      </c>
      <c r="Q422" s="46" t="inlineStr">
        <is>
          <t>Social/Platform Software</t>
        </is>
      </c>
      <c r="R422" s="47" t="inlineStr">
        <is>
          <t>Provider of an online private placement transaction processing platform designed to bring greater efficiency to the private capital marketplace. The company's private placement transaction processing platform streamline investor's experience with an automated transaction processing technology and upload, organize and store offering documents, all in one secure location, enabling companies raising capital to present investment opportunities to a network of registered intermediaries, such as broker-dealers and investment advisors.</t>
        </is>
      </c>
      <c r="S422" s="48" t="inlineStr">
        <is>
          <t>Richmond, VA</t>
        </is>
      </c>
      <c r="T422" s="49" t="inlineStr">
        <is>
          <t>www.wealthforge.com</t>
        </is>
      </c>
      <c r="U422" s="132">
        <f>HYPERLINK("https://my.pitchbook.com?c=61318-18", "View company online")</f>
      </c>
    </row>
    <row r="423">
      <c r="A423" s="9" t="inlineStr">
        <is>
          <t>101322-01</t>
        </is>
      </c>
      <c r="B423" s="10" t="inlineStr">
        <is>
          <t>We Are Curious</t>
        </is>
      </c>
      <c r="C423" s="11" t="inlineStr">
        <is>
          <t/>
        </is>
      </c>
      <c r="D423" s="12" t="n">
        <v>0.0928646271997464</v>
      </c>
      <c r="E423" s="13" t="n">
        <v>2.066519899202287</v>
      </c>
      <c r="F423" s="14" t="n">
        <v>42359.0</v>
      </c>
      <c r="G423" s="15" t="inlineStr">
        <is>
          <t>Seed Round</t>
        </is>
      </c>
      <c r="H423" s="16" t="inlineStr">
        <is>
          <t>Seed</t>
        </is>
      </c>
      <c r="I423" s="17" t="n">
        <v>0.74</v>
      </c>
      <c r="J423" s="18" t="n">
        <v>7.6</v>
      </c>
      <c r="K423" s="19" t="inlineStr">
        <is>
          <t>Completed</t>
        </is>
      </c>
      <c r="L423" s="20" t="inlineStr">
        <is>
          <t>Privately Held (backing)</t>
        </is>
      </c>
      <c r="M423" s="21" t="inlineStr">
        <is>
          <t>Venture Capital-Backed</t>
        </is>
      </c>
      <c r="N423" s="22" t="inlineStr">
        <is>
          <t>The company raised $735,000 of seed funding from undisclosed investors on December 21, 2015, putting the company's pre-money valuation at $6 million. Earlier, the company raised $715,000 of convertible debt financing from Fresco Capital, Lifeline Ventures and Mike Krieger on March 7, 2015. Other undisclosed investors also participated in the round.</t>
        </is>
      </c>
      <c r="O423" s="23" t="inlineStr">
        <is>
          <t>Fresco Capital, Lifeline Ventures, Mike Krieger</t>
        </is>
      </c>
      <c r="P423" s="24" t="inlineStr">
        <is>
          <t/>
        </is>
      </c>
      <c r="Q423" s="25" t="inlineStr">
        <is>
          <t>Application Software</t>
        </is>
      </c>
      <c r="R423" s="26" t="inlineStr">
        <is>
          <t>Developer of a digital platform designed to track and analyze personal health. The company's digital platform offers flexible, tag-based system that detects patterns and correlations or curiosities with graphical data visualization, enabling users to assess their genetic predispositions on various issues, as well as securely storing personal health data.</t>
        </is>
      </c>
      <c r="S423" s="27" t="inlineStr">
        <is>
          <t>San Francisco, CA</t>
        </is>
      </c>
      <c r="T423" s="28" t="inlineStr">
        <is>
          <t>www.wearecurio.us</t>
        </is>
      </c>
      <c r="U423" s="131">
        <f>HYPERLINK("https://my.pitchbook.com?c=101322-01", "View company online")</f>
      </c>
    </row>
    <row r="424">
      <c r="A424" s="30" t="inlineStr">
        <is>
          <t>126088-75</t>
        </is>
      </c>
      <c r="B424" s="31" t="inlineStr">
        <is>
          <t>WB21</t>
        </is>
      </c>
      <c r="C424" s="32" t="inlineStr">
        <is>
          <t/>
        </is>
      </c>
      <c r="D424" s="33" t="n">
        <v>5.495827308797631</v>
      </c>
      <c r="E424" s="34" t="n">
        <v>163.9589726609439</v>
      </c>
      <c r="F424" s="35" t="n">
        <v>42292.0</v>
      </c>
      <c r="G424" s="36" t="inlineStr">
        <is>
          <t>Seed Round</t>
        </is>
      </c>
      <c r="H424" s="37" t="inlineStr">
        <is>
          <t>Seed</t>
        </is>
      </c>
      <c r="I424" s="38" t="n">
        <v>2.25</v>
      </c>
      <c r="J424" s="39" t="inlineStr">
        <is>
          <t/>
        </is>
      </c>
      <c r="K424" s="40" t="inlineStr">
        <is>
          <t>Completed</t>
        </is>
      </c>
      <c r="L424" s="41" t="inlineStr">
        <is>
          <t>Privately Held (backing)</t>
        </is>
      </c>
      <c r="M424" s="42" t="inlineStr">
        <is>
          <t>Venture Capital-Backed</t>
        </is>
      </c>
      <c r="N424" s="43" t="inlineStr">
        <is>
          <t>The company raised EUR 2 million of seed funding from Gastauer Family Office on October 15, 2015. The company will use the funds to expand operations. Previously, the company raised EUR 50,000 of angel funding from undisclosed investors in November 2014.</t>
        </is>
      </c>
      <c r="O424" s="44" t="inlineStr">
        <is>
          <t>AC, Gastauer Family Office</t>
        </is>
      </c>
      <c r="P424" s="45" t="inlineStr">
        <is>
          <t/>
        </is>
      </c>
      <c r="Q424" s="46" t="inlineStr">
        <is>
          <t>Other Capital Markets/Institutions</t>
        </is>
      </c>
      <c r="R424" s="47" t="inlineStr">
        <is>
          <t>Provider of a real-time money transfer system designed to facilitate online banking. The company's money transfer system offers global cross border payments and account opening in 18 currencies, enabling consumers to transact money through their account balances, bank accounts or credit cards paying less than usual bank charges.</t>
        </is>
      </c>
      <c r="S424" s="48" t="inlineStr">
        <is>
          <t>Singapore, Singapore</t>
        </is>
      </c>
      <c r="T424" s="49" t="inlineStr">
        <is>
          <t>www.wb21.com</t>
        </is>
      </c>
      <c r="U424" s="132">
        <f>HYPERLINK("https://my.pitchbook.com?c=126088-75", "View company online")</f>
      </c>
    </row>
    <row r="425">
      <c r="A425" s="9" t="inlineStr">
        <is>
          <t>172424-17</t>
        </is>
      </c>
      <c r="B425" s="10" t="inlineStr">
        <is>
          <t>Wazzu</t>
        </is>
      </c>
      <c r="C425" s="97">
        <f>HYPERLINK("https://my.pitchbook.com?rrp=172424-17&amp;type=c",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c r="S425" s="27" t="inlineStr">
        <is>
          <t/>
        </is>
      </c>
      <c r="T425" s="28" t="inlineStr">
        <is>
          <t/>
        </is>
      </c>
      <c r="U425" s="29" t="inlineStr">
        <is>
          <t/>
        </is>
      </c>
    </row>
    <row r="426">
      <c r="A426" s="30" t="inlineStr">
        <is>
          <t>170351-92</t>
        </is>
      </c>
      <c r="B426" s="31" t="inlineStr">
        <is>
          <t>WaystoCap</t>
        </is>
      </c>
      <c r="C426" s="32" t="inlineStr">
        <is>
          <t/>
        </is>
      </c>
      <c r="D426" s="33" t="n">
        <v>0.2213458226808736</v>
      </c>
      <c r="E426" s="34" t="n">
        <v>1.3271792004658622</v>
      </c>
      <c r="F426" s="35" t="n">
        <v>42893.0</v>
      </c>
      <c r="G426" s="36" t="inlineStr">
        <is>
          <t>Seed Round</t>
        </is>
      </c>
      <c r="H426" s="37" t="inlineStr">
        <is>
          <t>Seed</t>
        </is>
      </c>
      <c r="I426" s="38" t="n">
        <v>2.75</v>
      </c>
      <c r="J426" s="39" t="inlineStr">
        <is>
          <t/>
        </is>
      </c>
      <c r="K426" s="40" t="inlineStr">
        <is>
          <t>Completed</t>
        </is>
      </c>
      <c r="L426" s="41" t="inlineStr">
        <is>
          <t>Privately Held (backing)</t>
        </is>
      </c>
      <c r="M426" s="42" t="inlineStr">
        <is>
          <t>Venture Capital-Backed</t>
        </is>
      </c>
      <c r="N426" s="43" t="inlineStr">
        <is>
          <t>The company raised approximately $2.75 million of seed funding from Y Combinator, Battery Ventures and Soma Capital on June 7, 2017. Palm Drive Capital, Amino Capital, Endure Capital, Story Ventures, Lynett Capital, Neon Capital, 4DX, Michael Seibel, Jude Gomila and Pascal Levy-Garboua also participated in the round. The company intends to use the funds for expanding to West Africa via an office in Benin, expanding their industry verticals and developing a new platform to match buyers and sellers more efficiently. Previously, the company joined Y Combinator as part of Winter 2017 program and received $120,000 in funding.</t>
        </is>
      </c>
      <c r="O426" s="44" t="inlineStr">
        <is>
          <t>4DX, Amino Capital, Battery Ventures, Endure Capital, Jude Gomila, Lynett Capital, Michael Seibel, Neon Capital, Palm Drive Capital, Pascal Levy-Garboua, Soma Capital, Story Ventures, Y Combinator</t>
        </is>
      </c>
      <c r="P426" s="45" t="inlineStr">
        <is>
          <t/>
        </is>
      </c>
      <c r="Q426" s="46" t="inlineStr">
        <is>
          <t>Social/Platform Software</t>
        </is>
      </c>
      <c r="R426" s="47" t="inlineStr">
        <is>
          <t>Provider of a cross-border B2B marketplace designed to connect buyers and sellers. The company's B2B marketplace is an eCommerce platform that helps in quick delivery and provide daily deals, discounts and offers, enabling businesses in obtaining financing and insurance, managing their shipments and ensuring payments security.</t>
        </is>
      </c>
      <c r="S426" s="48" t="inlineStr">
        <is>
          <t>Casablanca, Morocco</t>
        </is>
      </c>
      <c r="T426" s="49" t="inlineStr">
        <is>
          <t>www.waystocap.com</t>
        </is>
      </c>
      <c r="U426" s="132">
        <f>HYPERLINK("https://my.pitchbook.com?c=170351-92", "View company online")</f>
      </c>
    </row>
    <row r="427">
      <c r="A427" s="9" t="inlineStr">
        <is>
          <t>105775-75</t>
        </is>
      </c>
      <c r="B427" s="10" t="inlineStr">
        <is>
          <t>WayRay</t>
        </is>
      </c>
      <c r="C427" s="11" t="inlineStr">
        <is>
          <t/>
        </is>
      </c>
      <c r="D427" s="12" t="n">
        <v>-0.005645071013182982</v>
      </c>
      <c r="E427" s="13" t="n">
        <v>6.360107773317059</v>
      </c>
      <c r="F427" s="14" t="n">
        <v>42808.0</v>
      </c>
      <c r="G427" s="15" t="inlineStr">
        <is>
          <t>Early Stage VC</t>
        </is>
      </c>
      <c r="H427" s="16" t="inlineStr">
        <is>
          <t>Series B</t>
        </is>
      </c>
      <c r="I427" s="17" t="n">
        <v>18.0</v>
      </c>
      <c r="J427" s="18" t="inlineStr">
        <is>
          <t/>
        </is>
      </c>
      <c r="K427" s="19" t="inlineStr">
        <is>
          <t>Completed</t>
        </is>
      </c>
      <c r="L427" s="20" t="inlineStr">
        <is>
          <t>Privately Held (backing)</t>
        </is>
      </c>
      <c r="M427" s="21" t="inlineStr">
        <is>
          <t>Venture Capital-Backed</t>
        </is>
      </c>
      <c r="N427" s="22" t="inlineStr">
        <is>
          <t>The company raised $18 million of Series B venture funding in a deal led by Alibaba Group (NYSE: BABA) on March 14, 2017. Sequoia Capital, 500 Startups, New Enterprise Associates, Y Combinator, Intel Capital and Accel Partners also participated in the round. The company, which has raised $30 million in total funding to date, intends to use the funds to develop embedded AR interfaces with other car manufacturers in China and the US.</t>
        </is>
      </c>
      <c r="O427" s="23" t="inlineStr">
        <is>
          <t>500 Startups, Accel, Alibaba Group, Intel Capital, New Enterprise Associates, Seedstars World, Sequoia Capital, Sistema, Y Combinator</t>
        </is>
      </c>
      <c r="P427" s="24" t="inlineStr">
        <is>
          <t/>
        </is>
      </c>
      <c r="Q427" s="25" t="inlineStr">
        <is>
          <t>Electronic Components</t>
        </is>
      </c>
      <c r="R427" s="26" t="inlineStr">
        <is>
          <t>Developer of holographic augmented reality (AR) navigation systems designed to improve safety while driving a car. The company's holographic augmented reality (AR) navigation systems provides full-color heads-up displays in a car windshield and offers wide viewing angles while requiring less space for hardware and control systems enabling car drivers to look through data in their windshields without looking down at gauges watching road conditions.</t>
        </is>
      </c>
      <c r="S427" s="27" t="inlineStr">
        <is>
          <t>Lausanne, Switzerland</t>
        </is>
      </c>
      <c r="T427" s="28" t="inlineStr">
        <is>
          <t>www.wayray.com</t>
        </is>
      </c>
      <c r="U427" s="131">
        <f>HYPERLINK("https://my.pitchbook.com?c=105775-75", "View company online")</f>
      </c>
    </row>
    <row r="428">
      <c r="A428" s="30" t="inlineStr">
        <is>
          <t>125957-80</t>
        </is>
      </c>
      <c r="B428" s="31" t="inlineStr">
        <is>
          <t>Waypoint Building Group</t>
        </is>
      </c>
      <c r="C428" s="32" t="inlineStr">
        <is>
          <t/>
        </is>
      </c>
      <c r="D428" s="33" t="n">
        <v>0.40514812670004974</v>
      </c>
      <c r="E428" s="34" t="n">
        <v>0.3202305553263549</v>
      </c>
      <c r="F428" s="35" t="n">
        <v>42199.0</v>
      </c>
      <c r="G428" s="36" t="inlineStr">
        <is>
          <t>Seed Round</t>
        </is>
      </c>
      <c r="H428" s="37" t="inlineStr">
        <is>
          <t>Seed</t>
        </is>
      </c>
      <c r="I428" s="38" t="n">
        <v>4.0</v>
      </c>
      <c r="J428" s="39" t="n">
        <v>16.0</v>
      </c>
      <c r="K428" s="40" t="inlineStr">
        <is>
          <t>Completed</t>
        </is>
      </c>
      <c r="L428" s="41" t="inlineStr">
        <is>
          <t>Privately Held (backing)</t>
        </is>
      </c>
      <c r="M428" s="42" t="inlineStr">
        <is>
          <t>Venture Capital-Backed</t>
        </is>
      </c>
      <c r="N428" s="43" t="inlineStr">
        <is>
          <t>The company raised an estimated $4 million of seed venture funding from CLI Ventures and other undisclosed investors on July 14, 2015, putting the pre-money valuation at $12 million.</t>
        </is>
      </c>
      <c r="O428" s="44" t="inlineStr">
        <is>
          <t>Cheerland Investments Group</t>
        </is>
      </c>
      <c r="P428" s="45" t="inlineStr">
        <is>
          <t/>
        </is>
      </c>
      <c r="Q428" s="46" t="inlineStr">
        <is>
          <t>Social/Platform Software</t>
        </is>
      </c>
      <c r="R428" s="47" t="inlineStr">
        <is>
          <t>Provider of a software platform for the real estate industry. The company provides SaaS product directly to commercial real estate building owners, asset managers and property managers.</t>
        </is>
      </c>
      <c r="S428" s="48" t="inlineStr">
        <is>
          <t>San Francisco, CA</t>
        </is>
      </c>
      <c r="T428" s="49" t="inlineStr">
        <is>
          <t>www.waypointbuilding.com</t>
        </is>
      </c>
      <c r="U428" s="132">
        <f>HYPERLINK("https://my.pitchbook.com?c=125957-80", "View company online")</f>
      </c>
    </row>
    <row r="429">
      <c r="A429" s="9" t="inlineStr">
        <is>
          <t>97340-68</t>
        </is>
      </c>
      <c r="B429" s="10" t="inlineStr">
        <is>
          <t>Waygum</t>
        </is>
      </c>
      <c r="C429" s="11" t="inlineStr">
        <is>
          <t/>
        </is>
      </c>
      <c r="D429" s="12" t="n">
        <v>0.10451175167473498</v>
      </c>
      <c r="E429" s="13" t="n">
        <v>0.17628320762071684</v>
      </c>
      <c r="F429" s="14" t="n">
        <v>41944.0</v>
      </c>
      <c r="G429" s="15" t="inlineStr">
        <is>
          <t>Early Stage VC</t>
        </is>
      </c>
      <c r="H429" s="16" t="inlineStr">
        <is>
          <t>Series A</t>
        </is>
      </c>
      <c r="I429" s="17" t="n">
        <v>2.0</v>
      </c>
      <c r="J429" s="18" t="n">
        <v>7.0</v>
      </c>
      <c r="K429" s="19" t="inlineStr">
        <is>
          <t>Completed</t>
        </is>
      </c>
      <c r="L429" s="20" t="inlineStr">
        <is>
          <t>Privately Held (backing)</t>
        </is>
      </c>
      <c r="M429" s="21" t="inlineStr">
        <is>
          <t>Venture Capital-Backed</t>
        </is>
      </c>
      <c r="N429" s="22" t="inlineStr">
        <is>
          <t>The company raised $2 million of series A venture funding from Alchemist Accelerator, Navitas Capital and Munich Re/HSB Ventures on November, 2014. Tyco Ventures and other undisclosed investors also participated in this round.</t>
        </is>
      </c>
      <c r="O429" s="23" t="inlineStr">
        <is>
          <t>Alchemist Accelerator, Cisco Systems, Munich Re/HSB Ventures, Navitas Capital, Right Side Capital Management, Tyco Ventures</t>
        </is>
      </c>
      <c r="P429" s="24" t="inlineStr">
        <is>
          <t/>
        </is>
      </c>
      <c r="Q429" s="25" t="inlineStr">
        <is>
          <t>Application Software</t>
        </is>
      </c>
      <c r="R429" s="26" t="inlineStr">
        <is>
          <t>Provider of mobile application platform designed to deliver the last mile mobile layer for industrial internet of things. The company's mobile application platform manages the mobile application through a robust cloud backend, enabling administrators and backend operators to connect their industrial assets, products, enterprise data, processes, workflows to realize the true benefits of IOT with a mobile experience.</t>
        </is>
      </c>
      <c r="S429" s="27" t="inlineStr">
        <is>
          <t>Dublin, CA</t>
        </is>
      </c>
      <c r="T429" s="28" t="inlineStr">
        <is>
          <t>www.waygum.io</t>
        </is>
      </c>
      <c r="U429" s="131">
        <f>HYPERLINK("https://my.pitchbook.com?c=97340-68", "View company online")</f>
      </c>
    </row>
    <row r="430">
      <c r="A430" s="30" t="inlineStr">
        <is>
          <t>56088-28</t>
        </is>
      </c>
      <c r="B430" s="31" t="inlineStr">
        <is>
          <t>Waygo</t>
        </is>
      </c>
      <c r="C430" s="32" t="inlineStr">
        <is>
          <t/>
        </is>
      </c>
      <c r="D430" s="33" t="n">
        <v>-0.1839951529564548</v>
      </c>
      <c r="E430" s="34" t="n">
        <v>5.294275357576757</v>
      </c>
      <c r="F430" s="35" t="n">
        <v>42370.0</v>
      </c>
      <c r="G430" s="36" t="inlineStr">
        <is>
          <t>Seed Round</t>
        </is>
      </c>
      <c r="H430" s="37" t="inlineStr">
        <is>
          <t>Seed</t>
        </is>
      </c>
      <c r="I430" s="38" t="n">
        <v>0.75</v>
      </c>
      <c r="J430" s="39" t="inlineStr">
        <is>
          <t/>
        </is>
      </c>
      <c r="K430" s="40" t="inlineStr">
        <is>
          <t>Completed</t>
        </is>
      </c>
      <c r="L430" s="41" t="inlineStr">
        <is>
          <t>Privately Held (backing)</t>
        </is>
      </c>
      <c r="M430" s="42" t="inlineStr">
        <is>
          <t>Venture Capital-Backed</t>
        </is>
      </c>
      <c r="N430" s="43" t="inlineStr">
        <is>
          <t>The company raised $750,000 of seed funding from East Ventures, Presence Capital and Super Ventures in 2016. Golden Gate Ventures and 500 Startups also participated in the round. The funding will go to improving company’s technology as well marketing and sourcing potential licensing partners.</t>
        </is>
      </c>
      <c r="O430" s="44" t="inlineStr">
        <is>
          <t>500 Startups, AngelVest Group, Betaspring, David McClure, East Ventures, Golden Gate Ventures, Individual Investor, Presence Capital, Super Ventures</t>
        </is>
      </c>
      <c r="P430" s="45" t="inlineStr">
        <is>
          <t/>
        </is>
      </c>
      <c r="Q430" s="46" t="inlineStr">
        <is>
          <t>Application Software</t>
        </is>
      </c>
      <c r="R430" s="47" t="inlineStr">
        <is>
          <t>Provider of a smartphone translation application for international travelers. The company's translation application helps expats, tourists and business travelers understand Chinese, Korean and Japanese language.</t>
        </is>
      </c>
      <c r="S430" s="48" t="inlineStr">
        <is>
          <t>Mountain View, CA</t>
        </is>
      </c>
      <c r="T430" s="49" t="inlineStr">
        <is>
          <t>www.waygoapp.com</t>
        </is>
      </c>
      <c r="U430" s="132">
        <f>HYPERLINK("https://my.pitchbook.com?c=56088-28", "View company online")</f>
      </c>
    </row>
    <row r="431">
      <c r="A431" s="9" t="inlineStr">
        <is>
          <t>58417-39</t>
        </is>
      </c>
      <c r="B431" s="10" t="inlineStr">
        <is>
          <t>Wayfare Interactive Network</t>
        </is>
      </c>
      <c r="C431" s="11" t="inlineStr">
        <is>
          <t/>
        </is>
      </c>
      <c r="D431" s="12" t="n">
        <v>0.0</v>
      </c>
      <c r="E431" s="13" t="n">
        <v>0.3362766493201276</v>
      </c>
      <c r="F431" s="14" t="inlineStr">
        <is>
          <t/>
        </is>
      </c>
      <c r="G431" s="15" t="inlineStr">
        <is>
          <t/>
        </is>
      </c>
      <c r="H431" s="16" t="inlineStr">
        <is>
          <t/>
        </is>
      </c>
      <c r="I431" s="17" t="inlineStr">
        <is>
          <t/>
        </is>
      </c>
      <c r="J431" s="18" t="inlineStr">
        <is>
          <t/>
        </is>
      </c>
      <c r="K431" s="19" t="inlineStr">
        <is>
          <t/>
        </is>
      </c>
      <c r="L431" s="20" t="inlineStr">
        <is>
          <t>Privately Held (backing)</t>
        </is>
      </c>
      <c r="M431" s="21" t="inlineStr">
        <is>
          <t>Venture Capital-Backed</t>
        </is>
      </c>
      <c r="N431" s="22" t="inlineStr">
        <is>
          <t>The company raised Series A venture funding from undisclosed investors on April 11, 2013.</t>
        </is>
      </c>
      <c r="O431" s="23" t="inlineStr">
        <is>
          <t/>
        </is>
      </c>
      <c r="P431" s="24" t="inlineStr">
        <is>
          <t/>
        </is>
      </c>
      <c r="Q431" s="25" t="inlineStr">
        <is>
          <t>Business/Productivity Software</t>
        </is>
      </c>
      <c r="R431" s="26" t="inlineStr">
        <is>
          <t>Operator of an e-commerce advertisement platform. The company provides a technology platform that helps advertisers and content publishers improve monetization and revenues while enhancing the user experience.</t>
        </is>
      </c>
      <c r="S431" s="27" t="inlineStr">
        <is>
          <t>San Mateo, CA</t>
        </is>
      </c>
      <c r="T431" s="28" t="inlineStr">
        <is>
          <t>www.wayfareinteractive.com</t>
        </is>
      </c>
      <c r="U431" s="131">
        <f>HYPERLINK("https://my.pitchbook.com?c=58417-39", "View company online")</f>
      </c>
    </row>
    <row r="432">
      <c r="A432" s="30" t="inlineStr">
        <is>
          <t>123464-71</t>
        </is>
      </c>
      <c r="B432" s="31" t="inlineStr">
        <is>
          <t>Way2B1.com</t>
        </is>
      </c>
      <c r="C432" s="32" t="inlineStr">
        <is>
          <t/>
        </is>
      </c>
      <c r="D432" s="33" t="inlineStr">
        <is>
          <t/>
        </is>
      </c>
      <c r="E432" s="34" t="inlineStr">
        <is>
          <t/>
        </is>
      </c>
      <c r="F432" s="35" t="n">
        <v>42249.0</v>
      </c>
      <c r="G432" s="36" t="inlineStr">
        <is>
          <t>Seed Round</t>
        </is>
      </c>
      <c r="H432" s="37" t="inlineStr">
        <is>
          <t>Seed</t>
        </is>
      </c>
      <c r="I432" s="38" t="n">
        <v>0.7</v>
      </c>
      <c r="J432" s="39" t="n">
        <v>2.92</v>
      </c>
      <c r="K432" s="40" t="inlineStr">
        <is>
          <t>Completed</t>
        </is>
      </c>
      <c r="L432" s="41" t="inlineStr">
        <is>
          <t>Privately Held (backing)</t>
        </is>
      </c>
      <c r="M432" s="42" t="inlineStr">
        <is>
          <t>Venture Capital-Backed</t>
        </is>
      </c>
      <c r="N432" s="43" t="inlineStr">
        <is>
          <t>The company raised $700,000 of seed funding from undisclosed investors on September 2, 2015, putting the company's pre-money valuation at $2.22 million.</t>
        </is>
      </c>
      <c r="O432" s="44" t="inlineStr">
        <is>
          <t/>
        </is>
      </c>
      <c r="P432" s="45" t="inlineStr">
        <is>
          <t/>
        </is>
      </c>
      <c r="Q432" s="46" t="inlineStr">
        <is>
          <t>Other Business Products and Services</t>
        </is>
      </c>
      <c r="R432" s="47" t="inlineStr">
        <is>
          <t>The company is currently operating in Stealth mode.</t>
        </is>
      </c>
      <c r="S432" s="48" t="inlineStr">
        <is>
          <t>Palo Alto, CA</t>
        </is>
      </c>
      <c r="T432" s="49" t="inlineStr">
        <is>
          <t/>
        </is>
      </c>
      <c r="U432" s="132">
        <f>HYPERLINK("https://my.pitchbook.com?c=123464-71", "View company online")</f>
      </c>
    </row>
    <row r="433">
      <c r="A433" s="9" t="inlineStr">
        <is>
          <t>156221-83</t>
        </is>
      </c>
      <c r="B433" s="10" t="inlineStr">
        <is>
          <t>Way.com</t>
        </is>
      </c>
      <c r="C433" s="11" t="inlineStr">
        <is>
          <t/>
        </is>
      </c>
      <c r="D433" s="12" t="n">
        <v>1.6684655991150104</v>
      </c>
      <c r="E433" s="13" t="n">
        <v>5.826338761121369</v>
      </c>
      <c r="F433" s="14" t="n">
        <v>42811.0</v>
      </c>
      <c r="G433" s="15" t="inlineStr">
        <is>
          <t>Early Stage VC</t>
        </is>
      </c>
      <c r="H433" s="16" t="inlineStr">
        <is>
          <t/>
        </is>
      </c>
      <c r="I433" s="17" t="n">
        <v>2.4</v>
      </c>
      <c r="J433" s="18" t="n">
        <v>13.0</v>
      </c>
      <c r="K433" s="19" t="inlineStr">
        <is>
          <t>Completed</t>
        </is>
      </c>
      <c r="L433" s="20" t="inlineStr">
        <is>
          <t>Privately Held (backing)</t>
        </is>
      </c>
      <c r="M433" s="21" t="inlineStr">
        <is>
          <t>Venture Capital-Backed</t>
        </is>
      </c>
      <c r="N433" s="22" t="inlineStr">
        <is>
          <t>The company raised $2.4 million of Series B venture funding from undisclosed investors on March 17, 2017, putting the pre-money valuation at $11.6 million. Of the total amount, $1 million includes a line of credit. Previously, the company raised $1 million of Series A venture funding from Agnus Capital on March 4, 2016, putting the pre-money valuation at $4 million.</t>
        </is>
      </c>
      <c r="O433" s="23" t="inlineStr">
        <is>
          <t>Agnus Capital</t>
        </is>
      </c>
      <c r="P433" s="24" t="inlineStr">
        <is>
          <t/>
        </is>
      </c>
      <c r="Q433" s="25" t="inlineStr">
        <is>
          <t>Social/Platform Software</t>
        </is>
      </c>
      <c r="R433" s="26" t="inlineStr">
        <is>
          <t>Provider of a concierge service platform. The company offers a marketplace which allows users to find information on services such as food delivery, parking reservation and ticket booking and order them online.</t>
        </is>
      </c>
      <c r="S433" s="27" t="inlineStr">
        <is>
          <t>Sunnyvale, CA</t>
        </is>
      </c>
      <c r="T433" s="28" t="inlineStr">
        <is>
          <t>www.way.com</t>
        </is>
      </c>
      <c r="U433" s="131">
        <f>HYPERLINK("https://my.pitchbook.com?c=156221-83", "View company online")</f>
      </c>
    </row>
    <row r="434">
      <c r="A434" s="30" t="inlineStr">
        <is>
          <t>152295-40</t>
        </is>
      </c>
      <c r="B434" s="31" t="inlineStr">
        <is>
          <t>Waxelene</t>
        </is>
      </c>
      <c r="C434" s="32" t="inlineStr">
        <is>
          <t/>
        </is>
      </c>
      <c r="D434" s="33" t="n">
        <v>0.005413834564995456</v>
      </c>
      <c r="E434" s="34" t="n">
        <v>3.101084372086583</v>
      </c>
      <c r="F434" s="35" t="n">
        <v>42360.0</v>
      </c>
      <c r="G434" s="36" t="inlineStr">
        <is>
          <t>Early Stage VC</t>
        </is>
      </c>
      <c r="H434" s="37" t="inlineStr">
        <is>
          <t>Series B</t>
        </is>
      </c>
      <c r="I434" s="38" t="n">
        <v>1.0</v>
      </c>
      <c r="J434" s="39" t="n">
        <v>6.5</v>
      </c>
      <c r="K434" s="40" t="inlineStr">
        <is>
          <t>Completed</t>
        </is>
      </c>
      <c r="L434" s="41" t="inlineStr">
        <is>
          <t>Privately Held (backing)</t>
        </is>
      </c>
      <c r="M434" s="42" t="inlineStr">
        <is>
          <t>Venture Capital-Backed</t>
        </is>
      </c>
      <c r="N434" s="43" t="inlineStr">
        <is>
          <t>The company raised $1 million of Series B venture funding from undisclosed investors on December 22, 2015, putting the pre-money valuation at $5.49 million. The company is being actively tracked by PitchBook.</t>
        </is>
      </c>
      <c r="O434" s="44" t="inlineStr">
        <is>
          <t>Ajay Prakash, Peter Platzer</t>
        </is>
      </c>
      <c r="P434" s="45" t="inlineStr">
        <is>
          <t/>
        </is>
      </c>
      <c r="Q434" s="46" t="inlineStr">
        <is>
          <t>Personal Products</t>
        </is>
      </c>
      <c r="R434" s="47" t="inlineStr">
        <is>
          <t>Manufacturer of skin care products. The company provides alternative of petroleum jelly and hydrogenated oils for removing make-up, soothing and moisturizing.</t>
        </is>
      </c>
      <c r="S434" s="48" t="inlineStr">
        <is>
          <t>San Rafael, CA</t>
        </is>
      </c>
      <c r="T434" s="49" t="inlineStr">
        <is>
          <t>www.waxelene.com</t>
        </is>
      </c>
      <c r="U434" s="132">
        <f>HYPERLINK("https://my.pitchbook.com?c=152295-40", "View company online")</f>
      </c>
    </row>
    <row r="435">
      <c r="A435" s="9" t="inlineStr">
        <is>
          <t>169888-60</t>
        </is>
      </c>
      <c r="B435" s="10" t="inlineStr">
        <is>
          <t>Wavious</t>
        </is>
      </c>
      <c r="C435" s="11" t="inlineStr">
        <is>
          <t/>
        </is>
      </c>
      <c r="D435" s="12" t="n">
        <v>0.0</v>
      </c>
      <c r="E435" s="13" t="n">
        <v>0.02702702702702703</v>
      </c>
      <c r="F435" s="14" t="inlineStr">
        <is>
          <t/>
        </is>
      </c>
      <c r="G435" s="15" t="inlineStr">
        <is>
          <t>Early Stage VC</t>
        </is>
      </c>
      <c r="H435" s="16" t="inlineStr">
        <is>
          <t/>
        </is>
      </c>
      <c r="I435" s="17" t="inlineStr">
        <is>
          <t/>
        </is>
      </c>
      <c r="J435" s="18" t="inlineStr">
        <is>
          <t/>
        </is>
      </c>
      <c r="K435" s="19" t="inlineStr">
        <is>
          <t>Completed</t>
        </is>
      </c>
      <c r="L435" s="20" t="inlineStr">
        <is>
          <t>Privately Held (backing)</t>
        </is>
      </c>
      <c r="M435" s="21" t="inlineStr">
        <is>
          <t>Venture Capital-Backed</t>
        </is>
      </c>
      <c r="N435" s="22" t="inlineStr">
        <is>
          <t>The company raised an undisclosed amount of venture funding from Bridgewest Group.</t>
        </is>
      </c>
      <c r="O435" s="23" t="inlineStr">
        <is>
          <t>Bridgewest Group</t>
        </is>
      </c>
      <c r="P435" s="24" t="inlineStr">
        <is>
          <t/>
        </is>
      </c>
      <c r="Q435" s="25" t="inlineStr">
        <is>
          <t>Other Business Products and Services</t>
        </is>
      </c>
      <c r="R435" s="26" t="inlineStr">
        <is>
          <t>Developer of a creative and innovative platform based solution addressing economics of innovation that has adversely affected the semiconductor industry growth. The company's software configurable platform helps in significant system level NRE , production cost and BoM reduction to address vertical and adjacent markets with optimum performance and power at lowest cost structure.</t>
        </is>
      </c>
      <c r="S435" s="27" t="inlineStr">
        <is>
          <t>San Diego, CA</t>
        </is>
      </c>
      <c r="T435" s="28" t="inlineStr">
        <is>
          <t>www.wavious.com</t>
        </is>
      </c>
      <c r="U435" s="131">
        <f>HYPERLINK("https://my.pitchbook.com?c=169888-60", "View company online")</f>
      </c>
    </row>
    <row r="436">
      <c r="A436" s="30" t="inlineStr">
        <is>
          <t>53666-83</t>
        </is>
      </c>
      <c r="B436" s="31" t="inlineStr">
        <is>
          <t>WaveSplitter Technologies</t>
        </is>
      </c>
      <c r="C436" s="32" t="inlineStr">
        <is>
          <t/>
        </is>
      </c>
      <c r="D436" s="33" t="n">
        <v>0.0</v>
      </c>
      <c r="E436" s="34" t="n">
        <v>1.8108108108108107</v>
      </c>
      <c r="F436" s="35" t="n">
        <v>39812.0</v>
      </c>
      <c r="G436" s="36" t="inlineStr">
        <is>
          <t>Later Stage VC</t>
        </is>
      </c>
      <c r="H436" s="37" t="inlineStr">
        <is>
          <t/>
        </is>
      </c>
      <c r="I436" s="38" t="n">
        <v>0.26</v>
      </c>
      <c r="J436" s="39" t="inlineStr">
        <is>
          <t/>
        </is>
      </c>
      <c r="K436" s="40" t="inlineStr">
        <is>
          <t>Completed</t>
        </is>
      </c>
      <c r="L436" s="41" t="inlineStr">
        <is>
          <t>Privately Held (backing)</t>
        </is>
      </c>
      <c r="M436" s="42" t="inlineStr">
        <is>
          <t>Venture Capital-Backed</t>
        </is>
      </c>
      <c r="N436" s="43" t="inlineStr">
        <is>
          <t>The company raised $260,000 of venture funding from Mayfield and Lake Street Capital on December 30, 2008.</t>
        </is>
      </c>
      <c r="O436" s="44" t="inlineStr">
        <is>
          <t>CDIB Capital International, China Development Financial Holding, Kalkhoven, Pettit, Levin &amp; Johnson Ventures, Lake Street Capital, Lucent Venture Partners, Mayfield Fund, Newbury Ventures, NIF Ventures, North America Venture Fund, Star Ventures, Thomas Weisel Partners Group</t>
        </is>
      </c>
      <c r="P436" s="45" t="inlineStr">
        <is>
          <t/>
        </is>
      </c>
      <c r="Q436" s="46" t="inlineStr">
        <is>
          <t>Other Communications and Networking</t>
        </is>
      </c>
      <c r="R436" s="47" t="inlineStr">
        <is>
          <t>Manufacturer of optical components and modules designed to offer telecommunication services. The company's optical components and modules include development and distribution of wide variety of optical transceivers, cable extenders and fused fiber and planar light-guide circuit products, like pump laser combiners, optical channel inter-leavers, arrayed wave-guide gratings, couplers, WDMs, and drop thin-film filters, enabling optical systems manufacturers, enterprise, data center, and service provider customers to lower the cost of their optical infrastructure while simultaneously increasing the performance and capacity of their optical networks.</t>
        </is>
      </c>
      <c r="S436" s="48" t="inlineStr">
        <is>
          <t>Fremont, CA</t>
        </is>
      </c>
      <c r="T436" s="49" t="inlineStr">
        <is>
          <t>www.wavesplitter.com</t>
        </is>
      </c>
      <c r="U436" s="132">
        <f>HYPERLINK("https://my.pitchbook.com?c=53666-83", "View company online")</f>
      </c>
    </row>
    <row r="437">
      <c r="A437" s="9" t="inlineStr">
        <is>
          <t>110140-30</t>
        </is>
      </c>
      <c r="B437" s="10" t="inlineStr">
        <is>
          <t>Wavesense</t>
        </is>
      </c>
      <c r="C437" s="11" t="inlineStr">
        <is>
          <t/>
        </is>
      </c>
      <c r="D437" s="12" t="n">
        <v>0.0</v>
      </c>
      <c r="E437" s="13" t="n">
        <v>0.19020596288466593</v>
      </c>
      <c r="F437" s="14" t="inlineStr">
        <is>
          <t/>
        </is>
      </c>
      <c r="G437" s="15" t="inlineStr">
        <is>
          <t>Early Stage VC</t>
        </is>
      </c>
      <c r="H437" s="16" t="inlineStr">
        <is>
          <t/>
        </is>
      </c>
      <c r="I437" s="17" t="inlineStr">
        <is>
          <t/>
        </is>
      </c>
      <c r="J437" s="18" t="inlineStr">
        <is>
          <t/>
        </is>
      </c>
      <c r="K437" s="19" t="inlineStr">
        <is>
          <t>Completed</t>
        </is>
      </c>
      <c r="L437" s="20" t="inlineStr">
        <is>
          <t>Privately Held (backing)</t>
        </is>
      </c>
      <c r="M437" s="21" t="inlineStr">
        <is>
          <t>Venture Capital-Backed</t>
        </is>
      </c>
      <c r="N437" s="22" t="inlineStr">
        <is>
          <t>The company raised venture funding from Signatures Capital on an undisclosed date.</t>
        </is>
      </c>
      <c r="O437" s="23" t="inlineStr">
        <is>
          <t>Signatures Capital</t>
        </is>
      </c>
      <c r="P437" s="24" t="inlineStr">
        <is>
          <t/>
        </is>
      </c>
      <c r="Q437" s="25" t="inlineStr">
        <is>
          <t>Diagnostic Equipment</t>
        </is>
      </c>
      <c r="R437" s="26" t="inlineStr">
        <is>
          <t>Provider of medical devices for targeted cell isolation and enrichment. The company designs and develops in-vitro diagnostic (IVD) devices for cancer centers, laboratories, diagnostic equipment manufacturers and pharmaceutical companies.</t>
        </is>
      </c>
      <c r="S437" s="27" t="inlineStr">
        <is>
          <t>Irvine, CA</t>
        </is>
      </c>
      <c r="T437" s="28" t="inlineStr">
        <is>
          <t>www.wavesense.com</t>
        </is>
      </c>
      <c r="U437" s="131">
        <f>HYPERLINK("https://my.pitchbook.com?c=110140-30", "View company online")</f>
      </c>
    </row>
    <row r="438">
      <c r="A438" s="30" t="inlineStr">
        <is>
          <t>52242-22</t>
        </is>
      </c>
      <c r="B438" s="31" t="inlineStr">
        <is>
          <t>Wavepoint Ventures</t>
        </is>
      </c>
      <c r="C438" s="32" t="inlineStr">
        <is>
          <t/>
        </is>
      </c>
      <c r="D438" s="33" t="n">
        <v>0.0</v>
      </c>
      <c r="E438" s="34" t="n">
        <v>0.512520995571843</v>
      </c>
      <c r="F438" s="35" t="inlineStr">
        <is>
          <t/>
        </is>
      </c>
      <c r="G438" s="36" t="inlineStr">
        <is>
          <t>Early Stage VC</t>
        </is>
      </c>
      <c r="H438" s="37" t="inlineStr">
        <is>
          <t/>
        </is>
      </c>
      <c r="I438" s="38" t="inlineStr">
        <is>
          <t/>
        </is>
      </c>
      <c r="J438" s="39" t="inlineStr">
        <is>
          <t/>
        </is>
      </c>
      <c r="K438" s="40" t="inlineStr">
        <is>
          <t>Completed</t>
        </is>
      </c>
      <c r="L438" s="41" t="inlineStr">
        <is>
          <t>Privately Held (backing)</t>
        </is>
      </c>
      <c r="M438" s="42" t="inlineStr">
        <is>
          <t>Venture Capital-Backed</t>
        </is>
      </c>
      <c r="N438" s="43" t="inlineStr">
        <is>
          <t>The company raised venture funding from Vencore Capital on an undisclosed date.</t>
        </is>
      </c>
      <c r="O438" s="44" t="inlineStr">
        <is>
          <t>Vencore Capital</t>
        </is>
      </c>
      <c r="P438" s="45" t="inlineStr">
        <is>
          <t/>
        </is>
      </c>
      <c r="Q438" s="46" t="inlineStr">
        <is>
          <t>Private Equity</t>
        </is>
      </c>
      <c r="R438" s="47" t="inlineStr">
        <is>
          <t>Operator of a venture capital firm focusing on seed and early stage financing. The company invests within communities with a focus on medical, clean technology and healthcare industry software.</t>
        </is>
      </c>
      <c r="S438" s="48" t="inlineStr">
        <is>
          <t>Menlo Park, CA</t>
        </is>
      </c>
      <c r="T438" s="49" t="inlineStr">
        <is>
          <t>www.wavepointventures.com</t>
        </is>
      </c>
      <c r="U438" s="132">
        <f>HYPERLINK("https://my.pitchbook.com?c=52242-22", "View company online")</f>
      </c>
    </row>
    <row r="439">
      <c r="A439" s="9" t="inlineStr">
        <is>
          <t>51755-50</t>
        </is>
      </c>
      <c r="B439" s="10" t="inlineStr">
        <is>
          <t>Wavemaker Partners</t>
        </is>
      </c>
      <c r="C439" s="11" t="inlineStr">
        <is>
          <t/>
        </is>
      </c>
      <c r="D439" s="12" t="n">
        <v>0.08788363907552482</v>
      </c>
      <c r="E439" s="13" t="n">
        <v>1.2593907466788823</v>
      </c>
      <c r="F439" s="14" t="n">
        <v>42246.0</v>
      </c>
      <c r="G439" s="15" t="inlineStr">
        <is>
          <t>Angel (individual)</t>
        </is>
      </c>
      <c r="H439" s="16" t="inlineStr">
        <is>
          <t>Angel</t>
        </is>
      </c>
      <c r="I439" s="17" t="inlineStr">
        <is>
          <t/>
        </is>
      </c>
      <c r="J439" s="18" t="inlineStr">
        <is>
          <t/>
        </is>
      </c>
      <c r="K439" s="19" t="inlineStr">
        <is>
          <t>Completed</t>
        </is>
      </c>
      <c r="L439" s="20" t="inlineStr">
        <is>
          <t>Privately Held (backing)</t>
        </is>
      </c>
      <c r="M439" s="21" t="inlineStr">
        <is>
          <t>Venture Capital-Backed</t>
        </is>
      </c>
      <c r="N439" s="22" t="inlineStr">
        <is>
          <t>The company raised an undisclosed amount of angel funding from Tim Draper on August 30, 2015.</t>
        </is>
      </c>
      <c r="O439" s="23" t="inlineStr">
        <is>
          <t>Canyon Creek Capital, Karlin Ventures, Timothy Draper, Wavemaker Partners</t>
        </is>
      </c>
      <c r="P439" s="24" t="inlineStr">
        <is>
          <t/>
        </is>
      </c>
      <c r="Q439" s="25" t="inlineStr">
        <is>
          <t>Private Equity</t>
        </is>
      </c>
      <c r="R439" s="26" t="inlineStr">
        <is>
          <t>Operator of a venture capital firm. The company offers early stage funding to technology-driven startups based in Southern California and Southeast Asia.</t>
        </is>
      </c>
      <c r="S439" s="27" t="inlineStr">
        <is>
          <t>Santa Monica, CA</t>
        </is>
      </c>
      <c r="T439" s="28" t="inlineStr">
        <is>
          <t>www.wavemaker.vc</t>
        </is>
      </c>
      <c r="U439" s="131">
        <f>HYPERLINK("https://my.pitchbook.com?c=51755-50", "View company online")</f>
      </c>
    </row>
    <row r="440">
      <c r="A440" s="30" t="inlineStr">
        <is>
          <t>55947-07</t>
        </is>
      </c>
      <c r="B440" s="31" t="inlineStr">
        <is>
          <t>Wavelet</t>
        </is>
      </c>
      <c r="C440" s="32" t="inlineStr">
        <is>
          <t/>
        </is>
      </c>
      <c r="D440" s="33" t="n">
        <v>-0.11438265211683336</v>
      </c>
      <c r="E440" s="34" t="n">
        <v>8.330508474576272</v>
      </c>
      <c r="F440" s="35" t="n">
        <v>41698.0</v>
      </c>
      <c r="G440" s="36" t="inlineStr">
        <is>
          <t>Convertible Debt</t>
        </is>
      </c>
      <c r="H440" s="37" t="inlineStr">
        <is>
          <t/>
        </is>
      </c>
      <c r="I440" s="38" t="n">
        <v>1.75</v>
      </c>
      <c r="J440" s="39" t="inlineStr">
        <is>
          <t/>
        </is>
      </c>
      <c r="K440" s="40" t="inlineStr">
        <is>
          <t>Completed</t>
        </is>
      </c>
      <c r="L440" s="41" t="inlineStr">
        <is>
          <t>Privately Held (backing)</t>
        </is>
      </c>
      <c r="M440" s="42" t="inlineStr">
        <is>
          <t>Venture Capital-Backed</t>
        </is>
      </c>
      <c r="N440" s="43" t="inlineStr">
        <is>
          <t>The company raised $1.75 million of convertible debt financing from undisclosed investors on February 28, 2014. Previously, the company raised $90,000 of venture funding from Alpha Investment Partners, Kickstart Seed Fund and Flextronics Lab IX on January 14, 2013.</t>
        </is>
      </c>
      <c r="O440" s="44" t="inlineStr">
        <is>
          <t>Alpha Investment Partners, Flextronics Lab IX, Kickstart Seed Fund</t>
        </is>
      </c>
      <c r="P440" s="45" t="inlineStr">
        <is>
          <t/>
        </is>
      </c>
      <c r="Q440" s="46" t="inlineStr">
        <is>
          <t>Other Healthcare Technology Systems</t>
        </is>
      </c>
      <c r="R440" s="47" t="inlineStr">
        <is>
          <t>Developer of wearable devices designed to modernize clinical research. The company's wearable device tracks exercise, sleeping, heart rate and other activities of the body and provides feedback on iOS and Android platforms, enabling users to track their health on daily basis.</t>
        </is>
      </c>
      <c r="S440" s="48" t="inlineStr">
        <is>
          <t>Mountain View, CA</t>
        </is>
      </c>
      <c r="T440" s="49" t="inlineStr">
        <is>
          <t>www.wavelethealth.com</t>
        </is>
      </c>
      <c r="U440" s="132">
        <f>HYPERLINK("https://my.pitchbook.com?c=55947-07", "View company online")</f>
      </c>
    </row>
    <row r="441">
      <c r="A441" s="9" t="inlineStr">
        <is>
          <t>100323-91</t>
        </is>
      </c>
      <c r="B441" s="10" t="inlineStr">
        <is>
          <t>Wavefront</t>
        </is>
      </c>
      <c r="C441" s="11" t="inlineStr">
        <is>
          <t/>
        </is>
      </c>
      <c r="D441" s="12" t="n">
        <v>1.481814067483806</v>
      </c>
      <c r="E441" s="13" t="n">
        <v>11.866197627251422</v>
      </c>
      <c r="F441" s="14" t="n">
        <v>42837.0</v>
      </c>
      <c r="G441" s="15" t="inlineStr">
        <is>
          <t>Merger/Acquisition</t>
        </is>
      </c>
      <c r="H441" s="16" t="inlineStr">
        <is>
          <t/>
        </is>
      </c>
      <c r="I441" s="17" t="inlineStr">
        <is>
          <t/>
        </is>
      </c>
      <c r="J441" s="18" t="inlineStr">
        <is>
          <t/>
        </is>
      </c>
      <c r="K441" s="19" t="inlineStr">
        <is>
          <t>Announced/In Progress</t>
        </is>
      </c>
      <c r="L441" s="20" t="inlineStr">
        <is>
          <t>Privately Held (backing)</t>
        </is>
      </c>
      <c r="M441" s="21" t="inlineStr">
        <is>
          <t>Venture Capital-Backed</t>
        </is>
      </c>
      <c r="N441" s="22" t="inlineStr">
        <is>
          <t>The company reached a definitive agreement to be acquired by VMware (NYSE: VMW) for an undisclosed amount on April 12, 2017. The transaction is expected to close in Q2 2017. Previously, the company raised $52 million of Series B venture funding led by Tenaya Capital on October 24, 2016, putting the pre-money valuation at $56.4 million. Sequoia Capital, Sutter Hill Ventures, Arthur Patterson and other undisclosed investors also participated. The company intends to use the funds to accelerate research and development to expand its product offerings, as well as growth of sales, marketing and support operations across all global regions. Previously, the company raised $11.5 million of Series A1 venture funding in a deal led by Sequoia Capital on February 16, 2016, putting the pre-money valuation at $34.5 million. The company is being actively tracked by PitchBook.</t>
        </is>
      </c>
      <c r="O441" s="23" t="inlineStr">
        <is>
          <t>Arthur Patterson, Dell Technologies Capital, Kenny Van Zant, Sequoia Capital, Sutter Hill Ventures, Tenaya Capital, Webb Investment Network</t>
        </is>
      </c>
      <c r="P441" s="24" t="inlineStr">
        <is>
          <t/>
        </is>
      </c>
      <c r="Q441" s="25" t="inlineStr">
        <is>
          <t>Database Software</t>
        </is>
      </c>
      <c r="R441" s="26" t="inlineStr">
        <is>
          <t>Provider of a cloud-based metrics monitoring platform designed to scale and improve customer experience. The company's cloud-based metrics monitoring platform is a real-time analytics platform enabling SaaS enterprises to visualize and query a wide range of metrics, including computing load and performance data.</t>
        </is>
      </c>
      <c r="S441" s="27" t="inlineStr">
        <is>
          <t>Palo Alto, CA</t>
        </is>
      </c>
      <c r="T441" s="28" t="inlineStr">
        <is>
          <t>www.wavefront.com</t>
        </is>
      </c>
      <c r="U441" s="131">
        <f>HYPERLINK("https://my.pitchbook.com?c=100323-91", "View company online")</f>
      </c>
    </row>
    <row r="442">
      <c r="A442" s="30" t="inlineStr">
        <is>
          <t>179843-77</t>
        </is>
      </c>
      <c r="B442" s="31" t="inlineStr">
        <is>
          <t>Wavedash Games</t>
        </is>
      </c>
      <c r="C442" s="32" t="inlineStr">
        <is>
          <t/>
        </is>
      </c>
      <c r="D442" s="33" t="n">
        <v>0.6569860377640432</v>
      </c>
      <c r="E442" s="34" t="n">
        <v>7.886227307948015</v>
      </c>
      <c r="F442" s="35" t="n">
        <v>42762.0</v>
      </c>
      <c r="G442" s="36" t="inlineStr">
        <is>
          <t>Early Stage VC</t>
        </is>
      </c>
      <c r="H442" s="37" t="inlineStr">
        <is>
          <t>Series A</t>
        </is>
      </c>
      <c r="I442" s="38" t="n">
        <v>7.2</v>
      </c>
      <c r="J442" s="39" t="n">
        <v>14.4</v>
      </c>
      <c r="K442" s="40" t="inlineStr">
        <is>
          <t>Completed</t>
        </is>
      </c>
      <c r="L442" s="41" t="inlineStr">
        <is>
          <t>Privately Held (backing)</t>
        </is>
      </c>
      <c r="M442" s="42" t="inlineStr">
        <is>
          <t>Venture Capital-Backed</t>
        </is>
      </c>
      <c r="N442" s="43" t="inlineStr">
        <is>
          <t>The company raised an estimated $7.2 million of Series A venture funding in a deal led by March Capital on January 27, 2017, putting the pre-money valuation at $7.2 million. Lowercase Capital, Advancit Capital, CourtsideVC, Machine Shop Ventures, Luma Labs and Cherrytree VC also participated. The financing will be used to grow its team and complete the development of its new Platform Fighter game.</t>
        </is>
      </c>
      <c r="O442" s="44" t="inlineStr">
        <is>
          <t>Advancit Capital, Cherry Tree Companies, Courtside Venture, Lowercase Capital, Luma Labs, Machine Shop Ventures, March Capital Partners</t>
        </is>
      </c>
      <c r="P442" s="45" t="inlineStr">
        <is>
          <t/>
        </is>
      </c>
      <c r="Q442" s="46" t="inlineStr">
        <is>
          <t>Application Software</t>
        </is>
      </c>
      <c r="R442" s="47" t="inlineStr">
        <is>
          <t>Provider of gaming services intended to offer digital games for various online platform. The company's gaming services consists of games that can be played within various community, enabling the users to create a social group between them.</t>
        </is>
      </c>
      <c r="S442" s="48" t="inlineStr">
        <is>
          <t>San Francisco, CA</t>
        </is>
      </c>
      <c r="T442" s="49" t="inlineStr">
        <is>
          <t>www.wavedash.com</t>
        </is>
      </c>
      <c r="U442" s="132">
        <f>HYPERLINK("https://my.pitchbook.com?c=179843-77", "View company online")</f>
      </c>
    </row>
    <row r="443">
      <c r="A443" s="9" t="inlineStr">
        <is>
          <t>53712-19</t>
        </is>
      </c>
      <c r="B443" s="10" t="inlineStr">
        <is>
          <t>Wave Computing</t>
        </is>
      </c>
      <c r="C443" s="11" t="inlineStr">
        <is>
          <t/>
        </is>
      </c>
      <c r="D443" s="12" t="inlineStr">
        <is>
          <t/>
        </is>
      </c>
      <c r="E443" s="13" t="inlineStr">
        <is>
          <t/>
        </is>
      </c>
      <c r="F443" s="14" t="n">
        <v>42850.0</v>
      </c>
      <c r="G443" s="15" t="inlineStr">
        <is>
          <t>Later Stage VC</t>
        </is>
      </c>
      <c r="H443" s="16" t="inlineStr">
        <is>
          <t>Series D</t>
        </is>
      </c>
      <c r="I443" s="17" t="n">
        <v>35.0</v>
      </c>
      <c r="J443" s="18" t="n">
        <v>125.0</v>
      </c>
      <c r="K443" s="19" t="inlineStr">
        <is>
          <t>In Bidding Process</t>
        </is>
      </c>
      <c r="L443" s="20" t="inlineStr">
        <is>
          <t>Privately Held (backing)</t>
        </is>
      </c>
      <c r="M443" s="21" t="inlineStr">
        <is>
          <t>Venture Capital-Backed</t>
        </is>
      </c>
      <c r="N443" s="22" t="inlineStr">
        <is>
          <t>The company is the process of raising $35 million of Series D venture funding as of April 3, 2017, putting the pre-money valuation at $90 million. The company is actively tracked by PitchBook.</t>
        </is>
      </c>
      <c r="O443" s="23" t="inlineStr">
        <is>
          <t>Southern Cross Venture Partners, Tallwood Venture Capital</t>
        </is>
      </c>
      <c r="P443" s="24" t="inlineStr">
        <is>
          <t/>
        </is>
      </c>
      <c r="Q443" s="25" t="inlineStr">
        <is>
          <t>Computers, Parts and Peripherals</t>
        </is>
      </c>
      <c r="R443" s="26" t="inlineStr">
        <is>
          <t>Developer of deep learning computers that are designed to massively improve the performance and scalability of machine learning training and inferencing. The company's solution is powered by data flow technology enabling the elimination CPUs, and co-processors such as GPUs and FPGAs. The company's computers improve machine learning performance up to 1,000x allowing businesses to analyze complex data in near real-time with accurate results.</t>
        </is>
      </c>
      <c r="S443" s="27" t="inlineStr">
        <is>
          <t>Campbell, CA</t>
        </is>
      </c>
      <c r="T443" s="28" t="inlineStr">
        <is>
          <t>www.wavecomp.ai</t>
        </is>
      </c>
      <c r="U443" s="131">
        <f>HYPERLINK("https://my.pitchbook.com?c=53712-19", "View company online")</f>
      </c>
    </row>
    <row r="444">
      <c r="A444" s="30" t="inlineStr">
        <is>
          <t>166613-68</t>
        </is>
      </c>
      <c r="B444" s="31" t="inlineStr">
        <is>
          <t>Wattz</t>
        </is>
      </c>
      <c r="C444" s="32" t="inlineStr">
        <is>
          <t/>
        </is>
      </c>
      <c r="D444" s="33" t="n">
        <v>0.0</v>
      </c>
      <c r="E444" s="34" t="n">
        <v>0.05405405405405406</v>
      </c>
      <c r="F444" s="35" t="inlineStr">
        <is>
          <t/>
        </is>
      </c>
      <c r="G444" s="36" t="inlineStr">
        <is>
          <t>Accelerator/Incubator</t>
        </is>
      </c>
      <c r="H444" s="37" t="inlineStr">
        <is>
          <t/>
        </is>
      </c>
      <c r="I444" s="38" t="n">
        <v>0.04</v>
      </c>
      <c r="J444" s="39" t="inlineStr">
        <is>
          <t/>
        </is>
      </c>
      <c r="K444" s="40" t="inlineStr">
        <is>
          <t>Completed</t>
        </is>
      </c>
      <c r="L444" s="41" t="inlineStr">
        <is>
          <t>Privately Held (backing)</t>
        </is>
      </c>
      <c r="M444" s="42" t="inlineStr">
        <is>
          <t>Venture Capital-Backed</t>
        </is>
      </c>
      <c r="N444" s="43" t="inlineStr">
        <is>
          <t>The company joined Alchemist Accelerator and received $36,000 in funding on an undisclosed date. Prior to this, the company joined Tumml as part of its first cohort and received $15,000 on September 19, 2016. The funding was received in the form of grant.</t>
        </is>
      </c>
      <c r="O444" s="44" t="inlineStr">
        <is>
          <t>Alchemist Accelerator, Draper Fisher Jurvetson, Khosla Ventures, Tumml</t>
        </is>
      </c>
      <c r="P444" s="45" t="inlineStr">
        <is>
          <t/>
        </is>
      </c>
      <c r="Q444" s="46" t="inlineStr">
        <is>
          <t>Electronics (B2C)</t>
        </is>
      </c>
      <c r="R444" s="47" t="inlineStr">
        <is>
          <t>Developer of an energy harvesting device. The company develops a device which enables harvesting of ambient energy from solar, vibration and thermal sources for powering IoT devices.</t>
        </is>
      </c>
      <c r="S444" s="48" t="inlineStr">
        <is>
          <t>San Francisco, CA</t>
        </is>
      </c>
      <c r="T444" s="49" t="inlineStr">
        <is>
          <t>www.wattz.io</t>
        </is>
      </c>
      <c r="U444" s="132">
        <f>HYPERLINK("https://my.pitchbook.com?c=166613-68", "View company online")</f>
      </c>
    </row>
    <row r="445">
      <c r="A445" s="9" t="inlineStr">
        <is>
          <t>52773-22</t>
        </is>
      </c>
      <c r="B445" s="10" t="inlineStr">
        <is>
          <t>Wattpad</t>
        </is>
      </c>
      <c r="C445" s="11" t="inlineStr">
        <is>
          <t/>
        </is>
      </c>
      <c r="D445" s="12" t="n">
        <v>-0.015309363455862174</v>
      </c>
      <c r="E445" s="13" t="n">
        <v>2918.7557054844087</v>
      </c>
      <c r="F445" s="14" t="n">
        <v>42452.0</v>
      </c>
      <c r="G445" s="15" t="inlineStr">
        <is>
          <t>Debt - General</t>
        </is>
      </c>
      <c r="H445" s="16" t="inlineStr">
        <is>
          <t>Loan</t>
        </is>
      </c>
      <c r="I445" s="17" t="n">
        <v>15.0</v>
      </c>
      <c r="J445" s="18" t="inlineStr">
        <is>
          <t/>
        </is>
      </c>
      <c r="K445" s="19" t="inlineStr">
        <is>
          <t>Completed</t>
        </is>
      </c>
      <c r="L445" s="20" t="inlineStr">
        <is>
          <t>Privately Held (backing)</t>
        </is>
      </c>
      <c r="M445" s="21" t="inlineStr">
        <is>
          <t>Venture Capital-Backed</t>
        </is>
      </c>
      <c r="N445" s="22" t="inlineStr">
        <is>
          <t>The company received $15 million of debt financing from Hercules Capital on March 23, 2016.</t>
        </is>
      </c>
      <c r="O445" s="23" t="inlineStr">
        <is>
          <t>Alan Levine, AME Cloud Ventures, August Capital, BDC Capital IT Venture Fund, Benjamin Ling, Bert Amato, Golden Venture Partners, Gordon Rubenstein, Harvey Beck, Hercules Capital, Individual Investor, Jerry Yang, Khosla Ventures, Northleaf Capital Partners, OMERS Ventures, Raine Ventures, Union Square Ventures, Version One Ventures, Vinod Khosla</t>
        </is>
      </c>
      <c r="P445" s="24" t="inlineStr">
        <is>
          <t/>
        </is>
      </c>
      <c r="Q445" s="25" t="inlineStr">
        <is>
          <t>Social Content</t>
        </is>
      </c>
      <c r="R445" s="26" t="inlineStr">
        <is>
          <t>Operator of an online storytelling community for readers and writers designed to make it easy to read and write online or offline. The company's storytelling platform allows people from everywhere to participate and collaborate on content through comments, messages and multimedia, enabling them to access and share content easily.</t>
        </is>
      </c>
      <c r="S445" s="27" t="inlineStr">
        <is>
          <t>Toronto, Canada</t>
        </is>
      </c>
      <c r="T445" s="28" t="inlineStr">
        <is>
          <t>www.wattpad.com</t>
        </is>
      </c>
      <c r="U445" s="131">
        <f>HYPERLINK("https://my.pitchbook.com?c=52773-22", "View company online")</f>
      </c>
    </row>
    <row r="446">
      <c r="A446" s="30" t="inlineStr">
        <is>
          <t>64704-34</t>
        </is>
      </c>
      <c r="B446" s="31" t="inlineStr">
        <is>
          <t>Waterstone Management Group</t>
        </is>
      </c>
      <c r="C446" s="32" t="inlineStr">
        <is>
          <t/>
        </is>
      </c>
      <c r="D446" s="33" t="n">
        <v>-0.20179269489591412</v>
      </c>
      <c r="E446" s="34" t="n">
        <v>1.645403878454726</v>
      </c>
      <c r="F446" s="35" t="inlineStr">
        <is>
          <t/>
        </is>
      </c>
      <c r="G446" s="36" t="inlineStr">
        <is>
          <t>Early Stage VC</t>
        </is>
      </c>
      <c r="H446" s="37" t="inlineStr">
        <is>
          <t/>
        </is>
      </c>
      <c r="I446" s="38" t="inlineStr">
        <is>
          <t/>
        </is>
      </c>
      <c r="J446" s="39" t="inlineStr">
        <is>
          <t/>
        </is>
      </c>
      <c r="K446" s="40" t="inlineStr">
        <is>
          <t>Completed</t>
        </is>
      </c>
      <c r="L446" s="41" t="inlineStr">
        <is>
          <t>Privately Held (backing)</t>
        </is>
      </c>
      <c r="M446" s="42" t="inlineStr">
        <is>
          <t>Venture Capital-Backed</t>
        </is>
      </c>
      <c r="N446" s="43" t="inlineStr">
        <is>
          <t>The company raised venture funding from Morningside Group on an undisclosed date.</t>
        </is>
      </c>
      <c r="O446" s="44" t="inlineStr">
        <is>
          <t>Morningside Group</t>
        </is>
      </c>
      <c r="P446" s="45" t="inlineStr">
        <is>
          <t/>
        </is>
      </c>
      <c r="Q446" s="46" t="inlineStr">
        <is>
          <t>Social/Platform Software</t>
        </is>
      </c>
      <c r="R446" s="47" t="inlineStr">
        <is>
          <t>Publisher of software applications. The company provides TTPod Music player, a smartphone application for downloading and playing music videos and the software also features cloud backup and a music library of more than ten million songs.</t>
        </is>
      </c>
      <c r="S446" s="48" t="inlineStr">
        <is>
          <t>Chicago, IL</t>
        </is>
      </c>
      <c r="T446" s="49" t="inlineStr">
        <is>
          <t>www.waterstonegroup.com</t>
        </is>
      </c>
      <c r="U446" s="132">
        <f>HYPERLINK("https://my.pitchbook.com?c=64704-34", "View company online")</f>
      </c>
    </row>
    <row r="447">
      <c r="A447" s="9" t="inlineStr">
        <is>
          <t>52200-46</t>
        </is>
      </c>
      <c r="B447" s="10" t="inlineStr">
        <is>
          <t>WaterSmart Software</t>
        </is>
      </c>
      <c r="C447" s="11" t="inlineStr">
        <is>
          <t/>
        </is>
      </c>
      <c r="D447" s="12" t="n">
        <v>2.4055674868509853</v>
      </c>
      <c r="E447" s="13" t="n">
        <v>10.696418945000374</v>
      </c>
      <c r="F447" s="14" t="n">
        <v>42466.0</v>
      </c>
      <c r="G447" s="15" t="inlineStr">
        <is>
          <t>Later Stage VC</t>
        </is>
      </c>
      <c r="H447" s="16" t="inlineStr">
        <is>
          <t>Series B1</t>
        </is>
      </c>
      <c r="I447" s="17" t="n">
        <v>3.0</v>
      </c>
      <c r="J447" s="18" t="n">
        <v>40.0</v>
      </c>
      <c r="K447" s="19" t="inlineStr">
        <is>
          <t>Completed</t>
        </is>
      </c>
      <c r="L447" s="20" t="inlineStr">
        <is>
          <t>Privately Held (backing)</t>
        </is>
      </c>
      <c r="M447" s="21" t="inlineStr">
        <is>
          <t>Venture Capital-Backed</t>
        </is>
      </c>
      <c r="N447" s="22" t="inlineStr">
        <is>
          <t>The company raised $2.99 million of Series B1 venture funding from undisclosed investors on April 6, 2016, putting the pre-money valuation at $37 million. Previously, the company joined Energy Excelerator as a part of its 2016 cohort on February 9, 2016.</t>
        </is>
      </c>
      <c r="O447" s="23" t="inlineStr">
        <is>
          <t>Apsara Capital, Dixon Doll, Draper Associates, Draper Fisher Jurvetson, Energy Excelerator, Imagine H2O, Menlo Incubator, Michael Kinsbergen, Physic Ventures, Sand Hill Angels, The Westly Group, Unilever Ventures</t>
        </is>
      </c>
      <c r="P447" s="24" t="inlineStr">
        <is>
          <t/>
        </is>
      </c>
      <c r="Q447" s="25" t="inlineStr">
        <is>
          <t>Environmental Services (B2B)</t>
        </is>
      </c>
      <c r="R447" s="26" t="inlineStr">
        <is>
          <t>Provider of a customer engagement and data analytics software for water utilities. The company offers a cloud-based software helping water utilities educate and engage their customers to save water and money.</t>
        </is>
      </c>
      <c r="S447" s="27" t="inlineStr">
        <is>
          <t>San Francisco, CA</t>
        </is>
      </c>
      <c r="T447" s="28" t="inlineStr">
        <is>
          <t>www.watersmart.com</t>
        </is>
      </c>
      <c r="U447" s="131">
        <f>HYPERLINK("https://my.pitchbook.com?c=52200-46", "View company online")</f>
      </c>
    </row>
    <row r="448">
      <c r="A448" s="30" t="inlineStr">
        <is>
          <t>121076-38</t>
        </is>
      </c>
      <c r="B448" s="31" t="inlineStr">
        <is>
          <t>WaterPods</t>
        </is>
      </c>
      <c r="C448" s="32" t="inlineStr">
        <is>
          <t/>
        </is>
      </c>
      <c r="D448" s="33" t="inlineStr">
        <is>
          <t/>
        </is>
      </c>
      <c r="E448" s="34" t="inlineStr">
        <is>
          <t/>
        </is>
      </c>
      <c r="F448" s="35" t="n">
        <v>42668.0</v>
      </c>
      <c r="G448" s="36" t="inlineStr">
        <is>
          <t>Later Stage VC</t>
        </is>
      </c>
      <c r="H448" s="37" t="inlineStr">
        <is>
          <t/>
        </is>
      </c>
      <c r="I448" s="38" t="n">
        <v>6.64</v>
      </c>
      <c r="J448" s="39" t="inlineStr">
        <is>
          <t/>
        </is>
      </c>
      <c r="K448" s="40" t="inlineStr">
        <is>
          <t>Completed</t>
        </is>
      </c>
      <c r="L448" s="41" t="inlineStr">
        <is>
          <t>Privately Held (backing)</t>
        </is>
      </c>
      <c r="M448" s="42" t="inlineStr">
        <is>
          <t>Venture Capital-Backed</t>
        </is>
      </c>
      <c r="N448" s="43" t="inlineStr">
        <is>
          <t>The company raised $6.64 million of venture funding from undisclosed investors on October 25, 2016. Previously, the company raised $750,000 of venture funding from Shalon Ventures and other undisclosed investors on February 5, 2013.</t>
        </is>
      </c>
      <c r="O448" s="44" t="inlineStr">
        <is>
          <t>Shalon Ventures</t>
        </is>
      </c>
      <c r="P448" s="45" t="inlineStr">
        <is>
          <t/>
        </is>
      </c>
      <c r="Q448" s="46" t="inlineStr">
        <is>
          <t>Water Utilities</t>
        </is>
      </c>
      <c r="R448" s="47" t="inlineStr">
        <is>
          <t>Provider of water treatment technologies. The company engages in offering waste water treatment services for residential purpose in California.</t>
        </is>
      </c>
      <c r="S448" s="48" t="inlineStr">
        <is>
          <t>Palo Alto, CA</t>
        </is>
      </c>
      <c r="T448" s="49" t="inlineStr">
        <is>
          <t/>
        </is>
      </c>
      <c r="U448" s="132">
        <f>HYPERLINK("https://my.pitchbook.com?c=121076-38", "View company online")</f>
      </c>
    </row>
    <row r="449">
      <c r="A449" s="9" t="inlineStr">
        <is>
          <t>61124-41</t>
        </is>
      </c>
      <c r="B449" s="10" t="inlineStr">
        <is>
          <t>Waterline Data</t>
        </is>
      </c>
      <c r="C449" s="11" t="inlineStr">
        <is>
          <t/>
        </is>
      </c>
      <c r="D449" s="12" t="n">
        <v>0.4740789224545333</v>
      </c>
      <c r="E449" s="13" t="n">
        <v>0.5092762253779203</v>
      </c>
      <c r="F449" s="14" t="n">
        <v>42411.0</v>
      </c>
      <c r="G449" s="15" t="inlineStr">
        <is>
          <t>Early Stage VC</t>
        </is>
      </c>
      <c r="H449" s="16" t="inlineStr">
        <is>
          <t>Series B</t>
        </is>
      </c>
      <c r="I449" s="17" t="n">
        <v>16.0</v>
      </c>
      <c r="J449" s="18" t="n">
        <v>41.85</v>
      </c>
      <c r="K449" s="19" t="inlineStr">
        <is>
          <t>Completed</t>
        </is>
      </c>
      <c r="L449" s="20" t="inlineStr">
        <is>
          <t>Privately Held (backing)</t>
        </is>
      </c>
      <c r="M449" s="21" t="inlineStr">
        <is>
          <t>Venture Capital-Backed</t>
        </is>
      </c>
      <c r="N449" s="22" t="inlineStr">
        <is>
          <t>The company raised $16 million of Series B venture funding led by Partech Ventures on February 11, 2016, putting the company's pre-money valuation at $25.85 million. Infosys, Menlo Ventures and other undisclosed investors also participated. The company will use the funding to expand sales and marketing operations and continue its R&amp;D investment.</t>
        </is>
      </c>
      <c r="O449" s="23" t="inlineStr">
        <is>
          <t>Anthony McCusker, Dipchand Nishar, Infosys, Jackson Square Ventures, James Markarian, Menlo Ventures, Partech Ventures</t>
        </is>
      </c>
      <c r="P449" s="24" t="inlineStr">
        <is>
          <t/>
        </is>
      </c>
      <c r="Q449" s="25" t="inlineStr">
        <is>
          <t>Database Software</t>
        </is>
      </c>
      <c r="R449" s="26" t="inlineStr">
        <is>
          <t>Provider of enterprise data catalog with automated machine-learning driven data discovery and classification, compliance (such as GDPR), data lifecycle management and data rationalization software. The company's enterprise software is purposed for big data as well as cloud and relational databases.</t>
        </is>
      </c>
      <c r="S449" s="27" t="inlineStr">
        <is>
          <t>Mountain View, CA</t>
        </is>
      </c>
      <c r="T449" s="28" t="inlineStr">
        <is>
          <t>www.waterlinedata.com</t>
        </is>
      </c>
      <c r="U449" s="131">
        <f>HYPERLINK("https://my.pitchbook.com?c=61124-41", "View company online")</f>
      </c>
    </row>
    <row r="450">
      <c r="A450" s="30" t="inlineStr">
        <is>
          <t>117530-38</t>
        </is>
      </c>
      <c r="B450" s="31" t="inlineStr">
        <is>
          <t>WaterCity</t>
        </is>
      </c>
      <c r="C450" s="32" t="inlineStr">
        <is>
          <t/>
        </is>
      </c>
      <c r="D450" s="33" t="n">
        <v>0.0</v>
      </c>
      <c r="E450" s="34" t="n">
        <v>0.09722858451672012</v>
      </c>
      <c r="F450" s="35" t="n">
        <v>42468.0</v>
      </c>
      <c r="G450" s="36" t="inlineStr">
        <is>
          <t>Early Stage VC</t>
        </is>
      </c>
      <c r="H450" s="37" t="inlineStr">
        <is>
          <t>Series A</t>
        </is>
      </c>
      <c r="I450" s="38" t="n">
        <v>1.0</v>
      </c>
      <c r="J450" s="39" t="n">
        <v>6.5</v>
      </c>
      <c r="K450" s="40" t="inlineStr">
        <is>
          <t>Completed</t>
        </is>
      </c>
      <c r="L450" s="41" t="inlineStr">
        <is>
          <t>Privately Held (backing)</t>
        </is>
      </c>
      <c r="M450" s="42" t="inlineStr">
        <is>
          <t>Venture Capital-Backed</t>
        </is>
      </c>
      <c r="N450" s="43" t="inlineStr">
        <is>
          <t>The company raised $1 million of series A of venture funding from undisclosed investors on April 8, 2016, putting the pre-money valuation at $5.5 million.</t>
        </is>
      </c>
      <c r="O450" s="44" t="inlineStr">
        <is>
          <t/>
        </is>
      </c>
      <c r="P450" s="45" t="inlineStr">
        <is>
          <t/>
        </is>
      </c>
      <c r="Q450" s="46" t="inlineStr">
        <is>
          <t>Other Commercial Products</t>
        </is>
      </c>
      <c r="R450" s="47" t="inlineStr">
        <is>
          <t>Provider of a laundry water recycling system. The company has developed a water recycling system designed for capturing and reusing waste water from washing machines. The system includes controls to monitor re-usage statistics and cost savings.</t>
        </is>
      </c>
      <c r="S450" s="48" t="inlineStr">
        <is>
          <t>Monterey, CA</t>
        </is>
      </c>
      <c r="T450" s="49" t="inlineStr">
        <is>
          <t>www.watercity.biz</t>
        </is>
      </c>
      <c r="U450" s="132">
        <f>HYPERLINK("https://my.pitchbook.com?c=117530-38", "View company online")</f>
      </c>
    </row>
    <row r="451">
      <c r="A451" s="9" t="inlineStr">
        <is>
          <t>166869-28</t>
        </is>
      </c>
      <c r="B451" s="10" t="inlineStr">
        <is>
          <t>Waterbit</t>
        </is>
      </c>
      <c r="C451" s="11" t="inlineStr">
        <is>
          <t/>
        </is>
      </c>
      <c r="D451" s="12" t="n">
        <v>0.062277705529877436</v>
      </c>
      <c r="E451" s="13" t="n">
        <v>0.6222752229016046</v>
      </c>
      <c r="F451" s="14" t="n">
        <v>42552.0</v>
      </c>
      <c r="G451" s="15" t="inlineStr">
        <is>
          <t>Grant</t>
        </is>
      </c>
      <c r="H451" s="16" t="inlineStr">
        <is>
          <t/>
        </is>
      </c>
      <c r="I451" s="17" t="n">
        <v>0.22</v>
      </c>
      <c r="J451" s="18" t="inlineStr">
        <is>
          <t/>
        </is>
      </c>
      <c r="K451" s="19" t="inlineStr">
        <is>
          <t>Completed</t>
        </is>
      </c>
      <c r="L451" s="20" t="inlineStr">
        <is>
          <t>Privately Held (backing)</t>
        </is>
      </c>
      <c r="M451" s="21" t="inlineStr">
        <is>
          <t>Venture Capital-Backed</t>
        </is>
      </c>
      <c r="N451" s="22" t="inlineStr">
        <is>
          <t>The company received $224,880 of grant funding from National Science Foundation on July 1, 2016.</t>
        </is>
      </c>
      <c r="O451" s="23" t="inlineStr">
        <is>
          <t>Innolinks Ventures, Lab360 Hardware Incubator, National Science Foundation, Shenzhen Valley Ventures, Water Center</t>
        </is>
      </c>
      <c r="P451" s="24" t="inlineStr">
        <is>
          <t/>
        </is>
      </c>
      <c r="Q451" s="25" t="inlineStr">
        <is>
          <t>Other Commercial Products</t>
        </is>
      </c>
      <c r="R451" s="26" t="inlineStr">
        <is>
          <t>Developer of sensor system designed crop management in precision agriculture. The company's cloud-based wireless sensors enable farmers to detect soil conditions such as moisture, temperature and aridity, thereby enabling them to avoid crop failures and improve crop yields.</t>
        </is>
      </c>
      <c r="S451" s="27" t="inlineStr">
        <is>
          <t>Santa Clara, CA</t>
        </is>
      </c>
      <c r="T451" s="28" t="inlineStr">
        <is>
          <t>www.waterbit.net</t>
        </is>
      </c>
      <c r="U451" s="131">
        <f>HYPERLINK("https://my.pitchbook.com?c=166869-28", "View company online")</f>
      </c>
    </row>
    <row r="452">
      <c r="A452" s="30" t="inlineStr">
        <is>
          <t>58947-94</t>
        </is>
      </c>
      <c r="B452" s="31" t="inlineStr">
        <is>
          <t>Water Planet</t>
        </is>
      </c>
      <c r="C452" s="32" t="n">
        <v>0.82</v>
      </c>
      <c r="D452" s="33" t="n">
        <v>0.0</v>
      </c>
      <c r="E452" s="34" t="n">
        <v>1.031358943426003</v>
      </c>
      <c r="F452" s="35" t="n">
        <v>42583.0</v>
      </c>
      <c r="G452" s="36" t="inlineStr">
        <is>
          <t>Early Stage VC</t>
        </is>
      </c>
      <c r="H452" s="37" t="inlineStr">
        <is>
          <t>Series B</t>
        </is>
      </c>
      <c r="I452" s="38" t="n">
        <v>4.18</v>
      </c>
      <c r="J452" s="39" t="n">
        <v>25.5</v>
      </c>
      <c r="K452" s="40" t="inlineStr">
        <is>
          <t>Completed</t>
        </is>
      </c>
      <c r="L452" s="41" t="inlineStr">
        <is>
          <t>Privately Held (backing)</t>
        </is>
      </c>
      <c r="M452" s="42" t="inlineStr">
        <is>
          <t>Venture Capital-Backed</t>
        </is>
      </c>
      <c r="N452" s="43" t="inlineStr">
        <is>
          <t>The company raised an additional $4.18 million of Series B venture funding from undisclosed investors on August 1, 2016, putting the pre-money valuation at $21.32 million.</t>
        </is>
      </c>
      <c r="O452" s="44" t="inlineStr">
        <is>
          <t>Air Liquide, Air Liquide Investments in the Future and Demonstration, Bluestem Capital Company, National Science Foundation, Steve Rothman, The UCLA Venture Capital Fund</t>
        </is>
      </c>
      <c r="P452" s="45" t="inlineStr">
        <is>
          <t/>
        </is>
      </c>
      <c r="Q452" s="46" t="inlineStr">
        <is>
          <t>Water Utilities</t>
        </is>
      </c>
      <c r="R452" s="47" t="inlineStr">
        <is>
          <t>Provider of water treatment products and services. The company develops and markets membrane-based wastewater treatment, water purification and filtration systems for industrial, municipal and agricultural use.</t>
        </is>
      </c>
      <c r="S452" s="48" t="inlineStr">
        <is>
          <t>Inglewood, CA</t>
        </is>
      </c>
      <c r="T452" s="49" t="inlineStr">
        <is>
          <t>www.waterplanet.com</t>
        </is>
      </c>
      <c r="U452" s="132">
        <f>HYPERLINK("https://my.pitchbook.com?c=58947-94", "View company online")</f>
      </c>
    </row>
    <row r="453">
      <c r="A453" s="9" t="inlineStr">
        <is>
          <t>117191-44</t>
        </is>
      </c>
      <c r="B453" s="10" t="inlineStr">
        <is>
          <t>Watchbox</t>
        </is>
      </c>
      <c r="C453" s="11" t="inlineStr">
        <is>
          <t/>
        </is>
      </c>
      <c r="D453" s="12" t="n">
        <v>0.07403255394439184</v>
      </c>
      <c r="E453" s="13" t="n">
        <v>0.6088426567424357</v>
      </c>
      <c r="F453" s="14" t="n">
        <v>42346.0</v>
      </c>
      <c r="G453" s="15" t="inlineStr">
        <is>
          <t>Early Stage VC</t>
        </is>
      </c>
      <c r="H453" s="16" t="inlineStr">
        <is>
          <t/>
        </is>
      </c>
      <c r="I453" s="17" t="n">
        <v>0.39</v>
      </c>
      <c r="J453" s="18" t="inlineStr">
        <is>
          <t/>
        </is>
      </c>
      <c r="K453" s="19" t="inlineStr">
        <is>
          <t>Completed</t>
        </is>
      </c>
      <c r="L453" s="20" t="inlineStr">
        <is>
          <t>Privately Held (backing)</t>
        </is>
      </c>
      <c r="M453" s="21" t="inlineStr">
        <is>
          <t>Venture Capital-Backed</t>
        </is>
      </c>
      <c r="N453" s="22" t="inlineStr">
        <is>
          <t>The company raised ISK 50 million of venture funding from Frumtak Ventures on December 8, 2015. The investment will be used to boost development of Watchbox.</t>
        </is>
      </c>
      <c r="O453" s="23" t="inlineStr">
        <is>
          <t>Frumtak Ventures, Kjartan Olafsson</t>
        </is>
      </c>
      <c r="P453" s="24" t="inlineStr">
        <is>
          <t/>
        </is>
      </c>
      <c r="Q453" s="25" t="inlineStr">
        <is>
          <t>Application Software</t>
        </is>
      </c>
      <c r="R453" s="26" t="inlineStr">
        <is>
          <t>Developer of mobile app designed to share pictures and short videos. The company's mobile app Watchbox, platform allows users to quickly create short videos and share them with private groups or with the public and users can follow others in order to be alerted to the latest posts, as well find videos with a search, enabling users and companies to improve social interaction among their staff.</t>
        </is>
      </c>
      <c r="S453" s="27" t="inlineStr">
        <is>
          <t>San Francisco, CA</t>
        </is>
      </c>
      <c r="T453" s="28" t="inlineStr">
        <is>
          <t>watchboxapp.com</t>
        </is>
      </c>
      <c r="U453" s="131">
        <f>HYPERLINK("https://my.pitchbook.com?c=117191-44", "View company online")</f>
      </c>
    </row>
    <row r="454">
      <c r="A454" s="30" t="inlineStr">
        <is>
          <t>103436-29</t>
        </is>
      </c>
      <c r="B454" s="31" t="inlineStr">
        <is>
          <t>Warwick Analytical Software</t>
        </is>
      </c>
      <c r="C454" s="32" t="inlineStr">
        <is>
          <t/>
        </is>
      </c>
      <c r="D454" s="33" t="n">
        <v>0.1855410956045269</v>
      </c>
      <c r="E454" s="34" t="n">
        <v>1.6546801038326462</v>
      </c>
      <c r="F454" s="35" t="inlineStr">
        <is>
          <t/>
        </is>
      </c>
      <c r="G454" s="36" t="inlineStr">
        <is>
          <t>Early Stage VC</t>
        </is>
      </c>
      <c r="H454" s="37" t="inlineStr">
        <is>
          <t/>
        </is>
      </c>
      <c r="I454" s="38" t="inlineStr">
        <is>
          <t/>
        </is>
      </c>
      <c r="J454" s="39" t="inlineStr">
        <is>
          <t/>
        </is>
      </c>
      <c r="K454" s="40" t="inlineStr">
        <is>
          <t>Completed</t>
        </is>
      </c>
      <c r="L454" s="41" t="inlineStr">
        <is>
          <t>Privately Held (backing)</t>
        </is>
      </c>
      <c r="M454" s="42" t="inlineStr">
        <is>
          <t>Venture Capital-Backed</t>
        </is>
      </c>
      <c r="N454" s="43" t="inlineStr">
        <is>
          <t>The company raised venture funding from Capital One Growth Labs on an undisclosed date.</t>
        </is>
      </c>
      <c r="O454" s="44" t="inlineStr">
        <is>
          <t>Boundary Capital, Capital One Growth Labs, Cisco Entrepreneurs in Residence, DEMO Traction, Individual Investor, Innovate UK, Jenson Funding Partners, Mark Hardy</t>
        </is>
      </c>
      <c r="P454" s="45" t="inlineStr">
        <is>
          <t/>
        </is>
      </c>
      <c r="Q454" s="46" t="inlineStr">
        <is>
          <t>Database Software</t>
        </is>
      </c>
      <c r="R454" s="47" t="inlineStr">
        <is>
          <t>Provider of automated predictive analytics designed to convert raw data into a structured format. The company's automated predictive analytics software, algorithms, platforms and technology lowers the cost barriers to predictive analytics and builds standard databases and storage infrastructure, enabling its customers in manufacturing, energy, marketing and financial services to predict, maintain, improve quality and throughput and predict customer behavior and risk.</t>
        </is>
      </c>
      <c r="S454" s="48" t="inlineStr">
        <is>
          <t>London, United Kingdom</t>
        </is>
      </c>
      <c r="T454" s="49" t="inlineStr">
        <is>
          <t>www.warwickanalytics.com</t>
        </is>
      </c>
      <c r="U454" s="132">
        <f>HYPERLINK("https://my.pitchbook.com?c=103436-29", "View company online")</f>
      </c>
    </row>
    <row r="455">
      <c r="A455" s="9" t="inlineStr">
        <is>
          <t>52838-11</t>
        </is>
      </c>
      <c r="B455" s="10" t="inlineStr">
        <is>
          <t>Warby Parker</t>
        </is>
      </c>
      <c r="C455" s="11" t="n">
        <v>35.0</v>
      </c>
      <c r="D455" s="12" t="n">
        <v>-0.021506300539180387</v>
      </c>
      <c r="E455" s="13" t="n">
        <v>400.9572792631562</v>
      </c>
      <c r="F455" s="14" t="n">
        <v>42124.0</v>
      </c>
      <c r="G455" s="15" t="inlineStr">
        <is>
          <t>Later Stage VC</t>
        </is>
      </c>
      <c r="H455" s="16" t="inlineStr">
        <is>
          <t>Series D</t>
        </is>
      </c>
      <c r="I455" s="17" t="n">
        <v>100.0</v>
      </c>
      <c r="J455" s="18" t="n">
        <v>1200.0</v>
      </c>
      <c r="K455" s="19" t="inlineStr">
        <is>
          <t>Completed</t>
        </is>
      </c>
      <c r="L455" s="20" t="inlineStr">
        <is>
          <t>Privately Held (backing)</t>
        </is>
      </c>
      <c r="M455" s="21" t="inlineStr">
        <is>
          <t>Venture Capital-Backed</t>
        </is>
      </c>
      <c r="N455" s="22" t="inlineStr">
        <is>
          <t>The company raised $100 million of Series D venture funding led by T. Rowe Price on April 30, 2015, putting the company's pre-money valuation at $1.1 billion. American Express Ventures, Wellington Management, M13, Tiger Global, The Hartford, Tao Capital Partners and General Catalyst also participated in the round. The company will use the funding for growth of its retail shop. Cross Culture Ventures also participated. As of February 29, 2016, the company was valued at $10.34 per share by The Hartford, representing a 10% markdown from the Series D investment. As of March 31, 2016, the company was valued at $10.22 per share by T. Rowe, representing a 11% markdown from the Series D investment.</t>
        </is>
      </c>
      <c r="O455" s="23" t="inlineStr">
        <is>
          <t>American Express Ventures, Andrew Boszhardt, Andrew Dunn, Andrew Fine, BoxGroup, Bullish, Christopher Dixon, Cross Culture Ventures, Dave Lerner, David Tisch, Davis Smith, Felicis Ventures, First Round Capital, Forerunner Ventures, General Catalyst Partners, Grace Beauty Capital, Great Oaks Venture Capital, Hartford Financial Services Group (Mutual Fund Business), Individual Investor, Interplay Ventures, Jeff Fluhr, Josh Spear, Kal Vepuri, Lerer Hippeau Ventures, M13, Menlo Ventures, MentorTech Ventures, Millard Drexler, Nils Johnson, Scott Belsky, Shervin Pishevar, Spark Capital, Suffolk Equity Partners, SV Angel, T. Rowe Price, Tao Capital Partners, Thrive Capital, Tiger Global Management, Troy Carter, Wellington Management, Wharton Venture Initiation Program, WME Venture Partners, Zig Capital</t>
        </is>
      </c>
      <c r="P455" s="24" t="inlineStr">
        <is>
          <t/>
        </is>
      </c>
      <c r="Q455" s="25" t="inlineStr">
        <is>
          <t>Accessories</t>
        </is>
      </c>
      <c r="R455" s="26" t="inlineStr">
        <is>
          <t>Provider of vintage-inspired prescription eyewear. The company designs, assembles and sells prescription eyewear, including sunglasses. The frames are made from cellulose acetate and ion-plated titanium and the polarized lenses are made from polycarbonate with anti-reflective coatings.</t>
        </is>
      </c>
      <c r="S455" s="27" t="inlineStr">
        <is>
          <t>New York, NY</t>
        </is>
      </c>
      <c r="T455" s="28" t="inlineStr">
        <is>
          <t>www.warbyparker.com</t>
        </is>
      </c>
      <c r="U455" s="131">
        <f>HYPERLINK("https://my.pitchbook.com?c=52838-11", "View company online")</f>
      </c>
    </row>
    <row r="456">
      <c r="A456" s="30" t="inlineStr">
        <is>
          <t>155187-64</t>
        </is>
      </c>
      <c r="B456" s="31" t="inlineStr">
        <is>
          <t>Wannar</t>
        </is>
      </c>
      <c r="C456" s="32" t="inlineStr">
        <is>
          <t/>
        </is>
      </c>
      <c r="D456" s="33" t="n">
        <v>0.05782419828768507</v>
      </c>
      <c r="E456" s="34" t="n">
        <v>2.3901796206144033</v>
      </c>
      <c r="F456" s="35" t="n">
        <v>42005.0</v>
      </c>
      <c r="G456" s="36" t="inlineStr">
        <is>
          <t>Angel (individual)</t>
        </is>
      </c>
      <c r="H456" s="37" t="inlineStr">
        <is>
          <t>Angel</t>
        </is>
      </c>
      <c r="I456" s="38" t="inlineStr">
        <is>
          <t/>
        </is>
      </c>
      <c r="J456" s="39" t="inlineStr">
        <is>
          <t/>
        </is>
      </c>
      <c r="K456" s="40" t="inlineStr">
        <is>
          <t>Completed</t>
        </is>
      </c>
      <c r="L456" s="41" t="inlineStr">
        <is>
          <t>Privately Held (backing)</t>
        </is>
      </c>
      <c r="M456" s="42" t="inlineStr">
        <is>
          <t>Venture Capital-Backed</t>
        </is>
      </c>
      <c r="N456" s="43" t="inlineStr">
        <is>
          <t>The company raised an undisclosed amount of angel funding from Sonhwa Capital and Hua Yan Capital in 2015. Other undisclosed investors also participated in this round.</t>
        </is>
      </c>
      <c r="O456" s="44" t="inlineStr">
        <is>
          <t>ChinaRock Capital Management, Hua Yan Capital, Sonhwa Capital</t>
        </is>
      </c>
      <c r="P456" s="45" t="inlineStr">
        <is>
          <t/>
        </is>
      </c>
      <c r="Q456" s="46" t="inlineStr">
        <is>
          <t>Media and Information Services (B2B)</t>
        </is>
      </c>
      <c r="R456" s="47" t="inlineStr">
        <is>
          <t>Provider of European and American destination travel services to Chinese people throughout the world. The company offers services including bus tour with groups, destination activities, hotels, car rental and other services.</t>
        </is>
      </c>
      <c r="S456" s="48" t="inlineStr">
        <is>
          <t>San Jose, CA</t>
        </is>
      </c>
      <c r="T456" s="49" t="inlineStr">
        <is>
          <t>www.wannar.com</t>
        </is>
      </c>
      <c r="U456" s="132">
        <f>HYPERLINK("https://my.pitchbook.com?c=155187-64", "View company online")</f>
      </c>
    </row>
    <row r="457">
      <c r="A457" s="9" t="inlineStr">
        <is>
          <t>103150-81</t>
        </is>
      </c>
      <c r="B457" s="10" t="inlineStr">
        <is>
          <t>WannaGo</t>
        </is>
      </c>
      <c r="C457" s="11" t="inlineStr">
        <is>
          <t/>
        </is>
      </c>
      <c r="D457" s="12" t="n">
        <v>0.42764034285461366</v>
      </c>
      <c r="E457" s="13" t="n">
        <v>0.5244754070841027</v>
      </c>
      <c r="F457" s="14" t="inlineStr">
        <is>
          <t/>
        </is>
      </c>
      <c r="G457" s="15" t="inlineStr">
        <is>
          <t>Accelerator/Incubator</t>
        </is>
      </c>
      <c r="H457" s="16" t="inlineStr">
        <is>
          <t/>
        </is>
      </c>
      <c r="I457" s="17" t="inlineStr">
        <is>
          <t/>
        </is>
      </c>
      <c r="J457" s="18" t="inlineStr">
        <is>
          <t/>
        </is>
      </c>
      <c r="K457" s="19" t="inlineStr">
        <is>
          <t>Completed</t>
        </is>
      </c>
      <c r="L457" s="20" t="inlineStr">
        <is>
          <t>Privately Held (backing)</t>
        </is>
      </c>
      <c r="M457" s="21" t="inlineStr">
        <is>
          <t>Venture Capital-Backed</t>
        </is>
      </c>
      <c r="N457" s="22" t="inlineStr">
        <is>
          <t>The company joined Belle de Mai and received an undisclosed amount in funding.</t>
        </is>
      </c>
      <c r="O457" s="23" t="inlineStr">
        <is>
          <t>Belle de Mai, Omninet Capital</t>
        </is>
      </c>
      <c r="P457" s="24" t="inlineStr">
        <is>
          <t/>
        </is>
      </c>
      <c r="Q457" s="25" t="inlineStr">
        <is>
          <t>Application Software</t>
        </is>
      </c>
      <c r="R457" s="26" t="inlineStr">
        <is>
          <t>Operator of a mobile lifestyle company where food lovers, fashionistas and world travelers unite. The company provides a mobile application that enables users to track their favorite places to eat, stay, shop and travel. It also allows them to share their favorite places with friends and discover new places based on the recommendations of their own personalized network.</t>
        </is>
      </c>
      <c r="S457" s="27" t="inlineStr">
        <is>
          <t>Beverly Hills, CA</t>
        </is>
      </c>
      <c r="T457" s="28" t="inlineStr">
        <is>
          <t>www.wannago.com</t>
        </is>
      </c>
      <c r="U457" s="131">
        <f>HYPERLINK("https://my.pitchbook.com?c=103150-81", "View company online")</f>
      </c>
    </row>
    <row r="458">
      <c r="A458" s="30" t="inlineStr">
        <is>
          <t>54559-99</t>
        </is>
      </c>
      <c r="B458" s="31" t="inlineStr">
        <is>
          <t>Wanelo</t>
        </is>
      </c>
      <c r="C458" s="32" t="inlineStr">
        <is>
          <t/>
        </is>
      </c>
      <c r="D458" s="33" t="n">
        <v>-0.361048250958349</v>
      </c>
      <c r="E458" s="34" t="n">
        <v>121.29014132829535</v>
      </c>
      <c r="F458" s="35" t="n">
        <v>41424.0</v>
      </c>
      <c r="G458" s="36" t="inlineStr">
        <is>
          <t>Early Stage VC</t>
        </is>
      </c>
      <c r="H458" s="37" t="inlineStr">
        <is>
          <t/>
        </is>
      </c>
      <c r="I458" s="38" t="inlineStr">
        <is>
          <t/>
        </is>
      </c>
      <c r="J458" s="39" t="inlineStr">
        <is>
          <t/>
        </is>
      </c>
      <c r="K458" s="40" t="inlineStr">
        <is>
          <t>Completed</t>
        </is>
      </c>
      <c r="L458" s="41" t="inlineStr">
        <is>
          <t>Privately Held (backing)</t>
        </is>
      </c>
      <c r="M458" s="42" t="inlineStr">
        <is>
          <t>Venture Capital-Backed</t>
        </is>
      </c>
      <c r="N458" s="43" t="inlineStr">
        <is>
          <t>The company raised an undisclosed amount of venture funding from TMT Investments, Frontier Tech Ventures and Atlas Venture on May 30, 2013. Inari Investment &amp; Consulting Co. also participated in the round. Previously, the company raised $10 million of Series A venture funding from DST Global, Matt Brezina and Stan Chudnovsky on March 15, 2013, putting the company's pre-money valuation at approximately $100 million. Timothy Ferriss and other undisclosed investors also participated in the transaction. Prior to this, the company raised $3 million of venture funding from Floodgate Fund, First Round Capital and Red Swan Ventures on June 6, 2012. Ooga Labs, Forerunner Ventures, Founders Den, Yushan Ventures and 12 other angel investors also participated in the round.</t>
        </is>
      </c>
      <c r="O458" s="44" t="inlineStr">
        <is>
          <t>Aayush Phumbhra, Andrew Dunn, Atlas Venture, Bryan Wolff, Dave Morin, Donald Hutchison, DST Global, First Round Capital, Floodgate Fund, Forerunner Ventures, Founders Den, Inari Investment &amp; Consulting Co., Individual Investor, James Altucher, James Currier, Joshua Kopelman, Kevin Colleran, Matthew Brezina, Naval Ravikant, Ooga Labs, Red Swan Ventures, Rick Marini, Roger Dickey, Rothenberg Ventures, Shan Mehta, Stan Chudnovsky, Timothy Ferriss, TMT Investments, Yushan Ventures</t>
        </is>
      </c>
      <c r="P458" s="45" t="inlineStr">
        <is>
          <t/>
        </is>
      </c>
      <c r="Q458" s="46" t="inlineStr">
        <is>
          <t>Internet Retail</t>
        </is>
      </c>
      <c r="R458" s="47" t="inlineStr">
        <is>
          <t>Provider of a curated online shopping community. The company's online shopping community helps people to shop in more unique places through a social network that would make it easy to discover stores and products from anywhere online, enabling users to purchase curated items online.</t>
        </is>
      </c>
      <c r="S458" s="48" t="inlineStr">
        <is>
          <t>San Francisco, CA</t>
        </is>
      </c>
      <c r="T458" s="49" t="inlineStr">
        <is>
          <t>www.wanelo.com</t>
        </is>
      </c>
      <c r="U458" s="132">
        <f>HYPERLINK("https://my.pitchbook.com?c=54559-99", "View company online")</f>
      </c>
    </row>
    <row r="459">
      <c r="A459" s="9" t="inlineStr">
        <is>
          <t>54460-36</t>
        </is>
      </c>
      <c r="B459" s="10" t="inlineStr">
        <is>
          <t>Wanderable</t>
        </is>
      </c>
      <c r="C459" s="11" t="inlineStr">
        <is>
          <t/>
        </is>
      </c>
      <c r="D459" s="12" t="n">
        <v>0.2911821232402238</v>
      </c>
      <c r="E459" s="13" t="n">
        <v>12.278545726482351</v>
      </c>
      <c r="F459" s="14" t="n">
        <v>41899.0</v>
      </c>
      <c r="G459" s="15" t="inlineStr">
        <is>
          <t>Convertible Debt</t>
        </is>
      </c>
      <c r="H459" s="16" t="inlineStr">
        <is>
          <t/>
        </is>
      </c>
      <c r="I459" s="17" t="n">
        <v>0.26</v>
      </c>
      <c r="J459" s="18" t="inlineStr">
        <is>
          <t/>
        </is>
      </c>
      <c r="K459" s="19" t="inlineStr">
        <is>
          <t>Completed</t>
        </is>
      </c>
      <c r="L459" s="20" t="inlineStr">
        <is>
          <t>Privately Held (backing)</t>
        </is>
      </c>
      <c r="M459" s="21" t="inlineStr">
        <is>
          <t>Venture Capital-Backed</t>
        </is>
      </c>
      <c r="N459" s="22" t="inlineStr">
        <is>
          <t>The company raised $259,000 of convertible debt financing on September 17, 2014. Previously, the company raised $250,000 of seed funding from First Floor Labs, Elliot Loh and Amos Elliston on an undisclosed date. Alan Braverman, Roger Dickey, Yee Lee and Sarah Imbach also participated in this round.</t>
        </is>
      </c>
      <c r="O459" s="23" t="inlineStr">
        <is>
          <t>500 Startups, Alan Braverman, FFL Startup Accelerator, Individual Investor, Paul Singh, Roger Dickey, Sarah Imbach, Yee Lee</t>
        </is>
      </c>
      <c r="P459" s="24" t="inlineStr">
        <is>
          <t/>
        </is>
      </c>
      <c r="Q459" s="25" t="inlineStr">
        <is>
          <t>Social/Platform Software</t>
        </is>
      </c>
      <c r="R459" s="26" t="inlineStr">
        <is>
          <t>Provider of an online honeymoon registry designed to help couples discover, plan and book their dream travel experiences. The company's platform helps in creating honeymoon-related profiles, with crowdsourcing tools to raise funds for their nuptial-related getaways and also includes a mobile application, enabling couples to share memories of their trip with their audience, as well as a mailing service to send out thank-you notes.</t>
        </is>
      </c>
      <c r="S459" s="27" t="inlineStr">
        <is>
          <t>Mountain View, CA</t>
        </is>
      </c>
      <c r="T459" s="28" t="inlineStr">
        <is>
          <t>www.wanderable.com</t>
        </is>
      </c>
      <c r="U459" s="131">
        <f>HYPERLINK("https://my.pitchbook.com?c=54460-36", "View company online")</f>
      </c>
    </row>
    <row r="460">
      <c r="A460" s="30" t="inlineStr">
        <is>
          <t>56560-69</t>
        </is>
      </c>
      <c r="B460" s="31" t="inlineStr">
        <is>
          <t>Wandera</t>
        </is>
      </c>
      <c r="C460" s="32" t="inlineStr">
        <is>
          <t/>
        </is>
      </c>
      <c r="D460" s="33" t="n">
        <v>0.8066843365581725</v>
      </c>
      <c r="E460" s="34" t="n">
        <v>14.169652116059632</v>
      </c>
      <c r="F460" s="35" t="n">
        <v>42873.0</v>
      </c>
      <c r="G460" s="36" t="inlineStr">
        <is>
          <t>Later Stage VC</t>
        </is>
      </c>
      <c r="H460" s="37" t="inlineStr">
        <is>
          <t>Series C</t>
        </is>
      </c>
      <c r="I460" s="38" t="n">
        <v>27.5</v>
      </c>
      <c r="J460" s="39" t="inlineStr">
        <is>
          <t/>
        </is>
      </c>
      <c r="K460" s="40" t="inlineStr">
        <is>
          <t>Completed</t>
        </is>
      </c>
      <c r="L460" s="41" t="inlineStr">
        <is>
          <t>Privately Held (backing)</t>
        </is>
      </c>
      <c r="M460" s="42" t="inlineStr">
        <is>
          <t>Venture Capital-Backed</t>
        </is>
      </c>
      <c r="N460" s="43" t="inlineStr">
        <is>
          <t>The company raised $27.5 million of Series C venture funding through a combination of venture debt and equity in a round led by Sapphire Ventures on May 18, 2017. Bessemer Venture Partners, AccelerAsia and 83North also participated in this round. The company plans to use the new funding, which brings the total funding to $50 million, to expand its global footprint, invest in R&amp;D and data science operations in London and Israel and further develop its gateway technologies, in particular its intelligence engine, MIRIAM, designed to identify zero day threats and surface new analytic insights using a sophisticated blend of machine learning and data science techniques.</t>
        </is>
      </c>
      <c r="O460" s="44" t="inlineStr">
        <is>
          <t>83North, AccelerAsia, Bessemer Venture Partners, Episode 1 Ventures, Individual Investor, Klaus Hommels, LocalGlobe, Sapphire Ventures</t>
        </is>
      </c>
      <c r="P460" s="45" t="inlineStr">
        <is>
          <t/>
        </is>
      </c>
      <c r="Q460" s="46" t="inlineStr">
        <is>
          <t>Network Management Software</t>
        </is>
      </c>
      <c r="R460" s="47" t="inlineStr">
        <is>
          <t>Provider of enterprise mobile security and data management platform intended to offer protection against threats and manage data usage. The company's enterprise mobile security and data management platform protects data by preventing targeted mobile attacks, identifying data leaks and filtering access to risky or unapproved content as well as minimizes data costs and boost productivity, taking advantage of intelligent usage controls, insightful real-time analytics and powerful data compression, providing users with enterprise-grade threat defense against mobile security risks, and keeping devices secure across all four levels of protection.</t>
        </is>
      </c>
      <c r="S460" s="48" t="inlineStr">
        <is>
          <t>London, United Kingdom</t>
        </is>
      </c>
      <c r="T460" s="49" t="inlineStr">
        <is>
          <t>www.wandera.com</t>
        </is>
      </c>
      <c r="U460" s="132">
        <f>HYPERLINK("https://my.pitchbook.com?c=56560-69", "View company online")</f>
      </c>
    </row>
    <row r="461">
      <c r="A461" s="9" t="inlineStr">
        <is>
          <t>120247-84</t>
        </is>
      </c>
      <c r="B461" s="10" t="inlineStr">
        <is>
          <t>Wanda</t>
        </is>
      </c>
      <c r="C461" s="11" t="n">
        <v>0.8</v>
      </c>
      <c r="D461" s="12" t="n">
        <v>-0.0163450193998916</v>
      </c>
      <c r="E461" s="13" t="n">
        <v>0.2098466979454452</v>
      </c>
      <c r="F461" s="14" t="inlineStr">
        <is>
          <t/>
        </is>
      </c>
      <c r="G461" s="15" t="inlineStr">
        <is>
          <t>Later Stage VC</t>
        </is>
      </c>
      <c r="H461" s="16" t="inlineStr">
        <is>
          <t>Series A</t>
        </is>
      </c>
      <c r="I461" s="17" t="inlineStr">
        <is>
          <t/>
        </is>
      </c>
      <c r="J461" s="18" t="inlineStr">
        <is>
          <t/>
        </is>
      </c>
      <c r="K461" s="19" t="inlineStr">
        <is>
          <t>Upcoming</t>
        </is>
      </c>
      <c r="L461" s="20" t="inlineStr">
        <is>
          <t>Privately Held (backing)</t>
        </is>
      </c>
      <c r="M461" s="21" t="inlineStr">
        <is>
          <t>Venture Capital-Backed</t>
        </is>
      </c>
      <c r="N461" s="22" t="inlineStr">
        <is>
          <t>The company is planning to raise an undisclosed amount of Series A venture funding as of May 25, 2017. NetScientific expects to invest a further GBP 1.5 million. Earlier, the company was acquired by NetScientific through a GBP 10 million LBO on an undisclosed date. The company is being actively tracked by PitchBook.</t>
        </is>
      </c>
      <c r="O461" s="23" t="inlineStr">
        <is>
          <t>NetScientific</t>
        </is>
      </c>
      <c r="P461" s="24" t="inlineStr">
        <is>
          <t/>
        </is>
      </c>
      <c r="Q461" s="25" t="inlineStr">
        <is>
          <t>Application Software</t>
        </is>
      </c>
      <c r="R461" s="26" t="inlineStr">
        <is>
          <t>Provider of a healthcare management platform designed to monitor and manage data for primary care patients with chronic diseases. The company's healthcare platform channels data from patients' home to the analytics module and offers life personalized medicine combined with secure computing, revolutionary data-mining and analytics, enabling clinicians to take action before any adverse event, potentially reducing hospitalization rates.</t>
        </is>
      </c>
      <c r="S461" s="27" t="inlineStr">
        <is>
          <t>San Francisco, CA</t>
        </is>
      </c>
      <c r="T461" s="28" t="inlineStr">
        <is>
          <t>yourwanda.com</t>
        </is>
      </c>
      <c r="U461" s="131">
        <f>HYPERLINK("https://my.pitchbook.com?c=120247-84", "View company online")</f>
      </c>
    </row>
    <row r="462">
      <c r="A462" s="30" t="inlineStr">
        <is>
          <t>128382-31</t>
        </is>
      </c>
      <c r="B462" s="31" t="inlineStr">
        <is>
          <t>Waltz Networks</t>
        </is>
      </c>
      <c r="C462" s="32" t="inlineStr">
        <is>
          <t/>
        </is>
      </c>
      <c r="D462" s="33" t="n">
        <v>0.0</v>
      </c>
      <c r="E462" s="34" t="n">
        <v>0.6080921984201276</v>
      </c>
      <c r="F462" s="35" t="n">
        <v>42808.0</v>
      </c>
      <c r="G462" s="36" t="inlineStr">
        <is>
          <t>Accelerator/Incubator</t>
        </is>
      </c>
      <c r="H462" s="37" t="inlineStr">
        <is>
          <t/>
        </is>
      </c>
      <c r="I462" s="38" t="inlineStr">
        <is>
          <t/>
        </is>
      </c>
      <c r="J462" s="39" t="inlineStr">
        <is>
          <t/>
        </is>
      </c>
      <c r="K462" s="40" t="inlineStr">
        <is>
          <t>Completed</t>
        </is>
      </c>
      <c r="L462" s="41" t="inlineStr">
        <is>
          <t>Privately Held (backing)</t>
        </is>
      </c>
      <c r="M462" s="42" t="inlineStr">
        <is>
          <t>Venture Capital-Backed</t>
        </is>
      </c>
      <c r="N462" s="43" t="inlineStr">
        <is>
          <t>The company joined Microsoft Accelerator as a part of its Batch 5 on March 14, 2017. Previously, the company received $1.4 million of grant funding from National Science Foundation on April 19, 2016. The capital will be used to expand hiring and product development efforts.</t>
        </is>
      </c>
      <c r="O462" s="44" t="inlineStr">
        <is>
          <t>Canyon Creek Capital, Forest Baskett, Microsoft Accelerator, National Science Foundation, New Enterprise Associates, Ron Bernal, Specialized Types</t>
        </is>
      </c>
      <c r="P462" s="45" t="inlineStr">
        <is>
          <t/>
        </is>
      </c>
      <c r="Q462" s="46" t="inlineStr">
        <is>
          <t>Automation/Workflow Software</t>
        </is>
      </c>
      <c r="R462" s="47" t="inlineStr">
        <is>
          <t>Developer of a cloud based online performance traffic management platform designed to help engineers to automate network management. The company's cloud based online performance traffic management platform provides tool which engineers use virtually to test their networks and can deploy to production a self-optimizing traffic engineering algorithm to automate network management, enabling them to control network.</t>
        </is>
      </c>
      <c r="S462" s="48" t="inlineStr">
        <is>
          <t>San Francisco, CA</t>
        </is>
      </c>
      <c r="T462" s="49" t="inlineStr">
        <is>
          <t>www.waltznetworks.com</t>
        </is>
      </c>
      <c r="U462" s="132">
        <f>HYPERLINK("https://my.pitchbook.com?c=128382-31", "View company online")</f>
      </c>
    </row>
    <row r="463">
      <c r="A463" s="9" t="inlineStr">
        <is>
          <t>53990-56</t>
        </is>
      </c>
      <c r="B463" s="10" t="inlineStr">
        <is>
          <t>Wallit</t>
        </is>
      </c>
      <c r="C463" s="11" t="inlineStr">
        <is>
          <t/>
        </is>
      </c>
      <c r="D463" s="12" t="n">
        <v>-0.013744502378876203</v>
      </c>
      <c r="E463" s="13" t="n">
        <v>1.7287987166026961</v>
      </c>
      <c r="F463" s="14" t="n">
        <v>41746.0</v>
      </c>
      <c r="G463" s="15" t="inlineStr">
        <is>
          <t>Seed Round</t>
        </is>
      </c>
      <c r="H463" s="16" t="inlineStr">
        <is>
          <t>Seed</t>
        </is>
      </c>
      <c r="I463" s="17" t="n">
        <v>1.2</v>
      </c>
      <c r="J463" s="18" t="inlineStr">
        <is>
          <t/>
        </is>
      </c>
      <c r="K463" s="19" t="inlineStr">
        <is>
          <t>Completed</t>
        </is>
      </c>
      <c r="L463" s="20" t="inlineStr">
        <is>
          <t>Privately Held (backing)</t>
        </is>
      </c>
      <c r="M463" s="21" t="inlineStr">
        <is>
          <t>Venture Capital-Backed</t>
        </is>
      </c>
      <c r="N463" s="22" t="inlineStr">
        <is>
          <t>The company raised $1.2 million of seed funding from Masao Tejima, Sharmila Mulligan, David Kellogg, Daniel Terry, Storm Ventures, Tenex Capital Fund, DBO Capital and the Orrick Venture Fund on April 17, 2014.</t>
        </is>
      </c>
      <c r="O463" s="23" t="inlineStr">
        <is>
          <t>DBO Capital, Masao Tejima, Orrick Herrington &amp; Sutcliffe, Storm Ventures, Tenex Investment</t>
        </is>
      </c>
      <c r="P463" s="24" t="inlineStr">
        <is>
          <t/>
        </is>
      </c>
      <c r="Q463" s="25" t="inlineStr">
        <is>
          <t>Social Content</t>
        </is>
      </c>
      <c r="R463" s="26" t="inlineStr">
        <is>
          <t>Provider of platform for people to create multi-media messages on virtual walls located around the world. The company's virtual walls provide a canvas for people to discover and share sentiments.</t>
        </is>
      </c>
      <c r="S463" s="27" t="inlineStr">
        <is>
          <t>Berkeley, CA</t>
        </is>
      </c>
      <c r="T463" s="28" t="inlineStr">
        <is>
          <t>www.wallitapp.com</t>
        </is>
      </c>
      <c r="U463" s="131">
        <f>HYPERLINK("https://my.pitchbook.com?c=53990-56", "View company online")</f>
      </c>
    </row>
    <row r="464">
      <c r="A464" s="30" t="inlineStr">
        <is>
          <t>108537-40</t>
        </is>
      </c>
      <c r="B464" s="31" t="inlineStr">
        <is>
          <t>Wallfeed</t>
        </is>
      </c>
      <c r="C464" s="32" t="inlineStr">
        <is>
          <t/>
        </is>
      </c>
      <c r="D464" s="33" t="n">
        <v>0.011412688373809873</v>
      </c>
      <c r="E464" s="34" t="n">
        <v>0.33677755553216127</v>
      </c>
      <c r="F464" s="35" t="n">
        <v>42050.0</v>
      </c>
      <c r="G464" s="36" t="inlineStr">
        <is>
          <t>Accelerator/Incubator</t>
        </is>
      </c>
      <c r="H464" s="37" t="inlineStr">
        <is>
          <t/>
        </is>
      </c>
      <c r="I464" s="38" t="n">
        <v>0.01</v>
      </c>
      <c r="J464" s="39" t="inlineStr">
        <is>
          <t/>
        </is>
      </c>
      <c r="K464" s="40" t="inlineStr">
        <is>
          <t>Completed</t>
        </is>
      </c>
      <c r="L464" s="41" t="inlineStr">
        <is>
          <t>Privately Held (backing)</t>
        </is>
      </c>
      <c r="M464" s="42" t="inlineStr">
        <is>
          <t>Venture Capital-Backed</t>
        </is>
      </c>
      <c r="N464" s="43" t="inlineStr">
        <is>
          <t>The company joined CreatiFI as part of the Open Call 1 class and received EUR 10,000 in funding. Innovative Capital Ventures also participated in this round.</t>
        </is>
      </c>
      <c r="O464" s="44" t="inlineStr">
        <is>
          <t>Carib Ventures, CreatiFI, EchoVC Partners, Innovative Capital Ventures</t>
        </is>
      </c>
      <c r="P464" s="45" t="inlineStr">
        <is>
          <t/>
        </is>
      </c>
      <c r="Q464" s="46" t="inlineStr">
        <is>
          <t>Multimedia and Design Software</t>
        </is>
      </c>
      <c r="R464" s="47" t="inlineStr">
        <is>
          <t>Developer of launcher applications designed to create wallpapers, templates and user interfaces. The company's suite of cloud-based services allows users, artists, brands and content-creators/publishers to design, style, test and distribute Wallfeed (Dynamic Live Wallpapers), Fones (User Interfaces) and Applications (Mobile Applications) for mobile devices and tablets using a visual interface.</t>
        </is>
      </c>
      <c r="S464" s="48" t="inlineStr">
        <is>
          <t>Rancho Santa Fe, CA</t>
        </is>
      </c>
      <c r="T464" s="49" t="inlineStr">
        <is>
          <t>www.wallfeed.com</t>
        </is>
      </c>
      <c r="U464" s="132">
        <f>HYPERLINK("https://my.pitchbook.com?c=108537-40", "View company online")</f>
      </c>
    </row>
    <row r="465">
      <c r="A465" s="9" t="inlineStr">
        <is>
          <t>61007-77</t>
        </is>
      </c>
      <c r="B465" s="10" t="inlineStr">
        <is>
          <t>WalletKit</t>
        </is>
      </c>
      <c r="C465" s="11" t="inlineStr">
        <is>
          <t/>
        </is>
      </c>
      <c r="D465" s="12" t="n">
        <v>0.021250409833317413</v>
      </c>
      <c r="E465" s="13" t="n">
        <v>1.0527116178184712</v>
      </c>
      <c r="F465" s="14" t="n">
        <v>41214.0</v>
      </c>
      <c r="G465" s="15" t="inlineStr">
        <is>
          <t>Seed Round</t>
        </is>
      </c>
      <c r="H465" s="16" t="inlineStr">
        <is>
          <t>Seed</t>
        </is>
      </c>
      <c r="I465" s="17" t="inlineStr">
        <is>
          <t/>
        </is>
      </c>
      <c r="J465" s="18" t="inlineStr">
        <is>
          <t/>
        </is>
      </c>
      <c r="K465" s="19" t="inlineStr">
        <is>
          <t>Completed</t>
        </is>
      </c>
      <c r="L465" s="20" t="inlineStr">
        <is>
          <t>Privately Held (backing)</t>
        </is>
      </c>
      <c r="M465" s="21" t="inlineStr">
        <is>
          <t>Venture Capital-Backed</t>
        </is>
      </c>
      <c r="N465" s="22" t="inlineStr">
        <is>
          <t>The company raised an undisclosed amount of seed funding from 500 Startups, Geekaccelerator and Paul Singh in November 2012. LetsVenture Online, Vlad Stan, Catalina Rusu and Pankaj Jain also participated in this round.</t>
        </is>
      </c>
      <c r="O465" s="23" t="inlineStr">
        <is>
          <t>500 Startups, Geekcelerator, LetsVenture Online, Pankaj Jain, Paul Singh</t>
        </is>
      </c>
      <c r="P465" s="24" t="inlineStr">
        <is>
          <t/>
        </is>
      </c>
      <c r="Q465" s="25" t="inlineStr">
        <is>
          <t>Application Software</t>
        </is>
      </c>
      <c r="R465" s="26" t="inlineStr">
        <is>
          <t>Provider of a platform to create,manage and deliver digital passes to mobile wallets. The company also offers tools for businesses to track results and visualize user engagement with passes.</t>
        </is>
      </c>
      <c r="S465" s="27" t="inlineStr">
        <is>
          <t>Mountain View, CA</t>
        </is>
      </c>
      <c r="T465" s="28" t="inlineStr">
        <is>
          <t>www.walletkit.com</t>
        </is>
      </c>
      <c r="U465" s="131">
        <f>HYPERLINK("https://my.pitchbook.com?c=61007-77", "View company online")</f>
      </c>
    </row>
    <row r="466">
      <c r="A466" s="30" t="inlineStr">
        <is>
          <t>60207-67</t>
        </is>
      </c>
      <c r="B466" s="31" t="inlineStr">
        <is>
          <t>Wallarm</t>
        </is>
      </c>
      <c r="C466" s="32" t="inlineStr">
        <is>
          <t/>
        </is>
      </c>
      <c r="D466" s="33" t="n">
        <v>0.694482332002914</v>
      </c>
      <c r="E466" s="34" t="n">
        <v>0.8632674705445523</v>
      </c>
      <c r="F466" s="35" t="n">
        <v>42716.0</v>
      </c>
      <c r="G466" s="36" t="inlineStr">
        <is>
          <t>Early Stage VC</t>
        </is>
      </c>
      <c r="H466" s="37" t="inlineStr">
        <is>
          <t/>
        </is>
      </c>
      <c r="I466" s="38" t="n">
        <v>2.3</v>
      </c>
      <c r="J466" s="39" t="inlineStr">
        <is>
          <t/>
        </is>
      </c>
      <c r="K466" s="40" t="inlineStr">
        <is>
          <t>Completed</t>
        </is>
      </c>
      <c r="L466" s="41" t="inlineStr">
        <is>
          <t>Privately Held (backing)</t>
        </is>
      </c>
      <c r="M466" s="42" t="inlineStr">
        <is>
          <t>Venture Capital-Backed</t>
        </is>
      </c>
      <c r="N466" s="43" t="inlineStr">
        <is>
          <t>The company raised $2.3 million of venture funding from Altair, Partech Ventures, Gagarin Capital Partners and Y Combinator on December 12, 2016. Other undisclosed investors also participated in the round. In August, the company joined Y Combinator as a part of Summer 2016 class and received $120,000 in funding.</t>
        </is>
      </c>
      <c r="O466" s="44" t="inlineStr">
        <is>
          <t>Altair Capital, Amino Capital, Gagarin Capital Partners, Partech Ventures, Runa Capital, Skolkovo Foundation, Y Combinator</t>
        </is>
      </c>
      <c r="P466" s="45" t="inlineStr">
        <is>
          <t/>
        </is>
      </c>
      <c r="Q466" s="46" t="inlineStr">
        <is>
          <t>Network Management Software</t>
        </is>
      </c>
      <c r="R466" s="47" t="inlineStr">
        <is>
          <t>Provider of security services to protect online businesses from hacking attempts. The company offers a platform for blocking attacks and detecting vulnerabilities for the modern Web applications and application program interfaces (APIs). It uses machine learning to identify malicious requests received by Web applications.</t>
        </is>
      </c>
      <c r="S466" s="48" t="inlineStr">
        <is>
          <t>Menlo Park, CA</t>
        </is>
      </c>
      <c r="T466" s="49" t="inlineStr">
        <is>
          <t>www.wallarm.com</t>
        </is>
      </c>
      <c r="U466" s="132">
        <f>HYPERLINK("https://my.pitchbook.com?c=60207-67", "View company online")</f>
      </c>
    </row>
    <row r="467">
      <c r="A467" s="9" t="inlineStr">
        <is>
          <t>149120-56</t>
        </is>
      </c>
      <c r="B467" s="10" t="inlineStr">
        <is>
          <t>Wall Tiger Entertainment</t>
        </is>
      </c>
      <c r="C467" s="11" t="inlineStr">
        <is>
          <t/>
        </is>
      </c>
      <c r="D467" s="12" t="inlineStr">
        <is>
          <t/>
        </is>
      </c>
      <c r="E467" s="13" t="inlineStr">
        <is>
          <t/>
        </is>
      </c>
      <c r="F467" s="14" t="n">
        <v>42217.0</v>
      </c>
      <c r="G467" s="15" t="inlineStr">
        <is>
          <t>Seed Round</t>
        </is>
      </c>
      <c r="H467" s="16" t="inlineStr">
        <is>
          <t>Seed</t>
        </is>
      </c>
      <c r="I467" s="17" t="inlineStr">
        <is>
          <t/>
        </is>
      </c>
      <c r="J467" s="18" t="inlineStr">
        <is>
          <t/>
        </is>
      </c>
      <c r="K467" s="19" t="inlineStr">
        <is>
          <t>Completed</t>
        </is>
      </c>
      <c r="L467" s="20" t="inlineStr">
        <is>
          <t>Privately Held (backing)</t>
        </is>
      </c>
      <c r="M467" s="21" t="inlineStr">
        <is>
          <t>Venture Capital-Backed</t>
        </is>
      </c>
      <c r="N467" s="22" t="inlineStr">
        <is>
          <t>The company raised an undisclosed amount of seed funding from F50 in August 2015.</t>
        </is>
      </c>
      <c r="O467" s="23" t="inlineStr">
        <is>
          <t>F50</t>
        </is>
      </c>
      <c r="P467" s="24" t="inlineStr">
        <is>
          <t/>
        </is>
      </c>
      <c r="Q467" s="25" t="inlineStr">
        <is>
          <t>Multimedia and Design Software</t>
        </is>
      </c>
      <c r="R467" s="26" t="inlineStr">
        <is>
          <t>Operator of a multi-media studio. The company's multi-media studio focuses on designing and creating 2D hand-drawn animated videos.</t>
        </is>
      </c>
      <c r="S467" s="27" t="inlineStr">
        <is>
          <t>Pasadena, CA</t>
        </is>
      </c>
      <c r="T467" s="28" t="inlineStr">
        <is>
          <t/>
        </is>
      </c>
      <c r="U467" s="131">
        <f>HYPERLINK("https://my.pitchbook.com?c=149120-56", "View company online")</f>
      </c>
    </row>
    <row r="468">
      <c r="A468" s="30" t="inlineStr">
        <is>
          <t>54237-61</t>
        </is>
      </c>
      <c r="B468" s="31" t="inlineStr">
        <is>
          <t>WalkMe</t>
        </is>
      </c>
      <c r="C468" s="32" t="inlineStr">
        <is>
          <t/>
        </is>
      </c>
      <c r="D468" s="33" t="n">
        <v>0.9384733539802194</v>
      </c>
      <c r="E468" s="34" t="n">
        <v>47.146294797271224</v>
      </c>
      <c r="F468" s="35" t="n">
        <v>42523.0</v>
      </c>
      <c r="G468" s="36" t="inlineStr">
        <is>
          <t>Later Stage VC</t>
        </is>
      </c>
      <c r="H468" s="37" t="inlineStr">
        <is>
          <t>Series E</t>
        </is>
      </c>
      <c r="I468" s="38" t="n">
        <v>50.0</v>
      </c>
      <c r="J468" s="39" t="n">
        <v>400.0</v>
      </c>
      <c r="K468" s="40" t="inlineStr">
        <is>
          <t>Completed</t>
        </is>
      </c>
      <c r="L468" s="41" t="inlineStr">
        <is>
          <t>Privately Held (backing)</t>
        </is>
      </c>
      <c r="M468" s="42" t="inlineStr">
        <is>
          <t>Venture Capital-Backed</t>
        </is>
      </c>
      <c r="N468" s="43" t="inlineStr">
        <is>
          <t>The company raised $50 million of Series E venture funding from lead investor Insight Venture Partners on June 02, 2016, putting pre money valuation $350 million. Scale Venture Partners, Giza Venture Capital, Greenspring Associates, Gemini Israel Ventures, and Mangrove Capital Partners also participated. Previously, the company raised $25 million of Series D venture funding led by Greenspring Associates on June 10, 2015. Flint Capital, Gemini Israel Ventures, Giza Venture Capital and Scale Venture Partners also participated in the round.</t>
        </is>
      </c>
      <c r="O468" s="44" t="inlineStr">
        <is>
          <t>Flint Capital, Gemini Israel Ventures, Giza Venture Capital, Greenspring Associates, Insight Venture Partners, Mangrove Capital Partners, Scale Venture Partners</t>
        </is>
      </c>
      <c r="P468" s="45" t="inlineStr">
        <is>
          <t/>
        </is>
      </c>
      <c r="Q468" s="46" t="inlineStr">
        <is>
          <t>Social/Platform Software</t>
        </is>
      </c>
      <c r="R468" s="47" t="inlineStr">
        <is>
          <t>Developer of an interactive online guidance and engagement platform. The company provides a cloud-based service designed to help sales and user-experience professionals guide and engage prospects, customers, employees and partners through any online experience.</t>
        </is>
      </c>
      <c r="S468" s="48" t="inlineStr">
        <is>
          <t>San Francisco, CA</t>
        </is>
      </c>
      <c r="T468" s="49" t="inlineStr">
        <is>
          <t>www.walkme.com</t>
        </is>
      </c>
      <c r="U468" s="132">
        <f>HYPERLINK("https://my.pitchbook.com?c=54237-61", "View company online")</f>
      </c>
    </row>
    <row r="469">
      <c r="A469" s="9" t="inlineStr">
        <is>
          <t>61079-41</t>
        </is>
      </c>
      <c r="B469" s="10" t="inlineStr">
        <is>
          <t>Walker &amp; Company</t>
        </is>
      </c>
      <c r="C469" s="11" t="inlineStr">
        <is>
          <t/>
        </is>
      </c>
      <c r="D469" s="12" t="n">
        <v>-0.37409102213198137</v>
      </c>
      <c r="E469" s="13" t="n">
        <v>6.964810639147411</v>
      </c>
      <c r="F469" s="14" t="n">
        <v>42275.0</v>
      </c>
      <c r="G469" s="15" t="inlineStr">
        <is>
          <t>Early Stage VC</t>
        </is>
      </c>
      <c r="H469" s="16" t="inlineStr">
        <is>
          <t>Series B</t>
        </is>
      </c>
      <c r="I469" s="17" t="n">
        <v>24.0</v>
      </c>
      <c r="J469" s="18" t="n">
        <v>66.61</v>
      </c>
      <c r="K469" s="19" t="inlineStr">
        <is>
          <t>Completed</t>
        </is>
      </c>
      <c r="L469" s="20" t="inlineStr">
        <is>
          <t>Privately Held (backing)</t>
        </is>
      </c>
      <c r="M469" s="21" t="inlineStr">
        <is>
          <t>Venture Capital-Backed</t>
        </is>
      </c>
      <c r="N469" s="22" t="inlineStr">
        <is>
          <t>The company raised $24 million of Series B venture funding in a deal led by IVP on September 28, 2015, putting the company's pre-money valuation at $42.61 million. Andreessen Horowitz, Upfront Ventures, Daher Capital, Collaborative Fund, Google Ventures, Felicis Ventures and Melo7 Tech Partners and 13 Angel Investors also participated in the round. The funding will be used to accelerate development of new products, establish new distribution channels and to reinvest in team growth.</t>
        </is>
      </c>
      <c r="O469" s="23" t="inlineStr">
        <is>
          <t>500 Startups, Aaron Batalion, Andre Iguodala, Andreessen Horowitz, Anre Williams, Anthony Saleh, Charles King, Collaborative Fund, Daher Capital, Earvin Johnson, Felicis Ventures, Floodgate Fund, GV, Harrison Barnes, IVP, Jed York, John Legend, John Maeda, Johnson + Partners, King Bach, Lee Linden, Melo7 Tech Partners, Nasir Jones, Paraag Marathe, Paula Williams, Ron Johnson, Ryan Leslie, Sherpa Capital, SV Angel, Upfront Ventures, William Morris Endeavor Entertainment</t>
        </is>
      </c>
      <c r="P469" s="24" t="inlineStr">
        <is>
          <t/>
        </is>
      </c>
      <c r="Q469" s="25" t="inlineStr">
        <is>
          <t>Personal Products</t>
        </is>
      </c>
      <c r="R469" s="26" t="inlineStr">
        <is>
          <t>Manufacturer of personal care and beauty products created to reinvent the way consumers purchase and enjoys health and beauty products. The company's personal care and beauty product line include shaving kits, including razor, shaving brush, blades, priming oil and shaving cream, enabling consumers to improve their experience of personal care products.</t>
        </is>
      </c>
      <c r="S469" s="27" t="inlineStr">
        <is>
          <t>Palo Alto, CA</t>
        </is>
      </c>
      <c r="T469" s="28" t="inlineStr">
        <is>
          <t>www.walkerandcompany.com</t>
        </is>
      </c>
      <c r="U469" s="131">
        <f>HYPERLINK("https://my.pitchbook.com?c=61079-41", "View company online")</f>
      </c>
    </row>
    <row r="470">
      <c r="A470" s="30" t="inlineStr">
        <is>
          <t>58253-41</t>
        </is>
      </c>
      <c r="B470" s="31" t="inlineStr">
        <is>
          <t>Wakie</t>
        </is>
      </c>
      <c r="C470" s="32" t="inlineStr">
        <is>
          <t/>
        </is>
      </c>
      <c r="D470" s="33" t="n">
        <v>-0.016687193103601814</v>
      </c>
      <c r="E470" s="34" t="n">
        <v>7.492616766677194</v>
      </c>
      <c r="F470" s="35" t="n">
        <v>42475.0</v>
      </c>
      <c r="G470" s="36" t="inlineStr">
        <is>
          <t>Seed Round</t>
        </is>
      </c>
      <c r="H470" s="37" t="inlineStr">
        <is>
          <t>Seed</t>
        </is>
      </c>
      <c r="I470" s="38" t="n">
        <v>1.0</v>
      </c>
      <c r="J470" s="39" t="inlineStr">
        <is>
          <t/>
        </is>
      </c>
      <c r="K470" s="40" t="inlineStr">
        <is>
          <t>Completed</t>
        </is>
      </c>
      <c r="L470" s="41" t="inlineStr">
        <is>
          <t>Privately Held (backing)</t>
        </is>
      </c>
      <c r="M470" s="42" t="inlineStr">
        <is>
          <t>Venture Capital-Backed</t>
        </is>
      </c>
      <c r="N470" s="43" t="inlineStr">
        <is>
          <t>The company raised $1 million of seed funding from Y Combinator, Alphabet and Leta Capital on April 15, 2016. Foundation Capital, Hive Ventures and other undisclosed investors also participated in this round.</t>
        </is>
      </c>
      <c r="O470" s="44" t="inlineStr">
        <is>
          <t>Alphabet, Foundation Capital, Hive Ventures, Leta Capital, Titanium Investments, Y Combinator, Yuri Milner</t>
        </is>
      </c>
      <c r="P470" s="45" t="inlineStr">
        <is>
          <t/>
        </is>
      </c>
      <c r="Q470" s="46" t="inlineStr">
        <is>
          <t>Application Software</t>
        </is>
      </c>
      <c r="R470" s="47" t="inlineStr">
        <is>
          <t>Developer of a social alarm clock application designed to share advice and experience. The company's application uses audio and video messages, music or gaming, and get friends and even strangers to give a wake-up call. It also fosters a community where users connect via phone call to another user and discuss about any topic they have experienced, only for a maximum of five minutes, enabling users to avoid their mundane alarm clock in their phone.</t>
        </is>
      </c>
      <c r="S470" s="48" t="inlineStr">
        <is>
          <t>Moscow City, Russia</t>
        </is>
      </c>
      <c r="T470" s="49" t="inlineStr">
        <is>
          <t>www.wakie.com</t>
        </is>
      </c>
      <c r="U470" s="132">
        <f>HYPERLINK("https://my.pitchbook.com?c=58253-41", "View company online")</f>
      </c>
    </row>
    <row r="471">
      <c r="A471" s="9" t="inlineStr">
        <is>
          <t>102670-66</t>
        </is>
      </c>
      <c r="B471" s="10" t="inlineStr">
        <is>
          <t>Wake</t>
        </is>
      </c>
      <c r="C471" s="11" t="inlineStr">
        <is>
          <t/>
        </is>
      </c>
      <c r="D471" s="12" t="n">
        <v>0.3502962059812907</v>
      </c>
      <c r="E471" s="13" t="n">
        <v>5.556623504228515</v>
      </c>
      <c r="F471" s="14" t="n">
        <v>42368.0</v>
      </c>
      <c r="G471" s="15" t="inlineStr">
        <is>
          <t>Early Stage VC</t>
        </is>
      </c>
      <c r="H471" s="16" t="inlineStr">
        <is>
          <t/>
        </is>
      </c>
      <c r="I471" s="17" t="n">
        <v>2.0</v>
      </c>
      <c r="J471" s="18" t="inlineStr">
        <is>
          <t/>
        </is>
      </c>
      <c r="K471" s="19" t="inlineStr">
        <is>
          <t>Completed</t>
        </is>
      </c>
      <c r="L471" s="20" t="inlineStr">
        <is>
          <t>Privately Held (backing)</t>
        </is>
      </c>
      <c r="M471" s="21" t="inlineStr">
        <is>
          <t>Venture Capital-Backed</t>
        </is>
      </c>
      <c r="N471" s="22" t="inlineStr">
        <is>
          <t>The company raised $2 million of venture funding from Alliance Venture, First Round Capital and Slow Ventures on December 30, 2015. Designer Fund and 6 angel individuals also participated in this round.</t>
        </is>
      </c>
      <c r="O471" s="23" t="inlineStr">
        <is>
          <t>Alliance Venture, Brandon Brock, Brendan Holsberry, Designer Fund, First Round Capital, Jake Lodwick, Jared Morgenstern, Naomi Gleit, Slow Ventures, Tikhon Bernstam</t>
        </is>
      </c>
      <c r="P471" s="24" t="inlineStr">
        <is>
          <t/>
        </is>
      </c>
      <c r="Q471" s="25" t="inlineStr">
        <is>
          <t>Social/Platform Software</t>
        </is>
      </c>
      <c r="R471" s="26" t="inlineStr">
        <is>
          <t>Provider of a web-based platform designed to share work within a team. The company provides a web-based platform and a mobile application that allows sharing animations and videos of prototypes, capture ideas from notebook and whiteboard with the mobile application and check how ideas evolve into finished product enabling designers to communicate with their team and receive feedback on their design, work and products.</t>
        </is>
      </c>
      <c r="S471" s="27" t="inlineStr">
        <is>
          <t>San Francisco, CA</t>
        </is>
      </c>
      <c r="T471" s="28" t="inlineStr">
        <is>
          <t>www.wake.com</t>
        </is>
      </c>
      <c r="U471" s="131">
        <f>HYPERLINK("https://my.pitchbook.com?c=102670-66", "View company online")</f>
      </c>
    </row>
    <row r="472">
      <c r="A472" s="30" t="inlineStr">
        <is>
          <t>113279-32</t>
        </is>
      </c>
      <c r="B472" s="31" t="inlineStr">
        <is>
          <t>Waitlist Me</t>
        </is>
      </c>
      <c r="C472" s="32" t="inlineStr">
        <is>
          <t/>
        </is>
      </c>
      <c r="D472" s="33" t="n">
        <v>1.9182670495522312</v>
      </c>
      <c r="E472" s="34" t="n">
        <v>5.682490191001613</v>
      </c>
      <c r="F472" s="35" t="n">
        <v>42359.0</v>
      </c>
      <c r="G472" s="36" t="inlineStr">
        <is>
          <t>Early Stage VC</t>
        </is>
      </c>
      <c r="H472" s="37" t="inlineStr">
        <is>
          <t/>
        </is>
      </c>
      <c r="I472" s="38" t="n">
        <v>1.47</v>
      </c>
      <c r="J472" s="39" t="n">
        <v>2.93</v>
      </c>
      <c r="K472" s="40" t="inlineStr">
        <is>
          <t>Completed</t>
        </is>
      </c>
      <c r="L472" s="41" t="inlineStr">
        <is>
          <t>Privately Held (backing)</t>
        </is>
      </c>
      <c r="M472" s="42" t="inlineStr">
        <is>
          <t>Venture Capital-Backed</t>
        </is>
      </c>
      <c r="N472" s="43" t="inlineStr">
        <is>
          <t>The company raised an estimated $1.47 million of venture funding from Andreessen Horowitz and GV on December 21, 2015, putting the pre-money valuation at $1.47 million.</t>
        </is>
      </c>
      <c r="O472" s="44" t="inlineStr">
        <is>
          <t>Andreessen Horowitz, GV</t>
        </is>
      </c>
      <c r="P472" s="45" t="inlineStr">
        <is>
          <t/>
        </is>
      </c>
      <c r="Q472" s="46" t="inlineStr">
        <is>
          <t>Application Software</t>
        </is>
      </c>
      <c r="R472" s="47" t="inlineStr">
        <is>
          <t>Developer of a restaurant waitlisting application designed to manage waitlists and reservations. The company's application enables business to communicate with and provide estimated wait times to their customers enabling them to get survey feedback from their customers regarding their waiting times at restaurants.</t>
        </is>
      </c>
      <c r="S472" s="48" t="inlineStr">
        <is>
          <t>San Francisco, CA</t>
        </is>
      </c>
      <c r="T472" s="49" t="inlineStr">
        <is>
          <t>www.waitlist.me</t>
        </is>
      </c>
      <c r="U472" s="132">
        <f>HYPERLINK("https://my.pitchbook.com?c=113279-32", "View company online")</f>
      </c>
    </row>
    <row r="473">
      <c r="A473" s="9" t="inlineStr">
        <is>
          <t>154896-76</t>
        </is>
      </c>
      <c r="B473" s="10" t="inlineStr">
        <is>
          <t>Waggle (Video Streaming)</t>
        </is>
      </c>
      <c r="C473" s="11" t="inlineStr">
        <is>
          <t/>
        </is>
      </c>
      <c r="D473" s="12" t="n">
        <v>1.8633877897975013</v>
      </c>
      <c r="E473" s="13" t="n">
        <v>817.5216391199074</v>
      </c>
      <c r="F473" s="14" t="n">
        <v>42711.0</v>
      </c>
      <c r="G473" s="15" t="inlineStr">
        <is>
          <t>Seed Round</t>
        </is>
      </c>
      <c r="H473" s="16" t="inlineStr">
        <is>
          <t>Seed</t>
        </is>
      </c>
      <c r="I473" s="17" t="n">
        <v>2.24</v>
      </c>
      <c r="J473" s="18" t="n">
        <v>8.24</v>
      </c>
      <c r="K473" s="19" t="inlineStr">
        <is>
          <t>Completed</t>
        </is>
      </c>
      <c r="L473" s="20" t="inlineStr">
        <is>
          <t>Privately Held (backing)</t>
        </is>
      </c>
      <c r="M473" s="21" t="inlineStr">
        <is>
          <t>Venture Capital-Backed</t>
        </is>
      </c>
      <c r="N473" s="22" t="inlineStr">
        <is>
          <t>The company raised $2.3 million of seed funding in a deal led by Raine Ventures on December 7, 2016, putting the pre-money valuation at $6 million. Ore Ventures, Lowercase Capital, Brooklyn Bridge Ventures, United Talent Agency, Broadway Video Ventures, Allen Debevoise and other angel investors also participated in the round. The company intends to use the funds for hiring, community and content development.</t>
        </is>
      </c>
      <c r="O473" s="23" t="inlineStr">
        <is>
          <t>Allen Debevoise, Broadway Video, Brooklyn Bridge Ventures, Lowercase Capital, Ore Ventures, Raine Ventures, United Talent Agency</t>
        </is>
      </c>
      <c r="P473" s="24" t="inlineStr">
        <is>
          <t/>
        </is>
      </c>
      <c r="Q473" s="25" t="inlineStr">
        <is>
          <t>Movies, Music and Entertainment</t>
        </is>
      </c>
      <c r="R473" s="26" t="inlineStr">
        <is>
          <t>Provider of an animal video-sharing platform. The company offers an online platform for pet lovers and animal enthusiasts to live stream and share photos and videos of their animals.</t>
        </is>
      </c>
      <c r="S473" s="27" t="inlineStr">
        <is>
          <t>New York, NY</t>
        </is>
      </c>
      <c r="T473" s="28" t="inlineStr">
        <is>
          <t>www.waggle.tv</t>
        </is>
      </c>
      <c r="U473" s="131">
        <f>HYPERLINK("https://my.pitchbook.com?c=154896-76", "View company online")</f>
      </c>
    </row>
    <row r="474">
      <c r="A474" s="30" t="inlineStr">
        <is>
          <t>62741-08</t>
        </is>
      </c>
      <c r="B474" s="31" t="inlineStr">
        <is>
          <t>Waggl</t>
        </is>
      </c>
      <c r="C474" s="32" t="inlineStr">
        <is>
          <t/>
        </is>
      </c>
      <c r="D474" s="33" t="n">
        <v>0.5909337637624782</v>
      </c>
      <c r="E474" s="34" t="n">
        <v>1.5263992700986069</v>
      </c>
      <c r="F474" s="35" t="n">
        <v>42482.0</v>
      </c>
      <c r="G474" s="36" t="inlineStr">
        <is>
          <t>Early Stage VC</t>
        </is>
      </c>
      <c r="H474" s="37" t="inlineStr">
        <is>
          <t/>
        </is>
      </c>
      <c r="I474" s="38" t="n">
        <v>0.73</v>
      </c>
      <c r="J474" s="39" t="inlineStr">
        <is>
          <t/>
        </is>
      </c>
      <c r="K474" s="40" t="inlineStr">
        <is>
          <t>Completed</t>
        </is>
      </c>
      <c r="L474" s="41" t="inlineStr">
        <is>
          <t>Privately Held (backing)</t>
        </is>
      </c>
      <c r="M474" s="42" t="inlineStr">
        <is>
          <t>Venture Capital-Backed</t>
        </is>
      </c>
      <c r="N474" s="43" t="inlineStr">
        <is>
          <t>The company raised $729,810 of venture funding from FundersClub and other undisclosed investor on April 22, 2016. Previously, the company raised an undisclosed amount of venture funding from FundersClub on December 11, 2015.</t>
        </is>
      </c>
      <c r="O474" s="44" t="inlineStr">
        <is>
          <t>FundersClub, Ignace Goethals, Jeff Snipes, Joe Abrams, Rob Bernshteyn, Robert Hohman</t>
        </is>
      </c>
      <c r="P474" s="45" t="inlineStr">
        <is>
          <t/>
        </is>
      </c>
      <c r="Q474" s="46" t="inlineStr">
        <is>
          <t>Application Software</t>
        </is>
      </c>
      <c r="R474" s="47" t="inlineStr">
        <is>
          <t>Provider of messaging and employee response puling platform. The company offers a search engine for its users who need to surface new ideas or honest input and provides a platform where business leaders can pose questions where employees are able to respond and vote anonymously.</t>
        </is>
      </c>
      <c r="S474" s="48" t="inlineStr">
        <is>
          <t>Sausalito, CA</t>
        </is>
      </c>
      <c r="T474" s="49" t="inlineStr">
        <is>
          <t>www.waggl.com</t>
        </is>
      </c>
      <c r="U474" s="132">
        <f>HYPERLINK("https://my.pitchbook.com?c=62741-08", "View company online")</f>
      </c>
    </row>
    <row r="475">
      <c r="A475" s="9" t="inlineStr">
        <is>
          <t>56233-27</t>
        </is>
      </c>
      <c r="B475" s="10" t="inlineStr">
        <is>
          <t>Wag Hotels</t>
        </is>
      </c>
      <c r="C475" s="11" t="inlineStr">
        <is>
          <t/>
        </is>
      </c>
      <c r="D475" s="12" t="n">
        <v>0.0561377957552657</v>
      </c>
      <c r="E475" s="13" t="n">
        <v>7.202273473073031</v>
      </c>
      <c r="F475" s="14" t="n">
        <v>42179.0</v>
      </c>
      <c r="G475" s="15" t="inlineStr">
        <is>
          <t>Later Stage VC</t>
        </is>
      </c>
      <c r="H475" s="16" t="inlineStr">
        <is>
          <t/>
        </is>
      </c>
      <c r="I475" s="17" t="n">
        <v>3.18</v>
      </c>
      <c r="J475" s="18" t="inlineStr">
        <is>
          <t/>
        </is>
      </c>
      <c r="K475" s="19" t="inlineStr">
        <is>
          <t>Completed</t>
        </is>
      </c>
      <c r="L475" s="20" t="inlineStr">
        <is>
          <t>Privately Held (backing)</t>
        </is>
      </c>
      <c r="M475" s="21" t="inlineStr">
        <is>
          <t>Venture Capital-Backed</t>
        </is>
      </c>
      <c r="N475" s="22" t="inlineStr">
        <is>
          <t>The company raised $3.17 million of venture funding from undisclosed investors on June 24, 2015.</t>
        </is>
      </c>
      <c r="O475" s="23" t="inlineStr">
        <is>
          <t>CC Wage, Interstate properties, Myrtlewood Capital, Treat Management, Vencore Capital</t>
        </is>
      </c>
      <c r="P475" s="24" t="inlineStr">
        <is>
          <t/>
        </is>
      </c>
      <c r="Q475" s="25" t="inlineStr">
        <is>
          <t>Other Services (B2C Non-Financial)</t>
        </is>
      </c>
      <c r="R475" s="26" t="inlineStr">
        <is>
          <t>Provider of pet-boarding facilities designed to offer personalized pet care. The company's pet-boarding resort provide pet lovers with a suitable place to leave their pets during business trips, as well as offers grooming and training services for pets, enabling pet owners to access an affordable experience for their dogs and cats.</t>
        </is>
      </c>
      <c r="S475" s="27" t="inlineStr">
        <is>
          <t>San Francisco, CA</t>
        </is>
      </c>
      <c r="T475" s="28" t="inlineStr">
        <is>
          <t>www.waghotels.com</t>
        </is>
      </c>
      <c r="U475" s="131">
        <f>HYPERLINK("https://my.pitchbook.com?c=56233-27", "View company online")</f>
      </c>
    </row>
    <row r="476">
      <c r="A476" s="30" t="inlineStr">
        <is>
          <t>112027-33</t>
        </is>
      </c>
      <c r="B476" s="31" t="inlineStr">
        <is>
          <t>Wag</t>
        </is>
      </c>
      <c r="C476" s="32" t="inlineStr">
        <is>
          <t/>
        </is>
      </c>
      <c r="D476" s="33" t="n">
        <v>1.918149317089857</v>
      </c>
      <c r="E476" s="34" t="n">
        <v>8.645670928850741</v>
      </c>
      <c r="F476" s="35" t="n">
        <v>42614.0</v>
      </c>
      <c r="G476" s="36" t="inlineStr">
        <is>
          <t>Early Stage VC</t>
        </is>
      </c>
      <c r="H476" s="37" t="inlineStr">
        <is>
          <t>Series B</t>
        </is>
      </c>
      <c r="I476" s="38" t="inlineStr">
        <is>
          <t/>
        </is>
      </c>
      <c r="J476" s="39" t="inlineStr">
        <is>
          <t/>
        </is>
      </c>
      <c r="K476" s="40" t="inlineStr">
        <is>
          <t>Completed</t>
        </is>
      </c>
      <c r="L476" s="41" t="inlineStr">
        <is>
          <t>Privately Held (backing)</t>
        </is>
      </c>
      <c r="M476" s="42" t="inlineStr">
        <is>
          <t>Venture Capital-Backed</t>
        </is>
      </c>
      <c r="N476" s="43" t="inlineStr">
        <is>
          <t>The company raised an undisclosed amount of Series B venture funding in a round led by Sherpa Capital in September 2016. General Catalyst Partners also participated.</t>
        </is>
      </c>
      <c r="O476" s="44" t="inlineStr">
        <is>
          <t>Bullpen Capital, CrunchFund, Freestyle Capital, General Catalyst Partners, Greylock Partners, Haystack, Joel Englander, John Maloney, Ludlow Ventures, Pascal Levy-Garboua, Rakesh Agrawal, RRE Ventures, Sherpa Capital, Slow Ventures, Social Leverage, Structure Capital</t>
        </is>
      </c>
      <c r="P476" s="45" t="inlineStr">
        <is>
          <t/>
        </is>
      </c>
      <c r="Q476" s="46" t="inlineStr">
        <is>
          <t>Application Software</t>
        </is>
      </c>
      <c r="R476" s="47" t="inlineStr">
        <is>
          <t>Developer of a mobile dog walking application. The company provides a mobile application that helps to find certified dog walkers, offers live tracking of the dog on its walk, as well as digital reports.</t>
        </is>
      </c>
      <c r="S476" s="48" t="inlineStr">
        <is>
          <t>Los Angeles, CA</t>
        </is>
      </c>
      <c r="T476" s="49" t="inlineStr">
        <is>
          <t>www.wagwalking.com</t>
        </is>
      </c>
      <c r="U476" s="132">
        <f>HYPERLINK("https://my.pitchbook.com?c=112027-33", "View company online")</f>
      </c>
    </row>
    <row r="477">
      <c r="A477" s="9" t="inlineStr">
        <is>
          <t>118850-95</t>
        </is>
      </c>
      <c r="B477" s="10" t="inlineStr">
        <is>
          <t>Vyu Labs</t>
        </is>
      </c>
      <c r="C477" s="11" t="inlineStr">
        <is>
          <t/>
        </is>
      </c>
      <c r="D477" s="12" t="n">
        <v>0.0</v>
      </c>
      <c r="E477" s="13" t="n">
        <v>0.05367231638418079</v>
      </c>
      <c r="F477" s="14" t="n">
        <v>42179.0</v>
      </c>
      <c r="G477" s="15" t="inlineStr">
        <is>
          <t>Seed Round</t>
        </is>
      </c>
      <c r="H477" s="16" t="inlineStr">
        <is>
          <t>Seed</t>
        </is>
      </c>
      <c r="I477" s="17" t="inlineStr">
        <is>
          <t/>
        </is>
      </c>
      <c r="J477" s="18" t="inlineStr">
        <is>
          <t/>
        </is>
      </c>
      <c r="K477" s="19" t="inlineStr">
        <is>
          <t>Completed</t>
        </is>
      </c>
      <c r="L477" s="20" t="inlineStr">
        <is>
          <t>Privately Held (backing)</t>
        </is>
      </c>
      <c r="M477" s="21" t="inlineStr">
        <is>
          <t>Venture Capital-Backed</t>
        </is>
      </c>
      <c r="N477" s="22" t="inlineStr">
        <is>
          <t>The company raised an undisclosed amount of seed funding from Ignite Farm on June 24, 2015.</t>
        </is>
      </c>
      <c r="O477" s="23" t="inlineStr">
        <is>
          <t>Ignite Farm</t>
        </is>
      </c>
      <c r="P477" s="24" t="inlineStr">
        <is>
          <t/>
        </is>
      </c>
      <c r="Q477" s="25" t="inlineStr">
        <is>
          <t>Application Software</t>
        </is>
      </c>
      <c r="R477" s="26" t="inlineStr">
        <is>
          <t>Developer of a mobile application for social interaction. The company offers a social interaction platform that connects users face-to-face via live streaming, video chat and enable users to share any media on mobile phone.</t>
        </is>
      </c>
      <c r="S477" s="27" t="inlineStr">
        <is>
          <t>Cupertino, CA</t>
        </is>
      </c>
      <c r="T477" s="28" t="inlineStr">
        <is>
          <t>www.vyulabs.com</t>
        </is>
      </c>
      <c r="U477" s="131">
        <f>HYPERLINK("https://my.pitchbook.com?c=118850-95", "View company online")</f>
      </c>
    </row>
    <row r="478">
      <c r="A478" s="30" t="inlineStr">
        <is>
          <t>51353-29</t>
        </is>
      </c>
      <c r="B478" s="31" t="inlineStr">
        <is>
          <t>VytronUS</t>
        </is>
      </c>
      <c r="C478" s="32" t="inlineStr">
        <is>
          <t/>
        </is>
      </c>
      <c r="D478" s="33" t="n">
        <v>0.0</v>
      </c>
      <c r="E478" s="34" t="n">
        <v>1.3783783783783783</v>
      </c>
      <c r="F478" s="35" t="n">
        <v>42608.0</v>
      </c>
      <c r="G478" s="36" t="inlineStr">
        <is>
          <t>Later Stage VC</t>
        </is>
      </c>
      <c r="H478" s="37" t="inlineStr">
        <is>
          <t>Series C</t>
        </is>
      </c>
      <c r="I478" s="38" t="n">
        <v>49.0</v>
      </c>
      <c r="J478" s="39" t="n">
        <v>96.5</v>
      </c>
      <c r="K478" s="40" t="inlineStr">
        <is>
          <t>Completed</t>
        </is>
      </c>
      <c r="L478" s="41" t="inlineStr">
        <is>
          <t>Privately Held (backing)</t>
        </is>
      </c>
      <c r="M478" s="42" t="inlineStr">
        <is>
          <t>Venture Capital-Backed</t>
        </is>
      </c>
      <c r="N478" s="43" t="inlineStr">
        <is>
          <t>The company raised $49 million of Series C venture funding from Apple Tree Partners, New Enterprise Associates and BioStar Ventures on August 26, 2016, putting the pre-money valuation at $47.5 million. Windham Venture Partners also participated. The company will use the funding for technology refinements and clinical trials.</t>
        </is>
      </c>
      <c r="O478" s="44" t="inlineStr">
        <is>
          <t>Apple Tree Partners, BioStar Ventures, Delphi Ventures, New Enterprise Associates, Windham Venture Partners</t>
        </is>
      </c>
      <c r="P478" s="45" t="inlineStr">
        <is>
          <t/>
        </is>
      </c>
      <c r="Q478" s="46" t="inlineStr">
        <is>
          <t>Surgical Devices</t>
        </is>
      </c>
      <c r="R478" s="47" t="inlineStr">
        <is>
          <t>Manufacturer of a device used to treat cardiac arrhythmia. The company manufactures and markets the device which uses both imaging capabilities and ultrasound energy.</t>
        </is>
      </c>
      <c r="S478" s="48" t="inlineStr">
        <is>
          <t>Sunnyvale, CA</t>
        </is>
      </c>
      <c r="T478" s="49" t="inlineStr">
        <is>
          <t>www.vytronus.com</t>
        </is>
      </c>
      <c r="U478" s="132">
        <f>HYPERLINK("https://my.pitchbook.com?c=51353-29", "View company online")</f>
      </c>
    </row>
    <row r="479">
      <c r="A479" s="9" t="inlineStr">
        <is>
          <t>117772-93</t>
        </is>
      </c>
      <c r="B479" s="10" t="inlineStr">
        <is>
          <t>Vytmn</t>
        </is>
      </c>
      <c r="C479" s="11" t="inlineStr">
        <is>
          <t/>
        </is>
      </c>
      <c r="D479" s="12" t="n">
        <v>-0.002160803199165</v>
      </c>
      <c r="E479" s="13" t="n">
        <v>9.416200875578179</v>
      </c>
      <c r="F479" s="14" t="n">
        <v>42116.0</v>
      </c>
      <c r="G479" s="15" t="inlineStr">
        <is>
          <t>Seed Round</t>
        </is>
      </c>
      <c r="H479" s="16" t="inlineStr">
        <is>
          <t>Seed</t>
        </is>
      </c>
      <c r="I479" s="17" t="inlineStr">
        <is>
          <t/>
        </is>
      </c>
      <c r="J479" s="18" t="inlineStr">
        <is>
          <t/>
        </is>
      </c>
      <c r="K479" s="19" t="inlineStr">
        <is>
          <t>Completed</t>
        </is>
      </c>
      <c r="L479" s="20" t="inlineStr">
        <is>
          <t>Privately Held (backing)</t>
        </is>
      </c>
      <c r="M479" s="21" t="inlineStr">
        <is>
          <t>Venture Capital-Backed</t>
        </is>
      </c>
      <c r="N479" s="22" t="inlineStr">
        <is>
          <t>The company raised an undisclosed amount of seed funding from First Ascent Associates, Third Wave Digital and 10 individual investors on April 22, 2015.</t>
        </is>
      </c>
      <c r="O479" s="23" t="inlineStr">
        <is>
          <t>Aaron Schiff, Allen Debevoise, Carter Reum, Courtney Reum, First Ascent Associates, Howard Marks, Michael Smith, Miles Beckett, Shaun Arora, Third Wave Digital</t>
        </is>
      </c>
      <c r="P479" s="24" t="inlineStr">
        <is>
          <t/>
        </is>
      </c>
      <c r="Q479" s="25" t="inlineStr">
        <is>
          <t>Media and Information Services (B2B)</t>
        </is>
      </c>
      <c r="R479" s="26" t="inlineStr">
        <is>
          <t>Provider of a marketing platform and an analytics dashboard. The company's software enables users to target their audience in online channels by implementing data mining sources for their competitors and related businesses.</t>
        </is>
      </c>
      <c r="S479" s="27" t="inlineStr">
        <is>
          <t>Los Angeles, CA</t>
        </is>
      </c>
      <c r="T479" s="28" t="inlineStr">
        <is>
          <t>www.vytmn.com</t>
        </is>
      </c>
      <c r="U479" s="131">
        <f>HYPERLINK("https://my.pitchbook.com?c=117772-93", "View company online")</f>
      </c>
    </row>
    <row r="480">
      <c r="A480" s="30" t="inlineStr">
        <is>
          <t>121115-17</t>
        </is>
      </c>
      <c r="B480" s="31" t="inlineStr">
        <is>
          <t>Vyng</t>
        </is>
      </c>
      <c r="C480" s="32" t="inlineStr">
        <is>
          <t/>
        </is>
      </c>
      <c r="D480" s="33" t="n">
        <v>-0.028893595245601596</v>
      </c>
      <c r="E480" s="34" t="n">
        <v>0.4200604331039114</v>
      </c>
      <c r="F480" s="35" t="n">
        <v>42125.0</v>
      </c>
      <c r="G480" s="36" t="inlineStr">
        <is>
          <t>Convertible Debt</t>
        </is>
      </c>
      <c r="H480" s="37" t="inlineStr">
        <is>
          <t/>
        </is>
      </c>
      <c r="I480" s="38" t="n">
        <v>0.24</v>
      </c>
      <c r="J480" s="39" t="inlineStr">
        <is>
          <t/>
        </is>
      </c>
      <c r="K480" s="40" t="inlineStr">
        <is>
          <t>Completed</t>
        </is>
      </c>
      <c r="L480" s="41" t="inlineStr">
        <is>
          <t>Privately Held (backing)</t>
        </is>
      </c>
      <c r="M480" s="42" t="inlineStr">
        <is>
          <t>Venture Capital-Backed</t>
        </is>
      </c>
      <c r="N480" s="43" t="inlineStr">
        <is>
          <t>The company raised $240,000 of convertible debt financing from March Capital Partners on May 1, 2015. Inspiration Ventures, Clearstone Venture, Partners Pulsar Venture Capital, Vesna Investment and Edgewater Ventures also participated in this round.</t>
        </is>
      </c>
      <c r="O480" s="44" t="inlineStr">
        <is>
          <t>Clearstone Venture Partners, Edgewater Ventures, Inspiration Ventures, March Capital Partners, Pulsar Venture Capital, Vesna Investment</t>
        </is>
      </c>
      <c r="P480" s="45" t="inlineStr">
        <is>
          <t/>
        </is>
      </c>
      <c r="Q480" s="46" t="inlineStr">
        <is>
          <t>Social/Platform Software</t>
        </is>
      </c>
      <c r="R480" s="47" t="inlineStr">
        <is>
          <t>Provider of social video ringtones for android. The company's social video ringtones can be added to lock screen, enabling users to get nice videos with every call.</t>
        </is>
      </c>
      <c r="S480" s="48" t="inlineStr">
        <is>
          <t>Santa Monica, CA</t>
        </is>
      </c>
      <c r="T480" s="49" t="inlineStr">
        <is>
          <t>www.vyng.me</t>
        </is>
      </c>
      <c r="U480" s="132">
        <f>HYPERLINK("https://my.pitchbook.com?c=121115-17", "View company online")</f>
      </c>
    </row>
    <row r="481">
      <c r="A481" s="9" t="inlineStr">
        <is>
          <t>121288-24</t>
        </is>
      </c>
      <c r="B481" s="10" t="inlineStr">
        <is>
          <t>Vynca</t>
        </is>
      </c>
      <c r="C481" s="11" t="inlineStr">
        <is>
          <t/>
        </is>
      </c>
      <c r="D481" s="12" t="inlineStr">
        <is>
          <t/>
        </is>
      </c>
      <c r="E481" s="13" t="inlineStr">
        <is>
          <t/>
        </is>
      </c>
      <c r="F481" s="14" t="n">
        <v>42333.0</v>
      </c>
      <c r="G481" s="15" t="inlineStr">
        <is>
          <t>Early Stage VC</t>
        </is>
      </c>
      <c r="H481" s="16" t="inlineStr">
        <is>
          <t/>
        </is>
      </c>
      <c r="I481" s="17" t="n">
        <v>4.89</v>
      </c>
      <c r="J481" s="18" t="inlineStr">
        <is>
          <t/>
        </is>
      </c>
      <c r="K481" s="19" t="inlineStr">
        <is>
          <t>Completed</t>
        </is>
      </c>
      <c r="L481" s="20" t="inlineStr">
        <is>
          <t>Privately Held (backing)</t>
        </is>
      </c>
      <c r="M481" s="21" t="inlineStr">
        <is>
          <t>Venture Capital-Backed</t>
        </is>
      </c>
      <c r="N481" s="22" t="inlineStr">
        <is>
          <t>The company raised $4.89 million of venture funding from undisclosed investors on November 25, 2015. Previously, the company received $10,000 in prize money as part of the The Silicon Valley Boomer Venture Summit on July 13, 2015. The company joined MedTech Innovator as a part of its 2015 class on June 24, 2015.</t>
        </is>
      </c>
      <c r="O481" s="23" t="inlineStr">
        <is>
          <t>Aging2.0, Aphelion Capital, Founder.org, Link-age, MedTech Innovator, The Silicon Valley Boomer Venture Summit</t>
        </is>
      </c>
      <c r="P481" s="24" t="inlineStr">
        <is>
          <t/>
        </is>
      </c>
      <c r="Q481" s="25" t="inlineStr">
        <is>
          <t>Enterprise Systems (Healthcare)</t>
        </is>
      </c>
      <c r="R481" s="26" t="inlineStr">
        <is>
          <t>Developer of a software for health information exchange. The company develops a platform focused on enabling patient education, documentation and competition of physician orders for life-sustaining treatment forms.</t>
        </is>
      </c>
      <c r="S481" s="27" t="inlineStr">
        <is>
          <t>Mountain View, CA</t>
        </is>
      </c>
      <c r="T481" s="28" t="inlineStr">
        <is>
          <t>www.vynca.org</t>
        </is>
      </c>
      <c r="U481" s="131">
        <f>HYPERLINK("https://my.pitchbook.com?c=121288-24", "View company online")</f>
      </c>
    </row>
    <row r="482">
      <c r="A482" s="30" t="inlineStr">
        <is>
          <t>99201-34</t>
        </is>
      </c>
      <c r="B482" s="31" t="inlineStr">
        <is>
          <t>vWise</t>
        </is>
      </c>
      <c r="C482" s="32" t="inlineStr">
        <is>
          <t/>
        </is>
      </c>
      <c r="D482" s="33" t="n">
        <v>0.1746265700377425</v>
      </c>
      <c r="E482" s="34" t="n">
        <v>0.6040051868902274</v>
      </c>
      <c r="F482" s="35" t="n">
        <v>42844.0</v>
      </c>
      <c r="G482" s="36" t="inlineStr">
        <is>
          <t>Later Stage VC</t>
        </is>
      </c>
      <c r="H482" s="37" t="inlineStr">
        <is>
          <t/>
        </is>
      </c>
      <c r="I482" s="38" t="n">
        <v>0.5</v>
      </c>
      <c r="J482" s="39" t="inlineStr">
        <is>
          <t/>
        </is>
      </c>
      <c r="K482" s="40" t="inlineStr">
        <is>
          <t>Completed</t>
        </is>
      </c>
      <c r="L482" s="41" t="inlineStr">
        <is>
          <t>Privately Held (backing)</t>
        </is>
      </c>
      <c r="M482" s="42" t="inlineStr">
        <is>
          <t>Venture Capital-Backed</t>
        </is>
      </c>
      <c r="N482" s="43" t="inlineStr">
        <is>
          <t>The company raised $500,200 of venture funding from undisclosed investors on April 19, 2017.</t>
        </is>
      </c>
      <c r="O482" s="44" t="inlineStr">
        <is>
          <t>Mosaik Partners</t>
        </is>
      </c>
      <c r="P482" s="45" t="inlineStr">
        <is>
          <t/>
        </is>
      </c>
      <c r="Q482" s="46" t="inlineStr">
        <is>
          <t>Business/Productivity Software</t>
        </is>
      </c>
      <c r="R482" s="47" t="inlineStr">
        <is>
          <t>Developer of rich-media internet applications for employee benefit designed to boost confidence and drive informed decision-making. The company's employee benefit platforms are based on behavioral finance fundamentals and provides a highly interactive participant experience that reflects the way today's digital-savvy audiences consume content, enabling providers and advisors to maximize operational efficiency and increase profitability across the retirement continuum.</t>
        </is>
      </c>
      <c r="S482" s="48" t="inlineStr">
        <is>
          <t>Aliso Viejo, CA</t>
        </is>
      </c>
      <c r="T482" s="49" t="inlineStr">
        <is>
          <t>www.vwise.com</t>
        </is>
      </c>
      <c r="U482" s="132">
        <f>HYPERLINK("https://my.pitchbook.com?c=99201-34", "View company online")</f>
      </c>
    </row>
    <row r="483">
      <c r="A483" s="9" t="inlineStr">
        <is>
          <t>12751-84</t>
        </is>
      </c>
      <c r="B483" s="10" t="inlineStr">
        <is>
          <t>Vungle</t>
        </is>
      </c>
      <c r="C483" s="11" t="n">
        <v>300.0</v>
      </c>
      <c r="D483" s="12" t="n">
        <v>-0.2918255039770607</v>
      </c>
      <c r="E483" s="13" t="n">
        <v>18.981922421421316</v>
      </c>
      <c r="F483" s="14" t="inlineStr">
        <is>
          <t/>
        </is>
      </c>
      <c r="G483" s="15" t="inlineStr">
        <is>
          <t>Secondary Transaction - Private</t>
        </is>
      </c>
      <c r="H483" s="16" t="inlineStr">
        <is>
          <t/>
        </is>
      </c>
      <c r="I483" s="17" t="inlineStr">
        <is>
          <t/>
        </is>
      </c>
      <c r="J483" s="18" t="inlineStr">
        <is>
          <t/>
        </is>
      </c>
      <c r="K483" s="19" t="inlineStr">
        <is>
          <t>Completed</t>
        </is>
      </c>
      <c r="L483" s="20" t="inlineStr">
        <is>
          <t>Privately Held (backing)</t>
        </is>
      </c>
      <c r="M483" s="21" t="inlineStr">
        <is>
          <t>Venture Capital-Backed</t>
        </is>
      </c>
      <c r="N483" s="22" t="inlineStr">
        <is>
          <t>Bowery Capital sold its stake in the company on an undisclosed date. Previously, the company received $18.62 million Series B funding in a deal led by Thomvest Ventures on November 19, 2013, putting the pre-money valuation at $82.32 million. Eniac Ventures, Webb Investment Network, Crosslink Capital, SoftTech VC, Bowery Capital, GV, Seven Peaks Venture and AOL Ventures also participated in this round.</t>
        </is>
      </c>
      <c r="O483" s="23" t="inlineStr">
        <is>
          <t>500 Startups, Aadil Mamujee, AngelPad, AOL Ventures, Ben Lewis, Benjamin Narasin, Clint Chao, Crosslink Capital, David McClure, Dino Vendetti, Draper Associates, Eniac Ventures, Eric Chin, Gokul Rajaram, GV, Individual Investor, Jean-Francois Clavier, Krishna Visvanathan, Musha Ventures, Nihal Mehta, Scott McNealy, Seven Peaks Ventures, Sierra Ventures, SoftTech VC, SV Angel, Thomas Korte, Thomvest Ventures, Timothy Draper, TriplePoint Capital, Webb Investment Network</t>
        </is>
      </c>
      <c r="P483" s="24" t="inlineStr">
        <is>
          <t/>
        </is>
      </c>
      <c r="Q483" s="25" t="inlineStr">
        <is>
          <t>Business/Productivity Software</t>
        </is>
      </c>
      <c r="R483" s="26" t="inlineStr">
        <is>
          <t>Provider of a mobile video-advertising platform for applications. The company's advertising network provides localized video advertising to application users on both Android and iOS devices, integrated for a high-definition user experience.</t>
        </is>
      </c>
      <c r="S483" s="27" t="inlineStr">
        <is>
          <t>San Francisco, CA</t>
        </is>
      </c>
      <c r="T483" s="28" t="inlineStr">
        <is>
          <t>www.vungle.com</t>
        </is>
      </c>
      <c r="U483" s="131">
        <f>HYPERLINK("https://my.pitchbook.com?c=12751-84", "View company online")</f>
      </c>
    </row>
    <row r="484">
      <c r="A484" s="30" t="inlineStr">
        <is>
          <t>117328-78</t>
        </is>
      </c>
      <c r="B484" s="31" t="inlineStr">
        <is>
          <t>Vufine</t>
        </is>
      </c>
      <c r="C484" s="32" t="inlineStr">
        <is>
          <t/>
        </is>
      </c>
      <c r="D484" s="33" t="n">
        <v>0.4988270693680067</v>
      </c>
      <c r="E484" s="34" t="n">
        <v>6.480370551096417</v>
      </c>
      <c r="F484" s="35" t="n">
        <v>42710.0</v>
      </c>
      <c r="G484" s="36" t="inlineStr">
        <is>
          <t>Product Crowdfunding</t>
        </is>
      </c>
      <c r="H484" s="37" t="inlineStr">
        <is>
          <t/>
        </is>
      </c>
      <c r="I484" s="38" t="n">
        <v>0.22</v>
      </c>
      <c r="J484" s="39" t="inlineStr">
        <is>
          <t/>
        </is>
      </c>
      <c r="K484" s="40" t="inlineStr">
        <is>
          <t>Completed</t>
        </is>
      </c>
      <c r="L484" s="41" t="inlineStr">
        <is>
          <t>Privately Held (backing)</t>
        </is>
      </c>
      <c r="M484" s="42" t="inlineStr">
        <is>
          <t>Venture Capital-Backed</t>
        </is>
      </c>
      <c r="N484" s="43" t="inlineStr">
        <is>
          <t>The company raised $215,297 of product crowdfunding via Indiegogo on December 6, 2016. Previously, the company raised $201,994 of product crowdfunding via Kickstarter on December 3, 2016. Prior to that, the company raised $1.75 million of Series A venture funding from Firsthand Technology Value Fund, Firsthand Capital Management and other undisclosed investors on February 18, 2016, putting the pre-money valuation at $1.5 million.</t>
        </is>
      </c>
      <c r="O484" s="44" t="inlineStr">
        <is>
          <t>Firsthand Capital Management, Firsthand Technology Value Fund</t>
        </is>
      </c>
      <c r="P484" s="45" t="inlineStr">
        <is>
          <t/>
        </is>
      </c>
      <c r="Q484" s="46" t="inlineStr">
        <is>
          <t>Electronics (B2C)</t>
        </is>
      </c>
      <c r="R484" s="47" t="inlineStr">
        <is>
          <t>Developer of a wearable display device designed to offer display across all devices. The company's wearable display device places the image of what is on the phone, tablet, laptop or camera, onto the screen directly in front of the right eye, enabling consumers to operate mobile devices in a hands-free environment.</t>
        </is>
      </c>
      <c r="S484" s="48" t="inlineStr">
        <is>
          <t>Sunnyvale, CA</t>
        </is>
      </c>
      <c r="T484" s="49" t="inlineStr">
        <is>
          <t>www.vufine.com</t>
        </is>
      </c>
      <c r="U484" s="132">
        <f>HYPERLINK("https://my.pitchbook.com?c=117328-78", "View company online")</f>
      </c>
    </row>
    <row r="485">
      <c r="A485" s="9" t="inlineStr">
        <is>
          <t>99915-40</t>
        </is>
      </c>
      <c r="B485" s="10" t="inlineStr">
        <is>
          <t>Vuemix</t>
        </is>
      </c>
      <c r="C485" s="11" t="inlineStr">
        <is>
          <t/>
        </is>
      </c>
      <c r="D485" s="12" t="n">
        <v>-0.025491868908226276</v>
      </c>
      <c r="E485" s="13" t="n">
        <v>7.076692615344053</v>
      </c>
      <c r="F485" s="14" t="n">
        <v>41766.0</v>
      </c>
      <c r="G485" s="15" t="inlineStr">
        <is>
          <t>Early Stage VC</t>
        </is>
      </c>
      <c r="H485" s="16" t="inlineStr">
        <is>
          <t>Series A</t>
        </is>
      </c>
      <c r="I485" s="17" t="inlineStr">
        <is>
          <t/>
        </is>
      </c>
      <c r="J485" s="18" t="inlineStr">
        <is>
          <t/>
        </is>
      </c>
      <c r="K485" s="19" t="inlineStr">
        <is>
          <t>Completed</t>
        </is>
      </c>
      <c r="L485" s="20" t="inlineStr">
        <is>
          <t>Privately Held (backing)</t>
        </is>
      </c>
      <c r="M485" s="21" t="inlineStr">
        <is>
          <t>Venture Capital-Backed</t>
        </is>
      </c>
      <c r="N485" s="22" t="inlineStr">
        <is>
          <t>The company raised an undisclosed amount of Series A venture funding from Wellington Partners on May 7, 2014.</t>
        </is>
      </c>
      <c r="O485" s="23" t="inlineStr">
        <is>
          <t>Amos Ben-Meir, Wellington Partners</t>
        </is>
      </c>
      <c r="P485" s="24" t="inlineStr">
        <is>
          <t/>
        </is>
      </c>
      <c r="Q485" s="25" t="inlineStr">
        <is>
          <t>Social Content</t>
        </is>
      </c>
      <c r="R485" s="26" t="inlineStr">
        <is>
          <t>Developer of a video streaming platform. The company offers Vuemix, cloud-based technology platform which allows consumers to search, view and consume video content.</t>
        </is>
      </c>
      <c r="S485" s="27" t="inlineStr">
        <is>
          <t>Santa Clara, CA</t>
        </is>
      </c>
      <c r="T485" s="28" t="inlineStr">
        <is>
          <t>www.vuemix.com</t>
        </is>
      </c>
      <c r="U485" s="131">
        <f>HYPERLINK("https://my.pitchbook.com?c=99915-40", "View company online")</f>
      </c>
    </row>
    <row r="486">
      <c r="A486" s="30" t="inlineStr">
        <is>
          <t>12757-60</t>
        </is>
      </c>
      <c r="B486" s="31" t="inlineStr">
        <is>
          <t>Vubiquity</t>
        </is>
      </c>
      <c r="C486" s="32" t="n">
        <v>296.85</v>
      </c>
      <c r="D486" s="33" t="n">
        <v>1.5476537786918658</v>
      </c>
      <c r="E486" s="34" t="n">
        <v>5.997877657107575</v>
      </c>
      <c r="F486" s="35" t="n">
        <v>41753.0</v>
      </c>
      <c r="G486" s="36" t="inlineStr">
        <is>
          <t>Senior Debt</t>
        </is>
      </c>
      <c r="H486" s="37" t="inlineStr">
        <is>
          <t/>
        </is>
      </c>
      <c r="I486" s="38" t="n">
        <v>7.5</v>
      </c>
      <c r="J486" s="39" t="inlineStr">
        <is>
          <t/>
        </is>
      </c>
      <c r="K486" s="40" t="inlineStr">
        <is>
          <t>Completed</t>
        </is>
      </c>
      <c r="L486" s="41" t="inlineStr">
        <is>
          <t>Privately Held (backing)</t>
        </is>
      </c>
      <c r="M486" s="42" t="inlineStr">
        <is>
          <t>Venture Capital-Backed</t>
        </is>
      </c>
      <c r="N486" s="43" t="inlineStr">
        <is>
          <t>The company received $7.5 million of senior debt financing from General Electric Capital and Bank of America on April 24, 2014. Previously, the company completed a $70 million of debt refinancing round led by Bank of America, General Electric Capital, Silicon Valley Bank, PNC Bank, ING Capital, M&amp;T Bank and Mercantile Bank on May 8, 2013. General Electric Capital provided 15 million in revolving credit line facility. Bank of America, General Electric Capital, Silicon Valley Bank, PNC Bank, ING Capital, M&amp;T Bank and Mercantile Bank provided $55 million senior debt financing in this transaction. Previously, the company raised $99.36 million of venture funding from lead investor Carlyle Group on May 21, 2012, putting the pre-money valuation at $129 million. Follow-on equity investors include Columbia Capital, Valhalla Partners, Novak Biddle, Arnold Venture Group and Pioneer Ventures. The company also received an undisclosed amount of debt financing from Silicon Valley Bank, Citizens Bank and Bank of America. A part of this funding will be utilized for acquisition of On Demand Group.</t>
        </is>
      </c>
      <c r="O486" s="44" t="inlineStr">
        <is>
          <t>Arnold Venture Group, Columbia Capital, Novak Biddle Venture Partners, Pioneer Venture Partners, Pioneer Ventures, QED Investors, The Carlyle Group, Valhalla Partners</t>
        </is>
      </c>
      <c r="P486" s="45" t="inlineStr">
        <is>
          <t/>
        </is>
      </c>
      <c r="Q486" s="46" t="inlineStr">
        <is>
          <t>Movies, Music and Entertainment</t>
        </is>
      </c>
      <c r="R486" s="47" t="inlineStr">
        <is>
          <t>Provider of video services to OTT (over the top) platforms. The company connects content owners and video providers to deliver entertainment to viewers on any screen. It's services include VOD encoding, metadata creation and management, file management and delivery, and marketing, advanced advertising services encompassing C3 and digital ad insertion (DAI), creative services to support customers in marketing content and data analytics.</t>
        </is>
      </c>
      <c r="S486" s="48" t="inlineStr">
        <is>
          <t>Burbank, CA</t>
        </is>
      </c>
      <c r="T486" s="49" t="inlineStr">
        <is>
          <t>www.vubiquity.com</t>
        </is>
      </c>
      <c r="U486" s="132">
        <f>HYPERLINK("https://my.pitchbook.com?c=12757-60", "View company online")</f>
      </c>
    </row>
    <row r="487">
      <c r="A487" s="9" t="inlineStr">
        <is>
          <t>60553-27</t>
        </is>
      </c>
      <c r="B487" s="10" t="inlineStr">
        <is>
          <t>VTS</t>
        </is>
      </c>
      <c r="C487" s="11" t="n">
        <v>14.0</v>
      </c>
      <c r="D487" s="12" t="n">
        <v>1.73827408213872</v>
      </c>
      <c r="E487" s="13" t="n">
        <v>11.380841890421845</v>
      </c>
      <c r="F487" s="14" t="n">
        <v>42703.0</v>
      </c>
      <c r="G487" s="15" t="inlineStr">
        <is>
          <t>Merger of Equals</t>
        </is>
      </c>
      <c r="H487" s="16" t="inlineStr">
        <is>
          <t/>
        </is>
      </c>
      <c r="I487" s="17" t="inlineStr">
        <is>
          <t/>
        </is>
      </c>
      <c r="J487" s="18" t="inlineStr">
        <is>
          <t/>
        </is>
      </c>
      <c r="K487" s="19" t="inlineStr">
        <is>
          <t>Announced/In Progress</t>
        </is>
      </c>
      <c r="L487" s="20" t="inlineStr">
        <is>
          <t>Privately Held (backing)</t>
        </is>
      </c>
      <c r="M487" s="21" t="inlineStr">
        <is>
          <t>Venture Capital-Backed</t>
        </is>
      </c>
      <c r="N487" s="22" t="inlineStr">
        <is>
          <t>The company reached a definitive agreement to merge with Hightower to form a new entity on November 29, 2016. The merged entity will keep the name VTS and be led by VTS Chief Executive Nick Romito. By joining forces, the two firms will be able to use their data troves to add analytic and forecasting services to their conjoined real estate leasing management platform. Earlier in May, the company raised $55 million of Series C venture funding in a deal led by Insight Venture Partners, putting the company's pre-money valuation at $135 million. Follow on OpenView and Trinity Ventures also participated in the round. The company is being actively tracked by PitchBook.</t>
        </is>
      </c>
      <c r="O487" s="23" t="inlineStr">
        <is>
          <t>500 Startups, Alex Krug, Benjamin Ling, Camber Creek, Fifth Wall Ventures, Greg Waldorf, Insight Venture Partners, Nicholas Romito, OpenView Venture Partners, Seedfund, The Blackstone Group, Thomas Byrne, Trinity Ventures, Work-Bench</t>
        </is>
      </c>
      <c r="P487" s="24" t="inlineStr">
        <is>
          <t/>
        </is>
      </c>
      <c r="Q487" s="25" t="inlineStr">
        <is>
          <t>Business/Productivity Software</t>
        </is>
      </c>
      <c r="R487" s="26" t="inlineStr">
        <is>
          <t>Developer of an online commercial real estate tool. The company is a cloud-based leasing and portfolio management platform that provides brokers and owners with real-time access to everything happening throughout their portfolio. Users get their portfolio and team onto a single platform to interact with data, identify trends, highlight opportunities and quickly raise red flags when necessary.</t>
        </is>
      </c>
      <c r="S487" s="27" t="inlineStr">
        <is>
          <t>New York, NY</t>
        </is>
      </c>
      <c r="T487" s="28" t="inlineStr">
        <is>
          <t>www.vts.com</t>
        </is>
      </c>
      <c r="U487" s="131">
        <f>HYPERLINK("https://my.pitchbook.com?c=60553-27", "View company online")</f>
      </c>
    </row>
    <row r="488">
      <c r="A488" s="30" t="inlineStr">
        <is>
          <t>64557-82</t>
        </is>
      </c>
      <c r="B488" s="31" t="inlineStr">
        <is>
          <t>VSporto</t>
        </is>
      </c>
      <c r="C488" s="32" t="inlineStr">
        <is>
          <t/>
        </is>
      </c>
      <c r="D488" s="33" t="n">
        <v>-0.047927380499119716</v>
      </c>
      <c r="E488" s="34" t="n">
        <v>25.062589779483666</v>
      </c>
      <c r="F488" s="35" t="n">
        <v>41820.0</v>
      </c>
      <c r="G488" s="36" t="inlineStr">
        <is>
          <t>Early Stage VC</t>
        </is>
      </c>
      <c r="H488" s="37" t="inlineStr">
        <is>
          <t/>
        </is>
      </c>
      <c r="I488" s="38" t="n">
        <v>0.2</v>
      </c>
      <c r="J488" s="39" t="inlineStr">
        <is>
          <t/>
        </is>
      </c>
      <c r="K488" s="40" t="inlineStr">
        <is>
          <t>Completed</t>
        </is>
      </c>
      <c r="L488" s="41" t="inlineStr">
        <is>
          <t>Privately Held (backing)</t>
        </is>
      </c>
      <c r="M488" s="42" t="inlineStr">
        <is>
          <t>Venture Capital-Backed</t>
        </is>
      </c>
      <c r="N488" s="43" t="inlineStr">
        <is>
          <t>The company raised $200,000 of venture funding from Deep Fork Capital, Courtside Venture and Will Bunker on June 30, 2014. Haystack, Pascal Levy-Garboua, Dan Bragiel and Yee Lee also participated in the round.</t>
        </is>
      </c>
      <c r="O488" s="44" t="inlineStr">
        <is>
          <t>Courtside Venture, Dan Bragiel, Deep Fork Capital, Haystack, Pascal Levy-Garboua, Will Bunker, Yee Lee</t>
        </is>
      </c>
      <c r="P488" s="45" t="inlineStr">
        <is>
          <t/>
        </is>
      </c>
      <c r="Q488" s="46" t="inlineStr">
        <is>
          <t>Broadcasting, Radio and Television</t>
        </is>
      </c>
      <c r="R488" s="47" t="inlineStr">
        <is>
          <t>Provider of an online sports podcast platform designed to connect sports fans with their favorite teams. The company's online sports podcast platform connects true sports fans with unlimited quality audio and video content of their favorite teams, enabling them to get the latest news and information of their favorite teams.</t>
        </is>
      </c>
      <c r="S488" s="48" t="inlineStr">
        <is>
          <t>San Francisco, CA</t>
        </is>
      </c>
      <c r="T488" s="49" t="inlineStr">
        <is>
          <t>www.vsporto.com</t>
        </is>
      </c>
      <c r="U488" s="132">
        <f>HYPERLINK("https://my.pitchbook.com?c=64557-82", "View company online")</f>
      </c>
    </row>
    <row r="489">
      <c r="A489" s="9" t="inlineStr">
        <is>
          <t>103110-49</t>
        </is>
      </c>
      <c r="B489" s="10" t="inlineStr">
        <is>
          <t>Vserv</t>
        </is>
      </c>
      <c r="C489" s="11" t="n">
        <v>27.0</v>
      </c>
      <c r="D489" s="12" t="n">
        <v>4.048267524458245</v>
      </c>
      <c r="E489" s="13" t="n">
        <v>12.544004442383219</v>
      </c>
      <c r="F489" s="14" t="n">
        <v>42066.0</v>
      </c>
      <c r="G489" s="15" t="inlineStr">
        <is>
          <t>Later Stage VC</t>
        </is>
      </c>
      <c r="H489" s="16" t="inlineStr">
        <is>
          <t>Series B</t>
        </is>
      </c>
      <c r="I489" s="17" t="n">
        <v>15.0</v>
      </c>
      <c r="J489" s="18" t="inlineStr">
        <is>
          <t/>
        </is>
      </c>
      <c r="K489" s="19" t="inlineStr">
        <is>
          <t>Completed</t>
        </is>
      </c>
      <c r="L489" s="20" t="inlineStr">
        <is>
          <t>Privately Held (backing)</t>
        </is>
      </c>
      <c r="M489" s="21" t="inlineStr">
        <is>
          <t>Venture Capital-Backed</t>
        </is>
      </c>
      <c r="N489" s="22" t="inlineStr">
        <is>
          <t>The company raised $15 million of Series B venture funding from lead investor Maverick Capital on March 3, 2015. IDG Ventures also participated.</t>
        </is>
      </c>
      <c r="O489" s="23" t="inlineStr">
        <is>
          <t>Ajay Adiseshann, Epiphany Ventures, IDG Ventures India, Maverick Capital, Maverick Ventures (San Francisco)</t>
        </is>
      </c>
      <c r="P489" s="24" t="inlineStr">
        <is>
          <t/>
        </is>
      </c>
      <c r="Q489" s="25" t="inlineStr">
        <is>
          <t>Social/Platform Software</t>
        </is>
      </c>
      <c r="R489" s="26" t="inlineStr">
        <is>
          <t>Developer of a smart data platform for mobile marketing and commerce. The company offers a mobile marketing platform that delivers smart data led results to marketers, application developers and data partners.</t>
        </is>
      </c>
      <c r="S489" s="27" t="inlineStr">
        <is>
          <t>Mumbai, India</t>
        </is>
      </c>
      <c r="T489" s="28" t="inlineStr">
        <is>
          <t>www.vserv.com</t>
        </is>
      </c>
      <c r="U489" s="131">
        <f>HYPERLINK("https://my.pitchbook.com?c=103110-49", "View company online")</f>
      </c>
    </row>
    <row r="490">
      <c r="A490" s="30" t="inlineStr">
        <is>
          <t>53517-25</t>
        </is>
      </c>
      <c r="B490" s="31" t="inlineStr">
        <is>
          <t>VSee</t>
        </is>
      </c>
      <c r="C490" s="32" t="inlineStr">
        <is>
          <t/>
        </is>
      </c>
      <c r="D490" s="33" t="n">
        <v>0.09744165773071899</v>
      </c>
      <c r="E490" s="34" t="n">
        <v>6.690363992795827</v>
      </c>
      <c r="F490" s="35" t="n">
        <v>40179.0</v>
      </c>
      <c r="G490" s="36" t="inlineStr">
        <is>
          <t>Grant</t>
        </is>
      </c>
      <c r="H490" s="37" t="inlineStr">
        <is>
          <t/>
        </is>
      </c>
      <c r="I490" s="38" t="n">
        <v>1.16</v>
      </c>
      <c r="J490" s="39" t="inlineStr">
        <is>
          <t/>
        </is>
      </c>
      <c r="K490" s="40" t="inlineStr">
        <is>
          <t>Completed</t>
        </is>
      </c>
      <c r="L490" s="41" t="inlineStr">
        <is>
          <t>Privately Held (backing)</t>
        </is>
      </c>
      <c r="M490" s="42" t="inlineStr">
        <is>
          <t>Venture Capital-Backed</t>
        </is>
      </c>
      <c r="N490" s="43" t="inlineStr">
        <is>
          <t>The company received $1.16 million of grant funding from National Science Foundation in 2010.</t>
        </is>
      </c>
      <c r="O490" s="44" t="inlineStr">
        <is>
          <t>Individual Investor, In-Q-Tel, National Science Foundation</t>
        </is>
      </c>
      <c r="P490" s="45" t="inlineStr">
        <is>
          <t/>
        </is>
      </c>
      <c r="Q490" s="46" t="inlineStr">
        <is>
          <t>Communication Software</t>
        </is>
      </c>
      <c r="R490" s="47" t="inlineStr">
        <is>
          <t>Provider of video collaboration software. The company develops a proprietary low-bandwidth, group video chat and screen-sharing software tool that allows multiple users in various locations to communicate in real-time by video and audio.</t>
        </is>
      </c>
      <c r="S490" s="48" t="inlineStr">
        <is>
          <t>Sunnyvale, CA</t>
        </is>
      </c>
      <c r="T490" s="49" t="inlineStr">
        <is>
          <t>www.vsee.com</t>
        </is>
      </c>
      <c r="U490" s="132">
        <f>HYPERLINK("https://my.pitchbook.com?c=53517-25", "View company online")</f>
      </c>
    </row>
    <row r="491">
      <c r="A491" s="9" t="inlineStr">
        <is>
          <t>62878-78</t>
        </is>
      </c>
      <c r="B491" s="10" t="inlineStr">
        <is>
          <t>VSCO</t>
        </is>
      </c>
      <c r="C491" s="11" t="inlineStr">
        <is>
          <t/>
        </is>
      </c>
      <c r="D491" s="12" t="n">
        <v>0.5281432806003148</v>
      </c>
      <c r="E491" s="13" t="n">
        <v>300.3331379120989</v>
      </c>
      <c r="F491" s="14" t="n">
        <v>42119.0</v>
      </c>
      <c r="G491" s="15" t="inlineStr">
        <is>
          <t>Early Stage VC</t>
        </is>
      </c>
      <c r="H491" s="16" t="inlineStr">
        <is>
          <t>Series B</t>
        </is>
      </c>
      <c r="I491" s="17" t="n">
        <v>30.0</v>
      </c>
      <c r="J491" s="18" t="n">
        <v>600.0</v>
      </c>
      <c r="K491" s="19" t="inlineStr">
        <is>
          <t>Completed</t>
        </is>
      </c>
      <c r="L491" s="20" t="inlineStr">
        <is>
          <t>Privately Held (backing)</t>
        </is>
      </c>
      <c r="M491" s="21" t="inlineStr">
        <is>
          <t>Venture Capital-Backed</t>
        </is>
      </c>
      <c r="N491" s="22" t="inlineStr">
        <is>
          <t>The company raised $30 million of Series B venture funding from lead investor Glynn Capital Management on April 25, 2015, putting the pre-money valuation at approximately $570 million. Accel Partners and Goldcrest Investments also participated.</t>
        </is>
      </c>
      <c r="O491" s="23" t="inlineStr">
        <is>
          <t>Accel, Glynn Capital Management, Goldcrest Capital</t>
        </is>
      </c>
      <c r="P491" s="24" t="inlineStr">
        <is>
          <t/>
        </is>
      </c>
      <c r="Q491" s="25" t="inlineStr">
        <is>
          <t>Social/Platform Software</t>
        </is>
      </c>
      <c r="R491" s="26" t="inlineStr">
        <is>
          <t>Developer of photo-editing software. The company provides a collection of digital film-emulation tools designed to give digital photos the tone and color balance of earlier film-based photography. Its software also has a social platform component, enabling users to share their work with others.</t>
        </is>
      </c>
      <c r="S491" s="27" t="inlineStr">
        <is>
          <t>Oakland, CA</t>
        </is>
      </c>
      <c r="T491" s="28" t="inlineStr">
        <is>
          <t>www.vsco.co</t>
        </is>
      </c>
      <c r="U491" s="131">
        <f>HYPERLINK("https://my.pitchbook.com?c=62878-78", "View company online")</f>
      </c>
    </row>
    <row r="492">
      <c r="A492" s="30" t="inlineStr">
        <is>
          <t>145511-83</t>
        </is>
      </c>
      <c r="B492" s="31" t="inlineStr">
        <is>
          <t>Vrtv</t>
        </is>
      </c>
      <c r="C492" s="32" t="inlineStr">
        <is>
          <t/>
        </is>
      </c>
      <c r="D492" s="33" t="n">
        <v>0.0</v>
      </c>
      <c r="E492" s="34" t="n">
        <v>0.3783783783783784</v>
      </c>
      <c r="F492" s="35" t="n">
        <v>42717.0</v>
      </c>
      <c r="G492" s="36" t="inlineStr">
        <is>
          <t>Early Stage VC</t>
        </is>
      </c>
      <c r="H492" s="37" t="inlineStr">
        <is>
          <t/>
        </is>
      </c>
      <c r="I492" s="38" t="n">
        <v>0.45</v>
      </c>
      <c r="J492" s="39" t="inlineStr">
        <is>
          <t/>
        </is>
      </c>
      <c r="K492" s="40" t="inlineStr">
        <is>
          <t>Announced/In Progress</t>
        </is>
      </c>
      <c r="L492" s="41" t="inlineStr">
        <is>
          <t>Privately Held (backing)</t>
        </is>
      </c>
      <c r="M492" s="42" t="inlineStr">
        <is>
          <t>Venture Capital-Backed</t>
        </is>
      </c>
      <c r="N492" s="43" t="inlineStr">
        <is>
          <t>The company closed on $450,000 of convertible debt financing from undisclosed investors on December 13, 2016. In August, the company raised $150,000 of venture funding from Keiretsu Forum. The company is being actively tracked by PitchBook.</t>
        </is>
      </c>
      <c r="O492" s="44" t="inlineStr">
        <is>
          <t>Keiretsu Forum, River, Seven Seas Partners</t>
        </is>
      </c>
      <c r="P492" s="45" t="inlineStr">
        <is>
          <t/>
        </is>
      </c>
      <c r="Q492" s="46" t="inlineStr">
        <is>
          <t>Entertainment Software</t>
        </is>
      </c>
      <c r="R492" s="47" t="inlineStr">
        <is>
          <t>Provider of a virtual reality content creation platform. The company provides a platform which allows creation, sharing and viewing of virtual reality content across all platforms (VR, Oculus,Vive), Mobile (Android,IOS) and Web (Facebook).</t>
        </is>
      </c>
      <c r="S492" s="48" t="inlineStr">
        <is>
          <t>Oakland, CA</t>
        </is>
      </c>
      <c r="T492" s="49" t="inlineStr">
        <is>
          <t>www.vrtv.io</t>
        </is>
      </c>
      <c r="U492" s="132">
        <f>HYPERLINK("https://my.pitchbook.com?c=145511-83", "View company online")</f>
      </c>
    </row>
    <row r="493">
      <c r="A493" s="9" t="inlineStr">
        <is>
          <t>118389-97</t>
        </is>
      </c>
      <c r="B493" s="10" t="inlineStr">
        <is>
          <t>Vrtify</t>
        </is>
      </c>
      <c r="C493" s="11" t="n">
        <v>29.0</v>
      </c>
      <c r="D493" s="12" t="n">
        <v>-0.44454623097852025</v>
      </c>
      <c r="E493" s="13" t="n">
        <v>2.7055240286080373</v>
      </c>
      <c r="F493" s="14" t="n">
        <v>42381.0</v>
      </c>
      <c r="G493" s="15" t="inlineStr">
        <is>
          <t>Seed Round</t>
        </is>
      </c>
      <c r="H493" s="16" t="inlineStr">
        <is>
          <t>Seed</t>
        </is>
      </c>
      <c r="I493" s="17" t="n">
        <v>3.2</v>
      </c>
      <c r="J493" s="18" t="inlineStr">
        <is>
          <t/>
        </is>
      </c>
      <c r="K493" s="19" t="inlineStr">
        <is>
          <t>Completed</t>
        </is>
      </c>
      <c r="L493" s="20" t="inlineStr">
        <is>
          <t>Privately Held (backing)</t>
        </is>
      </c>
      <c r="M493" s="21" t="inlineStr">
        <is>
          <t>Venture Capital-Backed</t>
        </is>
      </c>
      <c r="N493" s="22" t="inlineStr">
        <is>
          <t>The company raised $3.2 million of seed funding in the form of convertible notes from Angel Ventures Mexico and Hernán Fernández Lamadrid on January 12, 2016.</t>
        </is>
      </c>
      <c r="O493" s="23" t="inlineStr">
        <is>
          <t>Angel Ventures</t>
        </is>
      </c>
      <c r="P493" s="24" t="inlineStr">
        <is>
          <t/>
        </is>
      </c>
      <c r="Q493" s="25" t="inlineStr">
        <is>
          <t>Movies, Music and Entertainment</t>
        </is>
      </c>
      <c r="R493" s="26" t="inlineStr">
        <is>
          <t>Developer of a virtual reality music platform. The company's software enables users to play music from their phone or online accounts and also allows for live music streaming.</t>
        </is>
      </c>
      <c r="S493" s="27" t="inlineStr">
        <is>
          <t>Palo Alto, CA</t>
        </is>
      </c>
      <c r="T493" s="28" t="inlineStr">
        <is>
          <t>www.vrtify.com</t>
        </is>
      </c>
      <c r="U493" s="131">
        <f>HYPERLINK("https://my.pitchbook.com?c=118389-97", "View company online")</f>
      </c>
    </row>
    <row r="494">
      <c r="A494" s="30" t="inlineStr">
        <is>
          <t>122673-79</t>
        </is>
      </c>
      <c r="B494" s="31" t="inlineStr">
        <is>
          <t>VRChat</t>
        </is>
      </c>
      <c r="C494" s="32" t="inlineStr">
        <is>
          <t/>
        </is>
      </c>
      <c r="D494" s="33" t="n">
        <v>0.15753547205319623</v>
      </c>
      <c r="E494" s="34" t="n">
        <v>4.965010162283559</v>
      </c>
      <c r="F494" s="35" t="n">
        <v>42647.0</v>
      </c>
      <c r="G494" s="36" t="inlineStr">
        <is>
          <t>Seed Round</t>
        </is>
      </c>
      <c r="H494" s="37" t="inlineStr">
        <is>
          <t>Seed</t>
        </is>
      </c>
      <c r="I494" s="38" t="n">
        <v>1.2</v>
      </c>
      <c r="J494" s="39" t="inlineStr">
        <is>
          <t/>
        </is>
      </c>
      <c r="K494" s="40" t="inlineStr">
        <is>
          <t>Completed</t>
        </is>
      </c>
      <c r="L494" s="41" t="inlineStr">
        <is>
          <t>Privately Held (backing)</t>
        </is>
      </c>
      <c r="M494" s="42" t="inlineStr">
        <is>
          <t>Venture Capital-Backed</t>
        </is>
      </c>
      <c r="N494" s="43" t="inlineStr">
        <is>
          <t>The company raised $1.2 million of seed funding from HTC, Rothenberg Ventures and GREE VR Capital on October 4, 2016. Brightstone Venture Capital also participated. The company intends to use the funds for continued expansion and for further investment in product development.</t>
        </is>
      </c>
      <c r="O494" s="44" t="inlineStr">
        <is>
          <t>Brightstone Venture Capital, GREE, HTC, River, Rothenberg Ventures</t>
        </is>
      </c>
      <c r="P494" s="45" t="inlineStr">
        <is>
          <t/>
        </is>
      </c>
      <c r="Q494" s="46" t="inlineStr">
        <is>
          <t>Application Software</t>
        </is>
      </c>
      <c r="R494" s="47" t="inlineStr">
        <is>
          <t>Developer of a social virtual reality platform. The company develops a social virtual reality platform that allows users to users to explore, socialize and create with other users from around the world.</t>
        </is>
      </c>
      <c r="S494" s="48" t="inlineStr">
        <is>
          <t>San Francisco, CA</t>
        </is>
      </c>
      <c r="T494" s="49" t="inlineStr">
        <is>
          <t>www.vrchat.com</t>
        </is>
      </c>
      <c r="U494" s="132">
        <f>HYPERLINK("https://my.pitchbook.com?c=122673-79", "View company online")</f>
      </c>
    </row>
    <row r="495">
      <c r="A495" s="9" t="inlineStr">
        <is>
          <t>139884-58</t>
        </is>
      </c>
      <c r="B495" s="10" t="inlineStr">
        <is>
          <t>VR Medical</t>
        </is>
      </c>
      <c r="C495" s="11" t="inlineStr">
        <is>
          <t/>
        </is>
      </c>
      <c r="D495" s="12" t="n">
        <v>0.0</v>
      </c>
      <c r="E495" s="13" t="n">
        <v>0.32432432432432434</v>
      </c>
      <c r="F495" s="14" t="inlineStr">
        <is>
          <t/>
        </is>
      </c>
      <c r="G495" s="15" t="inlineStr">
        <is>
          <t>Early Stage VC</t>
        </is>
      </c>
      <c r="H495" s="16" t="inlineStr">
        <is>
          <t/>
        </is>
      </c>
      <c r="I495" s="17" t="inlineStr">
        <is>
          <t/>
        </is>
      </c>
      <c r="J495" s="18" t="inlineStr">
        <is>
          <t/>
        </is>
      </c>
      <c r="K495" s="19" t="inlineStr">
        <is>
          <t>Completed</t>
        </is>
      </c>
      <c r="L495" s="20" t="inlineStr">
        <is>
          <t>Privately Held (backing)</t>
        </is>
      </c>
      <c r="M495" s="21" t="inlineStr">
        <is>
          <t>Venture Capital-Backed</t>
        </is>
      </c>
      <c r="N495" s="22" t="inlineStr">
        <is>
          <t>The company raised venture funding from Qiming Venture Partners on an undisclosed date.</t>
        </is>
      </c>
      <c r="O495" s="23" t="inlineStr">
        <is>
          <t>Qiming Venture Partners</t>
        </is>
      </c>
      <c r="P495" s="24" t="inlineStr">
        <is>
          <t/>
        </is>
      </c>
      <c r="Q495" s="25" t="inlineStr">
        <is>
          <t>Medical Supplies</t>
        </is>
      </c>
      <c r="R495" s="26" t="inlineStr">
        <is>
          <t>Manufacturer of medical devices designed to provide proper medication facilities. The company's medical devices offer product development and low cost manufacturing for disposable products and electronic devices for private label to OEMs and distributors worldwide, enabling medical markets to focus on respiratory care, critical care, blood purification, and advanced wound care.</t>
        </is>
      </c>
      <c r="S495" s="27" t="inlineStr">
        <is>
          <t>Arcadia, CA</t>
        </is>
      </c>
      <c r="T495" s="28" t="inlineStr">
        <is>
          <t>www.vrmedical.net</t>
        </is>
      </c>
      <c r="U495" s="131">
        <f>HYPERLINK("https://my.pitchbook.com?c=139884-58", "View company online")</f>
      </c>
    </row>
    <row r="496">
      <c r="A496" s="30" t="inlineStr">
        <is>
          <t>172629-46</t>
        </is>
      </c>
      <c r="B496" s="31" t="inlineStr">
        <is>
          <t>VOZ Sports</t>
        </is>
      </c>
      <c r="C496" s="98">
        <f>HYPERLINK("https://my.pitchbook.com?rrp=172629-46&amp;type=c", "This Company's information is not available to download. Need this Company? Request availability")</f>
      </c>
      <c r="D496" s="33" t="inlineStr">
        <is>
          <t/>
        </is>
      </c>
      <c r="E496" s="34" t="inlineStr">
        <is>
          <t/>
        </is>
      </c>
      <c r="F496" s="35" t="inlineStr">
        <is>
          <t/>
        </is>
      </c>
      <c r="G496" s="36" t="inlineStr">
        <is>
          <t/>
        </is>
      </c>
      <c r="H496" s="37" t="inlineStr">
        <is>
          <t/>
        </is>
      </c>
      <c r="I496" s="38" t="inlineStr">
        <is>
          <t/>
        </is>
      </c>
      <c r="J496" s="39" t="inlineStr">
        <is>
          <t/>
        </is>
      </c>
      <c r="K496" s="40" t="inlineStr">
        <is>
          <t/>
        </is>
      </c>
      <c r="L496" s="41" t="inlineStr">
        <is>
          <t/>
        </is>
      </c>
      <c r="M496" s="42" t="inlineStr">
        <is>
          <t/>
        </is>
      </c>
      <c r="N496" s="43" t="inlineStr">
        <is>
          <t/>
        </is>
      </c>
      <c r="O496" s="44" t="inlineStr">
        <is>
          <t/>
        </is>
      </c>
      <c r="P496" s="45" t="inlineStr">
        <is>
          <t/>
        </is>
      </c>
      <c r="Q496" s="46" t="inlineStr">
        <is>
          <t/>
        </is>
      </c>
      <c r="R496" s="47" t="inlineStr">
        <is>
          <t/>
        </is>
      </c>
      <c r="S496" s="48" t="inlineStr">
        <is>
          <t/>
        </is>
      </c>
      <c r="T496" s="49" t="inlineStr">
        <is>
          <t/>
        </is>
      </c>
      <c r="U496" s="50" t="inlineStr">
        <is>
          <t/>
        </is>
      </c>
    </row>
    <row r="497">
      <c r="A497" s="9" t="inlineStr">
        <is>
          <t>167489-92</t>
        </is>
      </c>
      <c r="B497" s="10" t="inlineStr">
        <is>
          <t>Voyomotive</t>
        </is>
      </c>
      <c r="C497" s="11" t="inlineStr">
        <is>
          <t/>
        </is>
      </c>
      <c r="D497" s="12" t="n">
        <v>0.006948332945716557</v>
      </c>
      <c r="E497" s="13" t="n">
        <v>2.7688801998124033</v>
      </c>
      <c r="F497" s="14" t="n">
        <v>42329.0</v>
      </c>
      <c r="G497" s="15" t="inlineStr">
        <is>
          <t>Product Crowdfunding</t>
        </is>
      </c>
      <c r="H497" s="16" t="inlineStr">
        <is>
          <t/>
        </is>
      </c>
      <c r="I497" s="17" t="n">
        <v>0.09</v>
      </c>
      <c r="J497" s="18" t="inlineStr">
        <is>
          <t/>
        </is>
      </c>
      <c r="K497" s="19" t="inlineStr">
        <is>
          <t>Completed</t>
        </is>
      </c>
      <c r="L497" s="20" t="inlineStr">
        <is>
          <t>Privately Held (backing)</t>
        </is>
      </c>
      <c r="M497" s="21" t="inlineStr">
        <is>
          <t>Venture Capital-Backed</t>
        </is>
      </c>
      <c r="N497" s="22" t="inlineStr">
        <is>
          <t>The company raised $90,514 of product crowdfunding via Kickstarter on November 21, 2015.</t>
        </is>
      </c>
      <c r="O497" s="23" t="inlineStr">
        <is>
          <t>frogVentures</t>
        </is>
      </c>
      <c r="P497" s="24" t="inlineStr">
        <is>
          <t/>
        </is>
      </c>
      <c r="Q497" s="25" t="inlineStr">
        <is>
          <t>Electronics (B2C)</t>
        </is>
      </c>
      <c r="R497" s="26" t="inlineStr">
        <is>
          <t>Provider of a cloud-based plug and play system designed to connect with cars. The company's cloud-based plug and play system connects car with user's phone and transfers GPS data to owner's mobile application, enabling users to increase their driving safety, anti-theft assurance, convenience and fuel efficiency.</t>
        </is>
      </c>
      <c r="S497" s="27" t="inlineStr">
        <is>
          <t>San Francisco, CA</t>
        </is>
      </c>
      <c r="T497" s="28" t="inlineStr">
        <is>
          <t>www.voyomotive.com</t>
        </is>
      </c>
      <c r="U497" s="131">
        <f>HYPERLINK("https://my.pitchbook.com?c=167489-92", "View company online")</f>
      </c>
    </row>
    <row r="498">
      <c r="A498" s="30" t="inlineStr">
        <is>
          <t>153360-37</t>
        </is>
      </c>
      <c r="B498" s="31" t="inlineStr">
        <is>
          <t>Voyajoy</t>
        </is>
      </c>
      <c r="C498" s="32" t="inlineStr">
        <is>
          <t/>
        </is>
      </c>
      <c r="D498" s="33" t="n">
        <v>0.0</v>
      </c>
      <c r="E498" s="34" t="n">
        <v>0.19679368809803593</v>
      </c>
      <c r="F498" s="35" t="inlineStr">
        <is>
          <t/>
        </is>
      </c>
      <c r="G498" s="36" t="inlineStr">
        <is>
          <t>Early Stage VC</t>
        </is>
      </c>
      <c r="H498" s="37" t="inlineStr">
        <is>
          <t/>
        </is>
      </c>
      <c r="I498" s="38" t="inlineStr">
        <is>
          <t/>
        </is>
      </c>
      <c r="J498" s="39" t="inlineStr">
        <is>
          <t/>
        </is>
      </c>
      <c r="K498" s="40" t="inlineStr">
        <is>
          <t>Completed</t>
        </is>
      </c>
      <c r="L498" s="41" t="inlineStr">
        <is>
          <t>Privately Held (backing)</t>
        </is>
      </c>
      <c r="M498" s="42" t="inlineStr">
        <is>
          <t>Venture Capital-Backed</t>
        </is>
      </c>
      <c r="N498" s="43" t="inlineStr">
        <is>
          <t>The company raised venture funding from Rosecliff Ventures on an undisclosed date. Previously, the company joined 500 Startups as part of its Batch 16, and received $125,000 in funding on January 27, 2016.</t>
        </is>
      </c>
      <c r="O498" s="44" t="inlineStr">
        <is>
          <t>500 Startups, Rosecliff Ventures</t>
        </is>
      </c>
      <c r="P498" s="45" t="inlineStr">
        <is>
          <t/>
        </is>
      </c>
      <c r="Q498" s="46" t="inlineStr">
        <is>
          <t>Application Software</t>
        </is>
      </c>
      <c r="R498" s="47" t="inlineStr">
        <is>
          <t>Provider of vacation rental property management services. The company offers an automation software that helps users to manage rental properties, handle booking requests, screen guests and manage cleanings.</t>
        </is>
      </c>
      <c r="S498" s="48" t="inlineStr">
        <is>
          <t>San Francisco, CA</t>
        </is>
      </c>
      <c r="T498" s="49" t="inlineStr">
        <is>
          <t>www.voyajoy.com</t>
        </is>
      </c>
      <c r="U498" s="132">
        <f>HYPERLINK("https://my.pitchbook.com?c=153360-37", "View company online")</f>
      </c>
    </row>
    <row r="499">
      <c r="A499" s="9" t="inlineStr">
        <is>
          <t>156251-89</t>
        </is>
      </c>
      <c r="B499" s="10" t="inlineStr">
        <is>
          <t>VoyageOne</t>
        </is>
      </c>
      <c r="C499" s="11" t="inlineStr">
        <is>
          <t/>
        </is>
      </c>
      <c r="D499" s="12" t="n">
        <v>0.0</v>
      </c>
      <c r="E499" s="13" t="n">
        <v>0.5067368637191777</v>
      </c>
      <c r="F499" s="14" t="n">
        <v>42390.0</v>
      </c>
      <c r="G499" s="15" t="inlineStr">
        <is>
          <t>Early Stage VC</t>
        </is>
      </c>
      <c r="H499" s="16" t="inlineStr">
        <is>
          <t>Series A</t>
        </is>
      </c>
      <c r="I499" s="17" t="inlineStr">
        <is>
          <t/>
        </is>
      </c>
      <c r="J499" s="18" t="inlineStr">
        <is>
          <t/>
        </is>
      </c>
      <c r="K499" s="19" t="inlineStr">
        <is>
          <t>Completed</t>
        </is>
      </c>
      <c r="L499" s="20" t="inlineStr">
        <is>
          <t>Privately Held (backing)</t>
        </is>
      </c>
      <c r="M499" s="21" t="inlineStr">
        <is>
          <t>Venture Capital-Backed</t>
        </is>
      </c>
      <c r="N499" s="22" t="inlineStr">
        <is>
          <t>The company raised Series A venture funding from undisclosed investors on January 21, 2016.</t>
        </is>
      </c>
      <c r="O499" s="23" t="inlineStr">
        <is>
          <t/>
        </is>
      </c>
      <c r="P499" s="24" t="inlineStr">
        <is>
          <t/>
        </is>
      </c>
      <c r="Q499" s="25" t="inlineStr">
        <is>
          <t>Internet Retail</t>
        </is>
      </c>
      <c r="R499" s="26" t="inlineStr">
        <is>
          <t>Provider of a cloud-based e-commerce platform. The company provides a turnkey cloud-based eCommerce services that enable the United States retailer and manufacturers to integrate, manage and optimize their product sales across online channels in China's market.</t>
        </is>
      </c>
      <c r="S499" s="27" t="inlineStr">
        <is>
          <t>Cerritos, CA</t>
        </is>
      </c>
      <c r="T499" s="28" t="inlineStr">
        <is>
          <t>www.voyageone.com</t>
        </is>
      </c>
      <c r="U499" s="131">
        <f>HYPERLINK("https://my.pitchbook.com?c=156251-89", "View company online")</f>
      </c>
    </row>
    <row r="500">
      <c r="A500" s="30" t="inlineStr">
        <is>
          <t>179508-16</t>
        </is>
      </c>
      <c r="B500" s="31" t="inlineStr">
        <is>
          <t>Voyage</t>
        </is>
      </c>
      <c r="C500" s="32" t="inlineStr">
        <is>
          <t/>
        </is>
      </c>
      <c r="D500" s="33" t="n">
        <v>8.711360106765307</v>
      </c>
      <c r="E500" s="34" t="n">
        <v>3.7824858757062145</v>
      </c>
      <c r="F500" s="35" t="n">
        <v>42736.0</v>
      </c>
      <c r="G500" s="36" t="inlineStr">
        <is>
          <t>Seed Round</t>
        </is>
      </c>
      <c r="H500" s="37" t="inlineStr">
        <is>
          <t>Seed</t>
        </is>
      </c>
      <c r="I500" s="38" t="inlineStr">
        <is>
          <t/>
        </is>
      </c>
      <c r="J500" s="39" t="inlineStr">
        <is>
          <t/>
        </is>
      </c>
      <c r="K500" s="40" t="inlineStr">
        <is>
          <t>Completed</t>
        </is>
      </c>
      <c r="L500" s="41" t="inlineStr">
        <is>
          <t>Privately Held (backing)</t>
        </is>
      </c>
      <c r="M500" s="42" t="inlineStr">
        <is>
          <t>Venture Capital-Backed</t>
        </is>
      </c>
      <c r="N500" s="43" t="inlineStr">
        <is>
          <t>The company raised an undisclosed amount of seed funding from Khosla Ventures, Initialized Capital, and Charles River Ventures in 2017.</t>
        </is>
      </c>
      <c r="O500" s="44" t="inlineStr">
        <is>
          <t>Charles River Ventures, Initialized Capital, Khosla Ventures, Udacity</t>
        </is>
      </c>
      <c r="P500" s="45" t="inlineStr">
        <is>
          <t/>
        </is>
      </c>
      <c r="Q500" s="46" t="inlineStr">
        <is>
          <t>Automotive</t>
        </is>
      </c>
      <c r="R500" s="47" t="inlineStr">
        <is>
          <t>Provider of autonomous taxi service intended to carry people anywhere for a very low cost. The company's autonomous taxi service focuses on creating a fleet of self-driving taxis using retrofitted mass-production automobiles, enabling passengers to control the whole experience.</t>
        </is>
      </c>
      <c r="S500" s="48" t="inlineStr">
        <is>
          <t>San Jose, CA</t>
        </is>
      </c>
      <c r="T500" s="49" t="inlineStr">
        <is>
          <t>www.voyage.auto</t>
        </is>
      </c>
      <c r="U500" s="132">
        <f>HYPERLINK("https://my.pitchbook.com?c=179508-16", "View company online")</f>
      </c>
    </row>
    <row r="501">
      <c r="A501" s="9" t="inlineStr">
        <is>
          <t>55969-84</t>
        </is>
      </c>
      <c r="B501" s="10" t="inlineStr">
        <is>
          <t>Voxox</t>
        </is>
      </c>
      <c r="C501" s="11" t="inlineStr">
        <is>
          <t/>
        </is>
      </c>
      <c r="D501" s="12" t="n">
        <v>-0.1805377448861848</v>
      </c>
      <c r="E501" s="13" t="n">
        <v>24.713574923486494</v>
      </c>
      <c r="F501" s="14" t="n">
        <v>42451.0</v>
      </c>
      <c r="G501" s="15" t="inlineStr">
        <is>
          <t>Later Stage VC</t>
        </is>
      </c>
      <c r="H501" s="16" t="inlineStr">
        <is>
          <t/>
        </is>
      </c>
      <c r="I501" s="17" t="n">
        <v>5.46</v>
      </c>
      <c r="J501" s="18" t="inlineStr">
        <is>
          <t/>
        </is>
      </c>
      <c r="K501" s="19" t="inlineStr">
        <is>
          <t>Completed</t>
        </is>
      </c>
      <c r="L501" s="20" t="inlineStr">
        <is>
          <t>Privately Held (backing)</t>
        </is>
      </c>
      <c r="M501" s="21" t="inlineStr">
        <is>
          <t>Venture Capital-Backed</t>
        </is>
      </c>
      <c r="N501" s="22" t="inlineStr">
        <is>
          <t>The company raised $5.46 million of venture funding from undisclosed investors on March 22, 2016.</t>
        </is>
      </c>
      <c r="O501" s="23" t="inlineStr">
        <is>
          <t>SBD Global Fund</t>
        </is>
      </c>
      <c r="P501" s="24" t="inlineStr">
        <is>
          <t/>
        </is>
      </c>
      <c r="Q501" s="25" t="inlineStr">
        <is>
          <t>Application Software</t>
        </is>
      </c>
      <c r="R501" s="26" t="inlineStr">
        <is>
          <t>Provider of unified cloud communication services for consumers and businesses. The company offers VoxOx desktop and iPhone applications that combine features like VoIP calling, texting, chatting and faxing with social networking.</t>
        </is>
      </c>
      <c r="S501" s="27" t="inlineStr">
        <is>
          <t>San Diego, CA</t>
        </is>
      </c>
      <c r="T501" s="28" t="inlineStr">
        <is>
          <t>www.voxox.com</t>
        </is>
      </c>
      <c r="U501" s="131">
        <f>HYPERLINK("https://my.pitchbook.com?c=55969-84", "View company online")</f>
      </c>
    </row>
    <row r="502">
      <c r="A502" s="30" t="inlineStr">
        <is>
          <t>53913-34</t>
        </is>
      </c>
      <c r="B502" s="31" t="inlineStr">
        <is>
          <t>Voxer</t>
        </is>
      </c>
      <c r="C502" s="32" t="inlineStr">
        <is>
          <t/>
        </is>
      </c>
      <c r="D502" s="33" t="n">
        <v>0.01764417937024956</v>
      </c>
      <c r="E502" s="34" t="n">
        <v>256.71100765467014</v>
      </c>
      <c r="F502" s="35" t="n">
        <v>41435.0</v>
      </c>
      <c r="G502" s="36" t="inlineStr">
        <is>
          <t>Later Stage VC</t>
        </is>
      </c>
      <c r="H502" s="37" t="inlineStr">
        <is>
          <t>Series B2</t>
        </is>
      </c>
      <c r="I502" s="38" t="n">
        <v>13.5</v>
      </c>
      <c r="J502" s="39" t="n">
        <v>212.0</v>
      </c>
      <c r="K502" s="40" t="inlineStr">
        <is>
          <t>Completed</t>
        </is>
      </c>
      <c r="L502" s="41" t="inlineStr">
        <is>
          <t>Privately Held (backing)</t>
        </is>
      </c>
      <c r="M502" s="42" t="inlineStr">
        <is>
          <t>Venture Capital-Backed</t>
        </is>
      </c>
      <c r="N502" s="43" t="inlineStr">
        <is>
          <t>The company raised $13.5 million of Series B2 venture funding from Solebury Capital Group, IT-Farm Corporation and RSTP on June 10, 2013 putting the company's valuation at $198.5 million. AFSquare, Scott Sahadi, Michael Acheson and other undisclosed investors. Previously, the company raised $14.8 million of Series B venture funding from lead partner Institutional Venture Partners on April 11, 2012, putting the pre-money valuation at $183.69 million. Intel Capital, SV Angel, Webb Investment Network, CrunchFund, Windcrest Partners, Chris Dixon, Jim Pallotta, Matt Brezina and Roger McNamee also participated.</t>
        </is>
      </c>
      <c r="O502" s="44" t="inlineStr">
        <is>
          <t>AFSquare, Brian Pokorny, Christopher Dixon, CrunchFund, Individual Investor, Intel Capital, IT-Farm Corporation, IVP, James Pallotta, Matthew Brezina, Michael Acheson, Pilot Growth Equity, Roger McNamee, Scott Sahadi, Solebury Capital Group, SV Angel, Troy Carter, Webb Investment Network, William Tai, Windcrest Partners</t>
        </is>
      </c>
      <c r="P502" s="45" t="inlineStr">
        <is>
          <t/>
        </is>
      </c>
      <c r="Q502" s="46" t="inlineStr">
        <is>
          <t>Application Software</t>
        </is>
      </c>
      <c r="R502" s="47" t="inlineStr">
        <is>
          <t>Provider of a walkie talkie application for smartphones. The company offers an instant voice communications application for Android, iPhone, Windows Phone 8 and desktop that enables its users to send instant audio, text and photo messages.</t>
        </is>
      </c>
      <c r="S502" s="48" t="inlineStr">
        <is>
          <t>San Francisco, CA</t>
        </is>
      </c>
      <c r="T502" s="49" t="inlineStr">
        <is>
          <t>www.voxer.com</t>
        </is>
      </c>
      <c r="U502" s="132">
        <f>HYPERLINK("https://my.pitchbook.com?c=53913-34", "View company online")</f>
      </c>
    </row>
    <row r="503">
      <c r="A503" s="9" t="inlineStr">
        <is>
          <t>181314-10</t>
        </is>
      </c>
      <c r="B503" s="10" t="inlineStr">
        <is>
          <t>VoxelCloud</t>
        </is>
      </c>
      <c r="C503" s="97">
        <f>HYPERLINK("https://my.pitchbook.com?rrp=181314-10&amp;type=c",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c r="S503" s="27" t="inlineStr">
        <is>
          <t/>
        </is>
      </c>
      <c r="T503" s="28" t="inlineStr">
        <is>
          <t/>
        </is>
      </c>
      <c r="U503" s="29" t="inlineStr">
        <is>
          <t/>
        </is>
      </c>
    </row>
    <row r="504">
      <c r="A504" s="30" t="inlineStr">
        <is>
          <t>57583-99</t>
        </is>
      </c>
      <c r="B504" s="31" t="inlineStr">
        <is>
          <t>Voxeet</t>
        </is>
      </c>
      <c r="C504" s="32" t="inlineStr">
        <is>
          <t/>
        </is>
      </c>
      <c r="D504" s="33" t="n">
        <v>-0.11470912394061829</v>
      </c>
      <c r="E504" s="34" t="n">
        <v>9.362270589886656</v>
      </c>
      <c r="F504" s="35" t="n">
        <v>42583.0</v>
      </c>
      <c r="G504" s="36" t="inlineStr">
        <is>
          <t>Accelerator/Incubator</t>
        </is>
      </c>
      <c r="H504" s="37" t="inlineStr">
        <is>
          <t/>
        </is>
      </c>
      <c r="I504" s="38" t="n">
        <v>0.13</v>
      </c>
      <c r="J504" s="39" t="n">
        <v>2.5</v>
      </c>
      <c r="K504" s="40" t="inlineStr">
        <is>
          <t>Completed</t>
        </is>
      </c>
      <c r="L504" s="41" t="inlineStr">
        <is>
          <t>Privately Held (backing)</t>
        </is>
      </c>
      <c r="M504" s="42" t="inlineStr">
        <is>
          <t>Venture Capital-Backed</t>
        </is>
      </c>
      <c r="N504" s="43" t="inlineStr">
        <is>
          <t>The company joined 500 Startups as a part of the 18th Batch on August 1, 2016, and received $125,000 in funding, putting the company's pre-money valuation at $2.38 million.</t>
        </is>
      </c>
      <c r="O504" s="44" t="inlineStr">
        <is>
          <t>500 Startups, AQUITI Gestion, Han-Sheong Lai, Jérémie Berrebi, Kima Ventures, LDV Partners, Oleg Tscheltzoff, Partech Ventures, Susan Xu</t>
        </is>
      </c>
      <c r="P504" s="45" t="inlineStr">
        <is>
          <t/>
        </is>
      </c>
      <c r="Q504" s="46" t="inlineStr">
        <is>
          <t>Communication Software</t>
        </is>
      </c>
      <c r="R504" s="47" t="inlineStr">
        <is>
          <t>Provider of audio conference technology and services. The company provides TrueVoice, 3D surround sound technology and collaboration capabilities for conference rooms run by distributed teams.</t>
        </is>
      </c>
      <c r="S504" s="48" t="inlineStr">
        <is>
          <t>Sausalito, CA</t>
        </is>
      </c>
      <c r="T504" s="49" t="inlineStr">
        <is>
          <t>www.voxeet.com</t>
        </is>
      </c>
      <c r="U504" s="132">
        <f>HYPERLINK("https://my.pitchbook.com?c=57583-99", "View company online")</f>
      </c>
    </row>
    <row r="505">
      <c r="A505" s="9" t="inlineStr">
        <is>
          <t>51252-85</t>
        </is>
      </c>
      <c r="B505" s="10" t="inlineStr">
        <is>
          <t>Vox Media</t>
        </is>
      </c>
      <c r="C505" s="11" t="inlineStr">
        <is>
          <t/>
        </is>
      </c>
      <c r="D505" s="12" t="n">
        <v>0.3304207710495033</v>
      </c>
      <c r="E505" s="13" t="n">
        <v>35.757960487068814</v>
      </c>
      <c r="F505" s="14" t="n">
        <v>42229.0</v>
      </c>
      <c r="G505" s="15" t="inlineStr">
        <is>
          <t>Corporate</t>
        </is>
      </c>
      <c r="H505" s="16" t="inlineStr">
        <is>
          <t>Series G</t>
        </is>
      </c>
      <c r="I505" s="17" t="n">
        <v>200.0</v>
      </c>
      <c r="J505" s="18" t="n">
        <v>1066.09</v>
      </c>
      <c r="K505" s="19" t="inlineStr">
        <is>
          <t>Completed</t>
        </is>
      </c>
      <c r="L505" s="20" t="inlineStr">
        <is>
          <t>Privately Held (backing)</t>
        </is>
      </c>
      <c r="M505" s="21" t="inlineStr">
        <is>
          <t>Venture Capital-Backed</t>
        </is>
      </c>
      <c r="N505" s="22" t="inlineStr">
        <is>
          <t>The company received $200 million of Series G financing from NBCUniversal on August 13, 2015, putting the company's pre-money valuation at $866 million. It also raised $46.5 million of Series F venture funding in a deal led by General Atlantic on November 30, 2014, putting the company's pre-money valuation at $318.5 million.</t>
        </is>
      </c>
      <c r="O505" s="23" t="inlineStr">
        <is>
          <t>Accel, Allen &amp; Company, Brent Jones, Comcast Ventures, Daniel Rosensweig, General Atlantic, Jeffrey Weiner, Khosla Ventures, NBCUniversal, Ted Leonsis</t>
        </is>
      </c>
      <c r="P505" s="24" t="inlineStr">
        <is>
          <t/>
        </is>
      </c>
      <c r="Q505" s="25" t="inlineStr">
        <is>
          <t>Media and Information Services (B2B)</t>
        </is>
      </c>
      <c r="R505" s="26" t="inlineStr">
        <is>
          <t>Operator of an online media publishing company designed to build smart brands that people love. The company owns and operates three online portals in distinct vertical categories such as SB Nation, an online sports media brand and network of fan centric communities, The Verge, focused on technology news and Polygon, a media outlet focused on adult gamers.</t>
        </is>
      </c>
      <c r="S505" s="27" t="inlineStr">
        <is>
          <t>Washington, DC</t>
        </is>
      </c>
      <c r="T505" s="28" t="inlineStr">
        <is>
          <t>www.voxmedia.com</t>
        </is>
      </c>
      <c r="U505" s="131">
        <f>HYPERLINK("https://my.pitchbook.com?c=51252-85", "View company online")</f>
      </c>
    </row>
    <row r="506">
      <c r="A506" s="30" t="inlineStr">
        <is>
          <t>99461-98</t>
        </is>
      </c>
      <c r="B506" s="31" t="inlineStr">
        <is>
          <t>VOX (Coppertino)</t>
        </is>
      </c>
      <c r="C506" s="32" t="inlineStr">
        <is>
          <t/>
        </is>
      </c>
      <c r="D506" s="33" t="n">
        <v>-2.4092911008918425</v>
      </c>
      <c r="E506" s="34" t="n">
        <v>5.62375513211917</v>
      </c>
      <c r="F506" s="35" t="n">
        <v>42116.0</v>
      </c>
      <c r="G506" s="36" t="inlineStr">
        <is>
          <t>Angel (individual)</t>
        </is>
      </c>
      <c r="H506" s="37" t="inlineStr">
        <is>
          <t>Angel</t>
        </is>
      </c>
      <c r="I506" s="38" t="n">
        <v>0.2</v>
      </c>
      <c r="J506" s="39" t="inlineStr">
        <is>
          <t/>
        </is>
      </c>
      <c r="K506" s="40" t="inlineStr">
        <is>
          <t>Completed</t>
        </is>
      </c>
      <c r="L506" s="41" t="inlineStr">
        <is>
          <t>Privately Held (backing)</t>
        </is>
      </c>
      <c r="M506" s="42" t="inlineStr">
        <is>
          <t>Venture Capital-Backed</t>
        </is>
      </c>
      <c r="N506" s="43" t="inlineStr">
        <is>
          <t>The company raised $200,000 of angel funding from BeValue on April 22, 2015.</t>
        </is>
      </c>
      <c r="O506" s="44" t="inlineStr">
        <is>
          <t>AVentures Capital, BeValue, GrowthUP Business Accelerator, Iig Internet Investments Group, TA Ventures</t>
        </is>
      </c>
      <c r="P506" s="45" t="inlineStr">
        <is>
          <t/>
        </is>
      </c>
      <c r="Q506" s="46" t="inlineStr">
        <is>
          <t>Movies, Music and Entertainment</t>
        </is>
      </c>
      <c r="R506" s="47" t="inlineStr">
        <is>
          <t>Developer of an audio player for MAC. The company develops audio player application which supports playing different file formats including the ones that are not supported by iTunes with minimalistic interface for the MAC application store where there are no audio losses, enabling users to experience better sound and music quality.</t>
        </is>
      </c>
      <c r="S506" s="48" t="inlineStr">
        <is>
          <t>Wilmington, DE</t>
        </is>
      </c>
      <c r="T506" s="49" t="inlineStr">
        <is>
          <t>vox.rocks</t>
        </is>
      </c>
      <c r="U506" s="132">
        <f>HYPERLINK("https://my.pitchbook.com?c=99461-98", "View company online")</f>
      </c>
    </row>
    <row r="507">
      <c r="A507" s="9" t="inlineStr">
        <is>
          <t>60946-93</t>
        </is>
      </c>
      <c r="B507" s="10" t="inlineStr">
        <is>
          <t>Vow To Be Chic</t>
        </is>
      </c>
      <c r="C507" s="11" t="inlineStr">
        <is>
          <t/>
        </is>
      </c>
      <c r="D507" s="12" t="n">
        <v>1.1785909844406486</v>
      </c>
      <c r="E507" s="13" t="n">
        <v>27.522265051133875</v>
      </c>
      <c r="F507" s="14" t="n">
        <v>42536.0</v>
      </c>
      <c r="G507" s="15" t="inlineStr">
        <is>
          <t>Early Stage VC</t>
        </is>
      </c>
      <c r="H507" s="16" t="inlineStr">
        <is>
          <t>Series A</t>
        </is>
      </c>
      <c r="I507" s="17" t="n">
        <v>5.0</v>
      </c>
      <c r="J507" s="18" t="n">
        <v>12.5</v>
      </c>
      <c r="K507" s="19" t="inlineStr">
        <is>
          <t>Completed</t>
        </is>
      </c>
      <c r="L507" s="20" t="inlineStr">
        <is>
          <t>Privately Held (backing)</t>
        </is>
      </c>
      <c r="M507" s="21" t="inlineStr">
        <is>
          <t>Venture Capital-Backed</t>
        </is>
      </c>
      <c r="N507" s="22" t="inlineStr">
        <is>
          <t>The company raised $5 million of Series A venture funding from Pritzker Group Venture Capital, Brilliant Ventures, Wavemaker Partners and Women's Venture Capital Fund on June 15, 2016, putting the pre-money valuation at $7.5 million. The funds will be used to scale the business, improve technology systems and grow the team to enhance customer experience and support growing demand.</t>
        </is>
      </c>
      <c r="O507" s="23" t="inlineStr">
        <is>
          <t>Bam Ventures, Brilliant Ventures, Galvanize Ventures, Launchpad LA, Pritzker Group Venture Capital, Wavemaker Partners, Women's Venture Capital Fund</t>
        </is>
      </c>
      <c r="P507" s="24" t="inlineStr">
        <is>
          <t/>
        </is>
      </c>
      <c r="Q507" s="25" t="inlineStr">
        <is>
          <t>Clothing</t>
        </is>
      </c>
      <c r="R507" s="26" t="inlineStr">
        <is>
          <t>Provider of online rental of bridesmaid dresses. The company allows women to select wedding dresses online and also offer services such as at-home try-on, shipping, dry cleaning and insurance.</t>
        </is>
      </c>
      <c r="S507" s="27" t="inlineStr">
        <is>
          <t>Santa Monica, CA</t>
        </is>
      </c>
      <c r="T507" s="28" t="inlineStr">
        <is>
          <t>www.vowtobechic.com</t>
        </is>
      </c>
      <c r="U507" s="131">
        <f>HYPERLINK("https://my.pitchbook.com?c=60946-93", "View company online")</f>
      </c>
    </row>
    <row r="508">
      <c r="A508" s="30" t="inlineStr">
        <is>
          <t>104777-38</t>
        </is>
      </c>
      <c r="B508" s="31" t="inlineStr">
        <is>
          <t>Votiro</t>
        </is>
      </c>
      <c r="C508" s="32" t="inlineStr">
        <is>
          <t/>
        </is>
      </c>
      <c r="D508" s="33" t="n">
        <v>1.240241836220206</v>
      </c>
      <c r="E508" s="34" t="n">
        <v>4.079515103059687</v>
      </c>
      <c r="F508" s="35" t="n">
        <v>42515.0</v>
      </c>
      <c r="G508" s="36" t="inlineStr">
        <is>
          <t>Later Stage VC</t>
        </is>
      </c>
      <c r="H508" s="37" t="inlineStr">
        <is>
          <t>Series A</t>
        </is>
      </c>
      <c r="I508" s="38" t="n">
        <v>4.0</v>
      </c>
      <c r="J508" s="39" t="inlineStr">
        <is>
          <t/>
        </is>
      </c>
      <c r="K508" s="40" t="inlineStr">
        <is>
          <t>Completed</t>
        </is>
      </c>
      <c r="L508" s="41" t="inlineStr">
        <is>
          <t>Privately Held (backing)</t>
        </is>
      </c>
      <c r="M508" s="42" t="inlineStr">
        <is>
          <t>Venture Capital-Backed</t>
        </is>
      </c>
      <c r="N508" s="43" t="inlineStr">
        <is>
          <t>The company raised $4 million of Series A venture funding in a deal led by Redfield Asset Management on May 25, 2016. The company will use the funds to expand the company's team and continue the rapid growth of the patented solutions and product portfolio.</t>
        </is>
      </c>
      <c r="O508" s="44" t="inlineStr">
        <is>
          <t>Redfield Asset Management</t>
        </is>
      </c>
      <c r="P508" s="45" t="inlineStr">
        <is>
          <t/>
        </is>
      </c>
      <c r="Q508" s="46" t="inlineStr">
        <is>
          <t>Network Management Software</t>
        </is>
      </c>
      <c r="R508" s="47" t="inlineStr">
        <is>
          <t>Provider of Advanced Content Disarm and Reconstruction technology. The company provides organizations with protection against undisclosed and zero-day exploits threats that are used in targeted cyber attacks.</t>
        </is>
      </c>
      <c r="S508" s="48" t="inlineStr">
        <is>
          <t>Sunnyvale, CA</t>
        </is>
      </c>
      <c r="T508" s="49" t="inlineStr">
        <is>
          <t>www.votiro.com</t>
        </is>
      </c>
      <c r="U508" s="132">
        <f>HYPERLINK("https://my.pitchbook.com?c=104777-38", "View company online")</f>
      </c>
    </row>
    <row r="509">
      <c r="A509" s="9" t="inlineStr">
        <is>
          <t>147188-26</t>
        </is>
      </c>
      <c r="B509" s="10" t="inlineStr">
        <is>
          <t>Vortex Biosciences</t>
        </is>
      </c>
      <c r="C509" s="11" t="inlineStr">
        <is>
          <t/>
        </is>
      </c>
      <c r="D509" s="12" t="n">
        <v>0.0</v>
      </c>
      <c r="E509" s="13" t="n">
        <v>1.8918918918918919</v>
      </c>
      <c r="F509" s="14" t="inlineStr">
        <is>
          <t/>
        </is>
      </c>
      <c r="G509" s="15" t="inlineStr">
        <is>
          <t>Early Stage VC</t>
        </is>
      </c>
      <c r="H509" s="16" t="inlineStr">
        <is>
          <t>Series A</t>
        </is>
      </c>
      <c r="I509" s="17" t="inlineStr">
        <is>
          <t/>
        </is>
      </c>
      <c r="J509" s="18" t="inlineStr">
        <is>
          <t/>
        </is>
      </c>
      <c r="K509" s="19" t="inlineStr">
        <is>
          <t>Upcoming</t>
        </is>
      </c>
      <c r="L509" s="20" t="inlineStr">
        <is>
          <t>Privately Held (backing)</t>
        </is>
      </c>
      <c r="M509" s="21" t="inlineStr">
        <is>
          <t>Venture Capital-Backed</t>
        </is>
      </c>
      <c r="N509" s="22" t="inlineStr">
        <is>
          <t>The company is planning to raise an undisclosed amount of Series A venture funding from NetScientific and other undisclosed investors in the second half of 2017. NetScientific is expected to invest a further GBP 5.5 million. Previously, the company was acquired by NetScientific through an undisclosed amount of LBO. The company is being actively tracked by PitchBook.</t>
        </is>
      </c>
      <c r="O509" s="23" t="inlineStr">
        <is>
          <t>NetScientific</t>
        </is>
      </c>
      <c r="P509" s="24" t="inlineStr">
        <is>
          <t/>
        </is>
      </c>
      <c r="Q509" s="25" t="inlineStr">
        <is>
          <t>Diagnostic Equipment</t>
        </is>
      </c>
      <c r="R509" s="26" t="inlineStr">
        <is>
          <t>Developer of a cancer diagnostic instrument designed to be the innovation leader in CTC capture technology delivering diagnostic tests that improve therapeutic decisions and save lives. The company's liquid biopsy automated instrument (VTX-1) and microfluidic cartridge for the isolation of circulating tumour cells from whole blood without the need for any pre-treatment, enables high purity and collection efficiency of intact circulating tumour cells in less than an hour.</t>
        </is>
      </c>
      <c r="S509" s="27" t="inlineStr">
        <is>
          <t>Menlo Park, CA</t>
        </is>
      </c>
      <c r="T509" s="28" t="inlineStr">
        <is>
          <t>vortexbiosciences.com</t>
        </is>
      </c>
      <c r="U509" s="131">
        <f>HYPERLINK("https://my.pitchbook.com?c=147188-26", "View company online")</f>
      </c>
    </row>
    <row r="510">
      <c r="A510" s="30" t="inlineStr">
        <is>
          <t>64005-76</t>
        </is>
      </c>
      <c r="B510" s="31" t="inlineStr">
        <is>
          <t>Vonjour</t>
        </is>
      </c>
      <c r="C510" s="32" t="inlineStr">
        <is>
          <t/>
        </is>
      </c>
      <c r="D510" s="33" t="n">
        <v>0.17469410104536534</v>
      </c>
      <c r="E510" s="34" t="n">
        <v>0.5796634117009947</v>
      </c>
      <c r="F510" s="35" t="n">
        <v>42013.0</v>
      </c>
      <c r="G510" s="36" t="inlineStr">
        <is>
          <t>Seed Round</t>
        </is>
      </c>
      <c r="H510" s="37" t="inlineStr">
        <is>
          <t>Seed</t>
        </is>
      </c>
      <c r="I510" s="38" t="inlineStr">
        <is>
          <t/>
        </is>
      </c>
      <c r="J510" s="39" t="inlineStr">
        <is>
          <t/>
        </is>
      </c>
      <c r="K510" s="40" t="inlineStr">
        <is>
          <t>Completed</t>
        </is>
      </c>
      <c r="L510" s="41" t="inlineStr">
        <is>
          <t>Privately Held (backing)</t>
        </is>
      </c>
      <c r="M510" s="42" t="inlineStr">
        <is>
          <t>Venture Capital-Backed</t>
        </is>
      </c>
      <c r="N510" s="43" t="inlineStr">
        <is>
          <t>The company raised an undisclosed amount of seed funding from 500 Startups and Kima Ventures on January 9, 2015.</t>
        </is>
      </c>
      <c r="O510" s="44" t="inlineStr">
        <is>
          <t>500 Startups, Jérémie Berrebi, Kima Ventures</t>
        </is>
      </c>
      <c r="P510" s="45" t="inlineStr">
        <is>
          <t/>
        </is>
      </c>
      <c r="Q510" s="46" t="inlineStr">
        <is>
          <t>Application Software</t>
        </is>
      </c>
      <c r="R510" s="47" t="inlineStr">
        <is>
          <t>Provider of customer communications platform. The company provides the communication platform which allow organization to connect with its customer with any flaw.</t>
        </is>
      </c>
      <c r="S510" s="48" t="inlineStr">
        <is>
          <t>Los Angeles, CA</t>
        </is>
      </c>
      <c r="T510" s="49" t="inlineStr">
        <is>
          <t>www.vonjour.com</t>
        </is>
      </c>
      <c r="U510" s="132">
        <f>HYPERLINK("https://my.pitchbook.com?c=64005-76", "View company online")</f>
      </c>
    </row>
    <row r="511">
      <c r="A511" s="9" t="inlineStr">
        <is>
          <t>119154-97</t>
        </is>
      </c>
      <c r="B511" s="10" t="inlineStr">
        <is>
          <t>Von Gutenberg</t>
        </is>
      </c>
      <c r="C511" s="11" t="inlineStr">
        <is>
          <t/>
        </is>
      </c>
      <c r="D511" s="12" t="n">
        <v>-0.008489618809416084</v>
      </c>
      <c r="E511" s="13" t="n">
        <v>3.6636941394494817</v>
      </c>
      <c r="F511" s="14" t="inlineStr">
        <is>
          <t/>
        </is>
      </c>
      <c r="G511" s="15" t="inlineStr">
        <is>
          <t>Early Stage VC</t>
        </is>
      </c>
      <c r="H511" s="16" t="inlineStr">
        <is>
          <t/>
        </is>
      </c>
      <c r="I511" s="17" t="inlineStr">
        <is>
          <t/>
        </is>
      </c>
      <c r="J511" s="18" t="inlineStr">
        <is>
          <t/>
        </is>
      </c>
      <c r="K511" s="19" t="inlineStr">
        <is>
          <t>Completed</t>
        </is>
      </c>
      <c r="L511" s="20" t="inlineStr">
        <is>
          <t>Privately Held (backing)</t>
        </is>
      </c>
      <c r="M511" s="21" t="inlineStr">
        <is>
          <t>Venture Capital-Backed</t>
        </is>
      </c>
      <c r="N511" s="22" t="inlineStr">
        <is>
          <t>The company raised venture funding from Rudyard Partners on an undisclosed date.</t>
        </is>
      </c>
      <c r="O511" s="23" t="inlineStr">
        <is>
          <t>Rudyard Partners</t>
        </is>
      </c>
      <c r="P511" s="24" t="inlineStr">
        <is>
          <t/>
        </is>
      </c>
      <c r="Q511" s="25" t="inlineStr">
        <is>
          <t>Information Services (B2C)</t>
        </is>
      </c>
      <c r="R511" s="26" t="inlineStr">
        <is>
          <t>Developer of an online fashion portal designed to focus on fashion, latex and lifestyle. The company's fashion portal publishes a magazine and helps to promote fantasy art, erotic fiction, one-of-a-kind fashion design photography and event reporting, enabling fashion fans, designers, performers, celebrities, working models and newsmakers to interact across a global wide couture spectrum connected to many other net destinations.</t>
        </is>
      </c>
      <c r="S511" s="27" t="inlineStr">
        <is>
          <t>San Francisco, CA</t>
        </is>
      </c>
      <c r="T511" s="28" t="inlineStr">
        <is>
          <t>www.vongutenberg.com</t>
        </is>
      </c>
      <c r="U511" s="131">
        <f>HYPERLINK("https://my.pitchbook.com?c=119154-97", "View company online")</f>
      </c>
    </row>
    <row r="512">
      <c r="A512" s="30" t="inlineStr">
        <is>
          <t>52785-46</t>
        </is>
      </c>
      <c r="B512" s="31" t="inlineStr">
        <is>
          <t>VoltDB</t>
        </is>
      </c>
      <c r="C512" s="32" t="inlineStr">
        <is>
          <t/>
        </is>
      </c>
      <c r="D512" s="33" t="n">
        <v>0.8107501483642784</v>
      </c>
      <c r="E512" s="34" t="n">
        <v>9.67674226495155</v>
      </c>
      <c r="F512" s="35" t="n">
        <v>42208.0</v>
      </c>
      <c r="G512" s="36" t="inlineStr">
        <is>
          <t>Later Stage VC</t>
        </is>
      </c>
      <c r="H512" s="37" t="inlineStr">
        <is>
          <t>Series B1</t>
        </is>
      </c>
      <c r="I512" s="38" t="n">
        <v>9.82</v>
      </c>
      <c r="J512" s="39" t="n">
        <v>42.35</v>
      </c>
      <c r="K512" s="40" t="inlineStr">
        <is>
          <t>Completed</t>
        </is>
      </c>
      <c r="L512" s="41" t="inlineStr">
        <is>
          <t>Privately Held (backing)</t>
        </is>
      </c>
      <c r="M512" s="42" t="inlineStr">
        <is>
          <t>Venture Capital-Backed</t>
        </is>
      </c>
      <c r="N512" s="43" t="inlineStr">
        <is>
          <t>The company raised $9.82 million of Series B1 venture funding in a deal led by strategic investors on July 23, 2015, putting the company's pre-money valuation at $32.53 million. Kepha Partners and Sigma Prime Ventures also participated.</t>
        </is>
      </c>
      <c r="O512" s="44" t="inlineStr">
        <is>
          <t>Andrew Palmer, Kepha Partners, Koa Labs, Sigma Partners, Sigma Prime Ventures</t>
        </is>
      </c>
      <c r="P512" s="45" t="inlineStr">
        <is>
          <t/>
        </is>
      </c>
      <c r="Q512" s="46" t="inlineStr">
        <is>
          <t>Database Software</t>
        </is>
      </c>
      <c r="R512" s="47" t="inlineStr">
        <is>
          <t>Provider of in-memory operational database designed to ingest data, analyze data and act on data in milliseconds with real-time experience. The company's in-memory operational database interact on unlimited streams of inbound data, make per-event data-driven decisions on live data, perform real-time analytics on fast-moving data and export data to longer-term analytics stores as fast as it arrives, enabling businesses ability to process data, make real-time decisions and deliver more personalized interactions that create superior business value.</t>
        </is>
      </c>
      <c r="S512" s="48" t="inlineStr">
        <is>
          <t>Bedford, MA</t>
        </is>
      </c>
      <c r="T512" s="49" t="inlineStr">
        <is>
          <t>www.voltdb.com</t>
        </is>
      </c>
      <c r="U512" s="132">
        <f>HYPERLINK("https://my.pitchbook.com?c=52785-46", "View company online")</f>
      </c>
    </row>
    <row r="513">
      <c r="A513" s="9" t="inlineStr">
        <is>
          <t>56860-48</t>
        </is>
      </c>
      <c r="B513" s="10" t="inlineStr">
        <is>
          <t>Voltaiq</t>
        </is>
      </c>
      <c r="C513" s="11" t="inlineStr">
        <is>
          <t/>
        </is>
      </c>
      <c r="D513" s="12" t="n">
        <v>0.0</v>
      </c>
      <c r="E513" s="13" t="n">
        <v>0.010788854967189529</v>
      </c>
      <c r="F513" s="14" t="n">
        <v>42676.0</v>
      </c>
      <c r="G513" s="15" t="inlineStr">
        <is>
          <t>Seed Round</t>
        </is>
      </c>
      <c r="H513" s="16" t="inlineStr">
        <is>
          <t>Seed</t>
        </is>
      </c>
      <c r="I513" s="17" t="n">
        <v>2.42</v>
      </c>
      <c r="J513" s="18" t="n">
        <v>9.7</v>
      </c>
      <c r="K513" s="19" t="inlineStr">
        <is>
          <t>Completed</t>
        </is>
      </c>
      <c r="L513" s="20" t="inlineStr">
        <is>
          <t>Privately Held (backing)</t>
        </is>
      </c>
      <c r="M513" s="21" t="inlineStr">
        <is>
          <t>Venture Capital-Backed</t>
        </is>
      </c>
      <c r="N513" s="22" t="inlineStr">
        <is>
          <t>The company raised $2.42 million of seed funding from Zipdragon Ventures, Bee Partners and other undisclosed investors on November 2, 2016, putting the pre-money valuation at $7.27 million.</t>
        </is>
      </c>
      <c r="O513" s="23" t="inlineStr">
        <is>
          <t>Bee Partners, National Science Foundation, NYU Polytech Incubator, NYU Tandon Incubators, Powerhouse (Accelerator), U.S. Department of Energy, Urban Future Lab, Zipdragon Ventures</t>
        </is>
      </c>
      <c r="P513" s="24" t="inlineStr">
        <is>
          <t/>
        </is>
      </c>
      <c r="Q513" s="25" t="inlineStr">
        <is>
          <t>Other Software</t>
        </is>
      </c>
      <c r="R513" s="26" t="inlineStr">
        <is>
          <t>Developer of web-based data visualization and analytics tools for scientists and engineers. The company develops key predictive insights into battery performance for companies developing and operating batteries and battery-powered products. Its SaaS informatics platform tracks device behavior throughout the product lifecycle and provides interactive access to all battery data.</t>
        </is>
      </c>
      <c r="S513" s="27" t="inlineStr">
        <is>
          <t>New York, NY</t>
        </is>
      </c>
      <c r="T513" s="28" t="inlineStr">
        <is>
          <t>www.voltaiq.com</t>
        </is>
      </c>
      <c r="U513" s="131">
        <f>HYPERLINK("https://my.pitchbook.com?c=56860-48", "View company online")</f>
      </c>
    </row>
    <row r="514">
      <c r="A514" s="30" t="inlineStr">
        <is>
          <t>56417-32</t>
        </is>
      </c>
      <c r="B514" s="31" t="inlineStr">
        <is>
          <t>Volta (San Francisco)</t>
        </is>
      </c>
      <c r="C514" s="32" t="inlineStr">
        <is>
          <t/>
        </is>
      </c>
      <c r="D514" s="33" t="n">
        <v>0.3419541467194107</v>
      </c>
      <c r="E514" s="34" t="n">
        <v>2.8032310418640556</v>
      </c>
      <c r="F514" s="35" t="n">
        <v>42671.0</v>
      </c>
      <c r="G514" s="36" t="inlineStr">
        <is>
          <t>Later Stage VC</t>
        </is>
      </c>
      <c r="H514" s="37" t="inlineStr">
        <is>
          <t/>
        </is>
      </c>
      <c r="I514" s="38" t="n">
        <v>11.51</v>
      </c>
      <c r="J514" s="39" t="inlineStr">
        <is>
          <t/>
        </is>
      </c>
      <c r="K514" s="40" t="inlineStr">
        <is>
          <t>Completed</t>
        </is>
      </c>
      <c r="L514" s="41" t="inlineStr">
        <is>
          <t>Privately Held (backing)</t>
        </is>
      </c>
      <c r="M514" s="42" t="inlineStr">
        <is>
          <t>Venture Capital-Backed</t>
        </is>
      </c>
      <c r="N514" s="43" t="inlineStr">
        <is>
          <t>The company raised $11.51 million of venture funding from AutoTech Ventures and other undisclosed investors on October 28, 2016. Previously the company raised $7.5 million of Series A venture funding in a deal led by Three Bridges Venture on April 10, 2015, putting the company's pre-money valuation at $8.07 million. Riverwood Capital, 500 Startups and Epic Ventures also participated in this round. Out of the total transaction $3 million was received in the form of debt financing from SQN Capital.</t>
        </is>
      </c>
      <c r="O514" s="44" t="inlineStr">
        <is>
          <t>500 Startups, Andy Warner, AutoTech Ventures, Barney Schauble, Blue Startups, Bob Rintel, EPIC Ventures, George Kellerman, Hawaii Angels, Peter Secor, Riverwood Capital, Rob Robinson, Simon Yoo, Three Bridges Ventures, Ulupono Initiative, Yun-Fang Juan</t>
        </is>
      </c>
      <c r="P514" s="45" t="inlineStr">
        <is>
          <t/>
        </is>
      </c>
      <c r="Q514" s="46" t="inlineStr">
        <is>
          <t>Energy Infrastructure</t>
        </is>
      </c>
      <c r="R514" s="47" t="inlineStr">
        <is>
          <t>Provider of public, free-to-use electric vehicle charging networks. The company offers turnkey electric vehicle, including planning, installation, networking, service and revenue management. It also leverage sponsorships with advertisers that provide free charging to electric vehicle drivers at popular destinations, in exchange for high-profile, high-visibility targeted advertising.</t>
        </is>
      </c>
      <c r="S514" s="48" t="inlineStr">
        <is>
          <t>San Francisco, CA</t>
        </is>
      </c>
      <c r="T514" s="49" t="inlineStr">
        <is>
          <t>www.voltacharging.com</t>
        </is>
      </c>
      <c r="U514" s="132">
        <f>HYPERLINK("https://my.pitchbook.com?c=56417-32", "View company online")</f>
      </c>
    </row>
    <row r="515">
      <c r="A515" s="9" t="inlineStr">
        <is>
          <t>59016-61</t>
        </is>
      </c>
      <c r="B515" s="10" t="inlineStr">
        <is>
          <t>VoloAgri Group</t>
        </is>
      </c>
      <c r="C515" s="11" t="inlineStr">
        <is>
          <t/>
        </is>
      </c>
      <c r="D515" s="12" t="n">
        <v>0.0</v>
      </c>
      <c r="E515" s="13" t="n">
        <v>0.26110458284371324</v>
      </c>
      <c r="F515" s="14" t="n">
        <v>42649.0</v>
      </c>
      <c r="G515" s="15" t="inlineStr">
        <is>
          <t>Later Stage VC</t>
        </is>
      </c>
      <c r="H515" s="16" t="inlineStr">
        <is>
          <t>Series C</t>
        </is>
      </c>
      <c r="I515" s="17" t="n">
        <v>69.0</v>
      </c>
      <c r="J515" s="18" t="inlineStr">
        <is>
          <t/>
        </is>
      </c>
      <c r="K515" s="19" t="inlineStr">
        <is>
          <t>Completed</t>
        </is>
      </c>
      <c r="L515" s="20" t="inlineStr">
        <is>
          <t>Privately Held (backing)</t>
        </is>
      </c>
      <c r="M515" s="21" t="inlineStr">
        <is>
          <t>Venture Capital-Backed</t>
        </is>
      </c>
      <c r="N515" s="22" t="inlineStr">
        <is>
          <t>The company raised $69 million of Series C venture funding in a deal led by Temasek Holdings on October 6, 2016. WP Global Partners and other undisclosed investors also participated in the round.</t>
        </is>
      </c>
      <c r="O515" s="23" t="inlineStr">
        <is>
          <t>Avrio Capital, CLSA Capital Partners, Kleiner Perkins Caufield &amp; Byers, Temasek Holdings, WP Global Partners</t>
        </is>
      </c>
      <c r="P515" s="24" t="inlineStr">
        <is>
          <t/>
        </is>
      </c>
      <c r="Q515" s="25" t="inlineStr">
        <is>
          <t>Horticulture</t>
        </is>
      </c>
      <c r="R515" s="26" t="inlineStr">
        <is>
          <t>Operator of a global agricultural-technology company. The company invests in the global vegetable seed industry by providing hybrid breeding technologies to improve agricultural results and to foster sustainable agricultural practices.</t>
        </is>
      </c>
      <c r="S515" s="27" t="inlineStr">
        <is>
          <t>San Luis Obispo, CA</t>
        </is>
      </c>
      <c r="T515" s="28" t="inlineStr">
        <is>
          <t>www.voloagri.com</t>
        </is>
      </c>
      <c r="U515" s="131">
        <f>HYPERLINK("https://my.pitchbook.com?c=59016-61", "View company online")</f>
      </c>
    </row>
    <row r="516">
      <c r="A516" s="30" t="inlineStr">
        <is>
          <t>153811-54</t>
        </is>
      </c>
      <c r="B516" s="31" t="inlineStr">
        <is>
          <t>Volley Labs</t>
        </is>
      </c>
      <c r="C516" s="32" t="inlineStr">
        <is>
          <t/>
        </is>
      </c>
      <c r="D516" s="33" t="n">
        <v>0.5837739443753969</v>
      </c>
      <c r="E516" s="34" t="n">
        <v>0.5317770291609643</v>
      </c>
      <c r="F516" s="35" t="n">
        <v>42837.0</v>
      </c>
      <c r="G516" s="36" t="inlineStr">
        <is>
          <t>Seed Round</t>
        </is>
      </c>
      <c r="H516" s="37" t="inlineStr">
        <is>
          <t>Seed</t>
        </is>
      </c>
      <c r="I516" s="38" t="n">
        <v>4.95</v>
      </c>
      <c r="J516" s="39" t="n">
        <v>13.95</v>
      </c>
      <c r="K516" s="40" t="inlineStr">
        <is>
          <t>Completed</t>
        </is>
      </c>
      <c r="L516" s="41" t="inlineStr">
        <is>
          <t>Privately Held (backing)</t>
        </is>
      </c>
      <c r="M516" s="42" t="inlineStr">
        <is>
          <t>Venture Capital-Backed</t>
        </is>
      </c>
      <c r="N516" s="43" t="inlineStr">
        <is>
          <t>The company raised $4.95 million through a combination of seed funding led by Reach Capital on April 12, 2017, putting the pre-money valuation at $9 million. Zuckerberg Education Ventures, TAL Education Group, Fresco Capital and other undisclosed angel investors also participated. The company will use the funding to expand its operations.</t>
        </is>
      </c>
      <c r="O516" s="44" t="inlineStr">
        <is>
          <t>Fresco Capital, Reach Capital, Tal Education Group, Zuckerberg Education Ventures</t>
        </is>
      </c>
      <c r="P516" s="45" t="inlineStr">
        <is>
          <t/>
        </is>
      </c>
      <c r="Q516" s="46" t="inlineStr">
        <is>
          <t>Educational Software</t>
        </is>
      </c>
      <c r="R516" s="47" t="inlineStr">
        <is>
          <t>Developer of an adaptive learning platform designed to computationally understand and teach the world's academic knowledge within a decade. The company's adaptive learning platform is a peer-to-peer learning platform that transforms material like textbooks and assignments into personalized learning experiences, enabling students to make visual projects on varied subjects.</t>
        </is>
      </c>
      <c r="S516" s="48" t="inlineStr">
        <is>
          <t>San Francisco, CA</t>
        </is>
      </c>
      <c r="T516" s="49" t="inlineStr">
        <is>
          <t>www.volley.com</t>
        </is>
      </c>
      <c r="U516" s="132">
        <f>HYPERLINK("https://my.pitchbook.com?c=153811-54", "View company online")</f>
      </c>
    </row>
    <row r="517">
      <c r="A517" s="9" t="inlineStr">
        <is>
          <t>52891-57</t>
        </is>
      </c>
      <c r="B517" s="10" t="inlineStr">
        <is>
          <t>Vokle</t>
        </is>
      </c>
      <c r="C517" s="11" t="inlineStr">
        <is>
          <t/>
        </is>
      </c>
      <c r="D517" s="12" t="n">
        <v>-0.17203665191465095</v>
      </c>
      <c r="E517" s="13" t="n">
        <v>10.454595054576632</v>
      </c>
      <c r="F517" s="14" t="n">
        <v>41050.0</v>
      </c>
      <c r="G517" s="15" t="inlineStr">
        <is>
          <t>Angel (individual)</t>
        </is>
      </c>
      <c r="H517" s="16" t="inlineStr">
        <is>
          <t>Angel</t>
        </is>
      </c>
      <c r="I517" s="17" t="n">
        <v>0.08</v>
      </c>
      <c r="J517" s="18" t="inlineStr">
        <is>
          <t/>
        </is>
      </c>
      <c r="K517" s="19" t="inlineStr">
        <is>
          <t>Completed</t>
        </is>
      </c>
      <c r="L517" s="20" t="inlineStr">
        <is>
          <t>Privately Held (backing)</t>
        </is>
      </c>
      <c r="M517" s="21" t="inlineStr">
        <is>
          <t>Venture Capital-Backed</t>
        </is>
      </c>
      <c r="N517" s="22" t="inlineStr">
        <is>
          <t>The company raised $75,000 of angel funding from Tech Coast Angels on May 21, 2012.</t>
        </is>
      </c>
      <c r="O517" s="23" t="inlineStr">
        <is>
          <t>Amir Banifatemi, Individual Investor, Jim Brandt, K5 Ventures, Sacramento Angels, Sierra Angels, Tech Coast Angels</t>
        </is>
      </c>
      <c r="P517" s="24" t="inlineStr">
        <is>
          <t/>
        </is>
      </c>
      <c r="Q517" s="25" t="inlineStr">
        <is>
          <t>Social/Platform Software</t>
        </is>
      </c>
      <c r="R517" s="26" t="inlineStr">
        <is>
          <t>Operator of live video broadcasting platform for hosting interactive events. The company offers a video broadcasting platform for hosting live events, live audience interaction as well as tools for event producers and customization and branding services.</t>
        </is>
      </c>
      <c r="S517" s="27" t="inlineStr">
        <is>
          <t>Santa Monica, CA</t>
        </is>
      </c>
      <c r="T517" s="28" t="inlineStr">
        <is>
          <t>www.vokle.com</t>
        </is>
      </c>
      <c r="U517" s="131">
        <f>HYPERLINK("https://my.pitchbook.com?c=52891-57", "View company online")</f>
      </c>
    </row>
    <row r="518">
      <c r="A518" s="30" t="inlineStr">
        <is>
          <t>56294-11</t>
        </is>
      </c>
      <c r="B518" s="31" t="inlineStr">
        <is>
          <t>VOIQ</t>
        </is>
      </c>
      <c r="C518" s="32" t="inlineStr">
        <is>
          <t/>
        </is>
      </c>
      <c r="D518" s="33" t="n">
        <v>0.19281279678882515</v>
      </c>
      <c r="E518" s="34" t="n">
        <v>1.7883040794241976</v>
      </c>
      <c r="F518" s="35" t="n">
        <v>42227.0</v>
      </c>
      <c r="G518" s="36" t="inlineStr">
        <is>
          <t>Seed Round</t>
        </is>
      </c>
      <c r="H518" s="37" t="inlineStr">
        <is>
          <t>Seed</t>
        </is>
      </c>
      <c r="I518" s="38" t="n">
        <v>2.6</v>
      </c>
      <c r="J518" s="39" t="n">
        <v>12.0</v>
      </c>
      <c r="K518" s="40" t="inlineStr">
        <is>
          <t>Completed</t>
        </is>
      </c>
      <c r="L518" s="41" t="inlineStr">
        <is>
          <t>Privately Held (backing)</t>
        </is>
      </c>
      <c r="M518" s="42" t="inlineStr">
        <is>
          <t>Venture Capital-Backed</t>
        </is>
      </c>
      <c r="N518" s="43" t="inlineStr">
        <is>
          <t>The company raised $2.6 million of seed funding from FundersClub, Socialatom Ventures, HOF Capital (New York), Charlie Kemper and Daniel Undurraga on August 11, 2015. Erik Stellar, Fatih Ozluturk, Federico Kaune, Jack Basavaiah, Jeff Epstein, John Paul Cisneros, Jonathan Axelrod, Kahlil Byrd, Murat Aktihanoglu, Laili Kafi Gonzalez, Luis E. Ferreira, Richmond View Ventures, Martin Diaz Plata, Ryan Bloomer, Steven Jay Lee, Suraj Kumar, Todd Parker and other undisclosed investors also participated in the round.</t>
        </is>
      </c>
      <c r="O518" s="44" t="inlineStr">
        <is>
          <t>Daniel Undurraga, Entrepreneurs Roundtable Accelerator, Erik Stettler, Fatih Ozluturk, FundersClub, HOF Capital (New York), Jeffery Epstein, Jonathan Axelrod, Momentum, Murat Aktihanoglu, Paul Holliman, Richmond View Ventures, Ryan Bloomer, Saad AlSogair, Socialatom Ventures, Todd Parker, Will Bunker, Y Combinator</t>
        </is>
      </c>
      <c r="P518" s="45" t="inlineStr">
        <is>
          <t/>
        </is>
      </c>
      <c r="Q518" s="46" t="inlineStr">
        <is>
          <t>Specialized Finance</t>
        </is>
      </c>
      <c r="R518" s="47" t="inlineStr">
        <is>
          <t>Provider of fund raising services. The company develops an online platform that helps companies to launch fund procurement campaigns.</t>
        </is>
      </c>
      <c r="S518" s="48" t="inlineStr">
        <is>
          <t>San Francisco, CA</t>
        </is>
      </c>
      <c r="T518" s="49" t="inlineStr">
        <is>
          <t>www.voiq.com</t>
        </is>
      </c>
      <c r="U518" s="132">
        <f>HYPERLINK("https://my.pitchbook.com?c=56294-11", "View company online")</f>
      </c>
    </row>
    <row r="519">
      <c r="A519" s="9" t="inlineStr">
        <is>
          <t>84726-73</t>
        </is>
      </c>
      <c r="B519" s="10" t="inlineStr">
        <is>
          <t>VoiceVault</t>
        </is>
      </c>
      <c r="C519" s="11" t="inlineStr">
        <is>
          <t/>
        </is>
      </c>
      <c r="D519" s="12" t="n">
        <v>0.0409939082950619</v>
      </c>
      <c r="E519" s="13" t="n">
        <v>3.1391052069018173</v>
      </c>
      <c r="F519" s="14" t="n">
        <v>40603.0</v>
      </c>
      <c r="G519" s="15" t="inlineStr">
        <is>
          <t>Later Stage VC</t>
        </is>
      </c>
      <c r="H519" s="16" t="inlineStr">
        <is>
          <t/>
        </is>
      </c>
      <c r="I519" s="17" t="inlineStr">
        <is>
          <t/>
        </is>
      </c>
      <c r="J519" s="18" t="inlineStr">
        <is>
          <t/>
        </is>
      </c>
      <c r="K519" s="19" t="inlineStr">
        <is>
          <t>Completed</t>
        </is>
      </c>
      <c r="L519" s="20" t="inlineStr">
        <is>
          <t>Privately Held (backing)</t>
        </is>
      </c>
      <c r="M519" s="21" t="inlineStr">
        <is>
          <t>Venture Capital-Backed</t>
        </is>
      </c>
      <c r="N519" s="22" t="inlineStr">
        <is>
          <t>The company raised an undisclosed amount of venture funding from Elbus Group on March 1, 2011.</t>
        </is>
      </c>
      <c r="O519" s="23" t="inlineStr">
        <is>
          <t>Eden Ventures, Elbus Group, The Chiimu Partnership</t>
        </is>
      </c>
      <c r="P519" s="24" t="inlineStr">
        <is>
          <t/>
        </is>
      </c>
      <c r="Q519" s="25" t="inlineStr">
        <is>
          <t>Application Software</t>
        </is>
      </c>
      <c r="R519" s="26" t="inlineStr">
        <is>
          <t>Provider of biometric security and voice recognition media services. The company offers a software for biometric identity verification over the phone, Web or via smartphone applications.</t>
        </is>
      </c>
      <c r="S519" s="27" t="inlineStr">
        <is>
          <t>El Segundo, CA</t>
        </is>
      </c>
      <c r="T519" s="28" t="inlineStr">
        <is>
          <t>www.voicevault.com</t>
        </is>
      </c>
      <c r="U519" s="131">
        <f>HYPERLINK("https://my.pitchbook.com?c=84726-73", "View company online")</f>
      </c>
    </row>
    <row r="520">
      <c r="A520" s="30" t="inlineStr">
        <is>
          <t>169207-75</t>
        </is>
      </c>
      <c r="B520" s="31" t="inlineStr">
        <is>
          <t>VoiceOps</t>
        </is>
      </c>
      <c r="C520" s="32" t="inlineStr">
        <is>
          <t/>
        </is>
      </c>
      <c r="D520" s="33" t="n">
        <v>0.0</v>
      </c>
      <c r="E520" s="34" t="n">
        <v>0.08108108108108109</v>
      </c>
      <c r="F520" s="35" t="n">
        <v>42815.0</v>
      </c>
      <c r="G520" s="36" t="inlineStr">
        <is>
          <t>Accelerator/Incubator</t>
        </is>
      </c>
      <c r="H520" s="37" t="inlineStr">
        <is>
          <t/>
        </is>
      </c>
      <c r="I520" s="38" t="n">
        <v>0.12</v>
      </c>
      <c r="J520" s="39" t="n">
        <v>1.71</v>
      </c>
      <c r="K520" s="40" t="inlineStr">
        <is>
          <t>Completed</t>
        </is>
      </c>
      <c r="L520" s="41" t="inlineStr">
        <is>
          <t>Privately Held (backing)</t>
        </is>
      </c>
      <c r="M520" s="42" t="inlineStr">
        <is>
          <t>Venture Capital-Backed</t>
        </is>
      </c>
      <c r="N520" s="43" t="inlineStr">
        <is>
          <t>The company joined Y Combinator as a part of its Winter 2017 batch and received $120,000 in funding on March 21, 2017. Previously, the company raised $1.98 million of seed funding led by Accel on December 23, 2016, putting the pre-money valuation at $10 million. Founders Fund and Lowercase Capital also participated in the round.</t>
        </is>
      </c>
      <c r="O520" s="44" t="inlineStr">
        <is>
          <t>Accel, Founders Fund, Lowercase Capital, Precursor Ventures, The Salesforce Incubator, Y Combinator</t>
        </is>
      </c>
      <c r="P520" s="45" t="inlineStr">
        <is>
          <t/>
        </is>
      </c>
      <c r="Q520" s="46" t="inlineStr">
        <is>
          <t>Automation/Workflow Software</t>
        </is>
      </c>
      <c r="R520" s="47" t="inlineStr">
        <is>
          <t>Developer of a voice analysis platform designed to help companies to interact with their customers. The company's voice analysis platform uses artificial intelligence tools that analyzes every conversation and sales data to provide businesses with recommendations on sales strategy to improve their success rate, enabling team leads to automatically identify winning behaviors and implement that best practices in entire team.</t>
        </is>
      </c>
      <c r="S520" s="48" t="inlineStr">
        <is>
          <t>San Francisco, CA</t>
        </is>
      </c>
      <c r="T520" s="49" t="inlineStr">
        <is>
          <t>www.voiceops.com</t>
        </is>
      </c>
      <c r="U520" s="132">
        <f>HYPERLINK("https://my.pitchbook.com?c=169207-75", "View company online")</f>
      </c>
    </row>
    <row r="521">
      <c r="A521" s="9" t="inlineStr">
        <is>
          <t>54446-14</t>
        </is>
      </c>
      <c r="B521" s="10" t="inlineStr">
        <is>
          <t>VoiceBase</t>
        </is>
      </c>
      <c r="C521" s="11" t="inlineStr">
        <is>
          <t/>
        </is>
      </c>
      <c r="D521" s="12" t="n">
        <v>1.47864087794724</v>
      </c>
      <c r="E521" s="13" t="n">
        <v>8.48464530168657</v>
      </c>
      <c r="F521" s="14" t="n">
        <v>42382.0</v>
      </c>
      <c r="G521" s="15" t="inlineStr">
        <is>
          <t>Later Stage VC</t>
        </is>
      </c>
      <c r="H521" s="16" t="inlineStr">
        <is>
          <t>Series F</t>
        </is>
      </c>
      <c r="I521" s="17" t="n">
        <v>10.0</v>
      </c>
      <c r="J521" s="18" t="n">
        <v>55.45</v>
      </c>
      <c r="K521" s="19" t="inlineStr">
        <is>
          <t>Completed</t>
        </is>
      </c>
      <c r="L521" s="20" t="inlineStr">
        <is>
          <t>Privately Held (backing)</t>
        </is>
      </c>
      <c r="M521" s="21" t="inlineStr">
        <is>
          <t>Venture Capital-Backed</t>
        </is>
      </c>
      <c r="N521" s="22" t="inlineStr">
        <is>
          <t>The company raised $10 million of Series F venture funding from undisclosed investors on January 13, 2016, putting the pre-money valuation at $45.45 million. Previously, the company raised $4 million of Series E venture funding from undisclosed investors on August 11, 2015, putting the pre-money valuation at $32 million.</t>
        </is>
      </c>
      <c r="O521" s="23" t="inlineStr">
        <is>
          <t>Band of Angels, The Woodside Financial Group</t>
        </is>
      </c>
      <c r="P521" s="24" t="inlineStr">
        <is>
          <t/>
        </is>
      </c>
      <c r="Q521" s="25" t="inlineStr">
        <is>
          <t>Communication Software</t>
        </is>
      </c>
      <c r="R521" s="26" t="inlineStr">
        <is>
          <t>Provider of an online service to store, search and share voice communications. The company offers mobile applications that enables users to record and upload spoken content, and share them online.</t>
        </is>
      </c>
      <c r="S521" s="27" t="inlineStr">
        <is>
          <t>Novato, CA</t>
        </is>
      </c>
      <c r="T521" s="28" t="inlineStr">
        <is>
          <t>www.voicebase.com</t>
        </is>
      </c>
      <c r="U521" s="131">
        <f>HYPERLINK("https://my.pitchbook.com?c=54446-14", "View company online")</f>
      </c>
    </row>
    <row r="522">
      <c r="A522" s="30" t="inlineStr">
        <is>
          <t>125998-21</t>
        </is>
      </c>
      <c r="B522" s="31" t="inlineStr">
        <is>
          <t>Vocate</t>
        </is>
      </c>
      <c r="C522" s="32" t="inlineStr">
        <is>
          <t/>
        </is>
      </c>
      <c r="D522" s="33" t="n">
        <v>0.41305832012573174</v>
      </c>
      <c r="E522" s="34" t="n">
        <v>0.6986867275739789</v>
      </c>
      <c r="F522" s="35" t="n">
        <v>42736.0</v>
      </c>
      <c r="G522" s="36" t="inlineStr">
        <is>
          <t>Early Stage VC</t>
        </is>
      </c>
      <c r="H522" s="37" t="inlineStr">
        <is>
          <t/>
        </is>
      </c>
      <c r="I522" s="38" t="inlineStr">
        <is>
          <t/>
        </is>
      </c>
      <c r="J522" s="39" t="inlineStr">
        <is>
          <t/>
        </is>
      </c>
      <c r="K522" s="40" t="inlineStr">
        <is>
          <t>Completed</t>
        </is>
      </c>
      <c r="L522" s="41" t="inlineStr">
        <is>
          <t>Privately Held (backing)</t>
        </is>
      </c>
      <c r="M522" s="42" t="inlineStr">
        <is>
          <t>Venture Capital-Backed</t>
        </is>
      </c>
      <c r="N522" s="43" t="inlineStr">
        <is>
          <t>The company raised an undisclosed amount of venture funding from Learn Capital in 2017. Previously, the company raised $1.84 million of seed funding through a combination of debt and equity from FreshTracks Capital, Fern Mandelbaum, Otter Rock Capital on May 10, 2016.</t>
        </is>
      </c>
      <c r="O522" s="44" t="inlineStr">
        <is>
          <t>Fern Mandelbaum, FreshTracks Capital, Learn Capital, New Ground Ventures, Otter Rock Capital, StartX</t>
        </is>
      </c>
      <c r="P522" s="45" t="inlineStr">
        <is>
          <t/>
        </is>
      </c>
      <c r="Q522" s="46" t="inlineStr">
        <is>
          <t>Application Software</t>
        </is>
      </c>
      <c r="R522" s="47" t="inlineStr">
        <is>
          <t>Provider of online student career services intended to find them internship or entry-level job. The company creates a tech-powered marketplace for student jobs and internships that curates strong matches, removing process headaches and inefficiencies on both sides enabling them to find their passions and pursue them meaningfully.</t>
        </is>
      </c>
      <c r="S522" s="48" t="inlineStr">
        <is>
          <t>San Francisco, CA</t>
        </is>
      </c>
      <c r="T522" s="49" t="inlineStr">
        <is>
          <t>www.vocate.me</t>
        </is>
      </c>
      <c r="U522" s="132">
        <f>HYPERLINK("https://my.pitchbook.com?c=125998-21", "View company online")</f>
      </c>
    </row>
    <row r="523">
      <c r="A523" s="9" t="inlineStr">
        <is>
          <t>176929-57</t>
        </is>
      </c>
      <c r="B523" s="10" t="inlineStr">
        <is>
          <t>Vocal Point</t>
        </is>
      </c>
      <c r="C523" s="97">
        <f>HYPERLINK("https://my.pitchbook.com?rrp=176929-57&amp;type=c", "This Company's information is not available to download. Need this Company? Request availability")</f>
      </c>
      <c r="D523" s="12" t="inlineStr">
        <is>
          <t/>
        </is>
      </c>
      <c r="E523" s="13" t="inlineStr">
        <is>
          <t/>
        </is>
      </c>
      <c r="F523" s="14" t="inlineStr">
        <is>
          <t/>
        </is>
      </c>
      <c r="G523" s="15" t="inlineStr">
        <is>
          <t/>
        </is>
      </c>
      <c r="H523" s="16" t="inlineStr">
        <is>
          <t/>
        </is>
      </c>
      <c r="I523" s="17" t="inlineStr">
        <is>
          <t/>
        </is>
      </c>
      <c r="J523" s="18" t="inlineStr">
        <is>
          <t/>
        </is>
      </c>
      <c r="K523" s="19" t="inlineStr">
        <is>
          <t/>
        </is>
      </c>
      <c r="L523" s="20" t="inlineStr">
        <is>
          <t/>
        </is>
      </c>
      <c r="M523" s="21" t="inlineStr">
        <is>
          <t/>
        </is>
      </c>
      <c r="N523" s="22" t="inlineStr">
        <is>
          <t/>
        </is>
      </c>
      <c r="O523" s="23" t="inlineStr">
        <is>
          <t/>
        </is>
      </c>
      <c r="P523" s="24" t="inlineStr">
        <is>
          <t/>
        </is>
      </c>
      <c r="Q523" s="25" t="inlineStr">
        <is>
          <t/>
        </is>
      </c>
      <c r="R523" s="26" t="inlineStr">
        <is>
          <t/>
        </is>
      </c>
      <c r="S523" s="27" t="inlineStr">
        <is>
          <t/>
        </is>
      </c>
      <c r="T523" s="28" t="inlineStr">
        <is>
          <t/>
        </is>
      </c>
      <c r="U523" s="29" t="inlineStr">
        <is>
          <t/>
        </is>
      </c>
    </row>
    <row r="524">
      <c r="A524" s="30" t="inlineStr">
        <is>
          <t>51248-80</t>
        </is>
      </c>
      <c r="B524" s="31" t="inlineStr">
        <is>
          <t>Vobile</t>
        </is>
      </c>
      <c r="C524" s="32" t="inlineStr">
        <is>
          <t/>
        </is>
      </c>
      <c r="D524" s="33" t="n">
        <v>0.39618841120944764</v>
      </c>
      <c r="E524" s="34" t="n">
        <v>3.2439986570421353</v>
      </c>
      <c r="F524" s="35" t="n">
        <v>41684.0</v>
      </c>
      <c r="G524" s="36" t="inlineStr">
        <is>
          <t>Later Stage VC</t>
        </is>
      </c>
      <c r="H524" s="37" t="inlineStr">
        <is>
          <t>Series C</t>
        </is>
      </c>
      <c r="I524" s="38" t="n">
        <v>9.0</v>
      </c>
      <c r="J524" s="39" t="inlineStr">
        <is>
          <t/>
        </is>
      </c>
      <c r="K524" s="40" t="inlineStr">
        <is>
          <t>Completed</t>
        </is>
      </c>
      <c r="L524" s="41" t="inlineStr">
        <is>
          <t>Privately Held (backing)</t>
        </is>
      </c>
      <c r="M524" s="42" t="inlineStr">
        <is>
          <t>Venture Capital-Backed</t>
        </is>
      </c>
      <c r="N524" s="43" t="inlineStr">
        <is>
          <t>The company raised $9 million of Series C venture funding from lead investor IPV Capital on February 2, 2014. Ivy Capital also participated in the transaction.</t>
        </is>
      </c>
      <c r="O524" s="44" t="inlineStr">
        <is>
          <t>Altman Trust Green Realty Associates, AT&amp;T Ventures, Brian Mulligan, EDB Investments, Gideon Yu, IPV Capital, Ivy Capital, J. David Wargo, Jarl Mohn, Nicholas Moore, Steamboat Ventures, Vernon Altman</t>
        </is>
      </c>
      <c r="P524" s="45" t="inlineStr">
        <is>
          <t/>
        </is>
      </c>
      <c r="Q524" s="46" t="inlineStr">
        <is>
          <t>Vertical Market Software</t>
        </is>
      </c>
      <c r="R524" s="47" t="inlineStr">
        <is>
          <t>Provider of content identification and management products and services for stakeholders in the digital content value chain. The company offers video tracker, a SaaS application for content owners, which tracks and protects content online along with wide-ranging applications, including media rights management, targeted advertising, business intelligence, metadata services, asset management and video search and categorization.</t>
        </is>
      </c>
      <c r="S524" s="48" t="inlineStr">
        <is>
          <t>Santa Clara, CA</t>
        </is>
      </c>
      <c r="T524" s="49" t="inlineStr">
        <is>
          <t>www.vobileinc.com</t>
        </is>
      </c>
      <c r="U524" s="132">
        <f>HYPERLINK("https://my.pitchbook.com?c=51248-80", "View company online")</f>
      </c>
    </row>
    <row r="525">
      <c r="A525" s="9" t="inlineStr">
        <is>
          <t>99573-85</t>
        </is>
      </c>
      <c r="B525" s="10" t="inlineStr">
        <is>
          <t>VNTANA</t>
        </is>
      </c>
      <c r="C525" s="11" t="inlineStr">
        <is>
          <t/>
        </is>
      </c>
      <c r="D525" s="12" t="n">
        <v>0.2232100407685104</v>
      </c>
      <c r="E525" s="13" t="n">
        <v>2.305153316280803</v>
      </c>
      <c r="F525" s="14" t="n">
        <v>42836.0</v>
      </c>
      <c r="G525" s="15" t="inlineStr">
        <is>
          <t>Accelerator/Incubator</t>
        </is>
      </c>
      <c r="H525" s="16" t="inlineStr">
        <is>
          <t/>
        </is>
      </c>
      <c r="I525" s="17" t="n">
        <v>0.1</v>
      </c>
      <c r="J525" s="18" t="inlineStr">
        <is>
          <t/>
        </is>
      </c>
      <c r="K525" s="19" t="inlineStr">
        <is>
          <t>Completed</t>
        </is>
      </c>
      <c r="L525" s="20" t="inlineStr">
        <is>
          <t>Privately Held (backing)</t>
        </is>
      </c>
      <c r="M525" s="21" t="inlineStr">
        <is>
          <t>Venture Capital-Backed</t>
        </is>
      </c>
      <c r="N525" s="22" t="inlineStr">
        <is>
          <t>The company joined Stadia Ventures as a part of the Spring 2017 Cohort on April 11, 2017, and received $100,000 of funding.</t>
        </is>
      </c>
      <c r="O525" s="23" t="inlineStr">
        <is>
          <t>Corigin Ventures, Stadia Ventures, Stage Venture Partners, TYLT Ventures, Vectr Ventures</t>
        </is>
      </c>
      <c r="P525" s="24" t="inlineStr">
        <is>
          <t/>
        </is>
      </c>
      <c r="Q525" s="25" t="inlineStr">
        <is>
          <t>Electronic Components</t>
        </is>
      </c>
      <c r="R525" s="26" t="inlineStr">
        <is>
          <t>Developer of scalable and interactive hologram systems designed to share social augmented reality experience without wearables. The company's scalable and interactive hologram systems with interactive technology, captures real-time holographic video with interactive gesture control that can be immediately shared on all major social media platforms, enabling customers to be in multiple places at the same time.</t>
        </is>
      </c>
      <c r="S525" s="27" t="inlineStr">
        <is>
          <t>Van Nuys, CA</t>
        </is>
      </c>
      <c r="T525" s="28" t="inlineStr">
        <is>
          <t>www.vntana.com</t>
        </is>
      </c>
      <c r="U525" s="131">
        <f>HYPERLINK("https://my.pitchbook.com?c=99573-85", "View company online")</f>
      </c>
    </row>
    <row r="526">
      <c r="A526" s="30" t="inlineStr">
        <is>
          <t>163170-01</t>
        </is>
      </c>
      <c r="B526" s="31" t="inlineStr">
        <is>
          <t>Vmocion</t>
        </is>
      </c>
      <c r="C526" s="32" t="inlineStr">
        <is>
          <t/>
        </is>
      </c>
      <c r="D526" s="33" t="n">
        <v>-0.11292098857309983</v>
      </c>
      <c r="E526" s="34" t="n">
        <v>1.156512444648038</v>
      </c>
      <c r="F526" s="35" t="inlineStr">
        <is>
          <t/>
        </is>
      </c>
      <c r="G526" s="36" t="inlineStr">
        <is>
          <t>Early Stage VC</t>
        </is>
      </c>
      <c r="H526" s="37" t="inlineStr">
        <is>
          <t/>
        </is>
      </c>
      <c r="I526" s="38" t="inlineStr">
        <is>
          <t/>
        </is>
      </c>
      <c r="J526" s="39" t="inlineStr">
        <is>
          <t/>
        </is>
      </c>
      <c r="K526" s="40" t="inlineStr">
        <is>
          <t>Completed</t>
        </is>
      </c>
      <c r="L526" s="41" t="inlineStr">
        <is>
          <t>Privately Held (backing)</t>
        </is>
      </c>
      <c r="M526" s="42" t="inlineStr">
        <is>
          <t>Venture Capital-Backed</t>
        </is>
      </c>
      <c r="N526" s="43" t="inlineStr">
        <is>
          <t>The company raised venture funding from Mayo Clinic Ventures on an undisclosed date.</t>
        </is>
      </c>
      <c r="O526" s="44" t="inlineStr">
        <is>
          <t>Mayo Clinic Ventures</t>
        </is>
      </c>
      <c r="P526" s="45" t="inlineStr">
        <is>
          <t/>
        </is>
      </c>
      <c r="Q526" s="46" t="inlineStr">
        <is>
          <t>Electronics (B2C)</t>
        </is>
      </c>
      <c r="R526" s="47" t="inlineStr">
        <is>
          <t>Developer of virtual-reality-based entertainment technology. The company is engaged in development of a galvanic vestibular stimulation technology that can be used to add sensation of motion into virtual reality entertainment categories.</t>
        </is>
      </c>
      <c r="S526" s="48" t="inlineStr">
        <is>
          <t>Los Angeles, CA</t>
        </is>
      </c>
      <c r="T526" s="49" t="inlineStr">
        <is>
          <t>www.vmocion.com</t>
        </is>
      </c>
      <c r="U526" s="132">
        <f>HYPERLINK("https://my.pitchbook.com?c=163170-01", "View company online")</f>
      </c>
    </row>
    <row r="527">
      <c r="A527" s="9" t="inlineStr">
        <is>
          <t>103615-30</t>
        </is>
      </c>
      <c r="B527" s="10" t="inlineStr">
        <is>
          <t>vMobo</t>
        </is>
      </c>
      <c r="C527" s="11" t="inlineStr">
        <is>
          <t/>
        </is>
      </c>
      <c r="D527" s="12" t="n">
        <v>0.0</v>
      </c>
      <c r="E527" s="13" t="n">
        <v>0.2408382959230417</v>
      </c>
      <c r="F527" s="14" t="inlineStr">
        <is>
          <t/>
        </is>
      </c>
      <c r="G527" s="15" t="inlineStr">
        <is>
          <t>Later Stage VC</t>
        </is>
      </c>
      <c r="H527" s="16" t="inlineStr">
        <is>
          <t/>
        </is>
      </c>
      <c r="I527" s="17" t="n">
        <v>12.5</v>
      </c>
      <c r="J527" s="18" t="inlineStr">
        <is>
          <t/>
        </is>
      </c>
      <c r="K527" s="19" t="inlineStr">
        <is>
          <t>Upcoming</t>
        </is>
      </c>
      <c r="L527" s="20" t="inlineStr">
        <is>
          <t>Privately Held (backing)</t>
        </is>
      </c>
      <c r="M527" s="21" t="inlineStr">
        <is>
          <t>Venture Capital-Backed</t>
        </is>
      </c>
      <c r="N527" s="22" t="inlineStr">
        <is>
          <t>The company is planning to raise $12.5 million of venture funding from undisclosed investors as of December 15, 2016. Previously, the company raised $6.3 million of venture funding in a deal led by Hunch Ventures on November 16, 2016. Undisclosed angel investors also participated in the round. The company is being actively tracked by PitchBook.</t>
        </is>
      </c>
      <c r="O527" s="23" t="inlineStr">
        <is>
          <t>Hunch Ventures</t>
        </is>
      </c>
      <c r="P527" s="24" t="inlineStr">
        <is>
          <t/>
        </is>
      </c>
      <c r="Q527" s="25" t="inlineStr">
        <is>
          <t>Media and Information Services (B2B)</t>
        </is>
      </c>
      <c r="R527" s="26" t="inlineStr">
        <is>
          <t>Provider of an omni-channel marketplace for luxury brands. The company offers a cloud network for multi-brand rewards and privilege programs in order to assist retailers in customer acquisition, retention and engagement.</t>
        </is>
      </c>
      <c r="S527" s="27" t="inlineStr">
        <is>
          <t>Fremont, CA</t>
        </is>
      </c>
      <c r="T527" s="28" t="inlineStr">
        <is>
          <t>www.vmobo.com</t>
        </is>
      </c>
      <c r="U527" s="131">
        <f>HYPERLINK("https://my.pitchbook.com?c=103615-30", "View company online")</f>
      </c>
    </row>
    <row r="528">
      <c r="A528" s="30" t="inlineStr">
        <is>
          <t>56464-21</t>
        </is>
      </c>
      <c r="B528" s="31" t="inlineStr">
        <is>
          <t>VM Discovery</t>
        </is>
      </c>
      <c r="C528" s="32" t="inlineStr">
        <is>
          <t/>
        </is>
      </c>
      <c r="D528" s="33" t="n">
        <v>0.0</v>
      </c>
      <c r="E528" s="34" t="n">
        <v>0.10810810810810811</v>
      </c>
      <c r="F528" s="35" t="n">
        <v>41831.0</v>
      </c>
      <c r="G528" s="36" t="inlineStr">
        <is>
          <t>Later Stage VC</t>
        </is>
      </c>
      <c r="H528" s="37" t="inlineStr">
        <is>
          <t>Series D</t>
        </is>
      </c>
      <c r="I528" s="38" t="n">
        <v>7.87</v>
      </c>
      <c r="J528" s="39" t="n">
        <v>62.47</v>
      </c>
      <c r="K528" s="40" t="inlineStr">
        <is>
          <t>Completed</t>
        </is>
      </c>
      <c r="L528" s="41" t="inlineStr">
        <is>
          <t>Privately Held (backing)</t>
        </is>
      </c>
      <c r="M528" s="42" t="inlineStr">
        <is>
          <t>Venture Capital-Backed</t>
        </is>
      </c>
      <c r="N528" s="43" t="inlineStr">
        <is>
          <t>The company closed on $7.87 million of a planned $12.6 million of Series D venture funding from undisclosed investors on July 11, 2014, putting the pre-money valuation at $54.6 million.</t>
        </is>
      </c>
      <c r="O528" s="44" t="inlineStr">
        <is>
          <t>Amkey Ventures, Individual Investor, ONSET Ventures</t>
        </is>
      </c>
      <c r="P528" s="45" t="inlineStr">
        <is>
          <t/>
        </is>
      </c>
      <c r="Q528" s="46" t="inlineStr">
        <is>
          <t>Drug Discovery</t>
        </is>
      </c>
      <c r="R528" s="47" t="inlineStr">
        <is>
          <t>Developer of drug design and optimization technology. The company offers drug design and optimization services for clients to identify multi-property optimized drug candidates.</t>
        </is>
      </c>
      <c r="S528" s="48" t="inlineStr">
        <is>
          <t>Fremont, CA</t>
        </is>
      </c>
      <c r="T528" s="49" t="inlineStr">
        <is>
          <t>vmdiscovery.com</t>
        </is>
      </c>
      <c r="U528" s="132">
        <f>HYPERLINK("https://my.pitchbook.com?c=56464-21", "View company online")</f>
      </c>
    </row>
    <row r="529">
      <c r="A529" s="9" t="inlineStr">
        <is>
          <t>100237-15</t>
        </is>
      </c>
      <c r="B529" s="10" t="inlineStr">
        <is>
          <t>Vlocity</t>
        </is>
      </c>
      <c r="C529" s="11" t="inlineStr">
        <is>
          <t/>
        </is>
      </c>
      <c r="D529" s="12" t="n">
        <v>0.7091268051838523</v>
      </c>
      <c r="E529" s="13" t="n">
        <v>0.19002000210548484</v>
      </c>
      <c r="F529" s="14" t="n">
        <v>42633.0</v>
      </c>
      <c r="G529" s="15" t="inlineStr">
        <is>
          <t>Early Stage VC</t>
        </is>
      </c>
      <c r="H529" s="16" t="inlineStr">
        <is>
          <t>Series B</t>
        </is>
      </c>
      <c r="I529" s="17" t="n">
        <v>50.0</v>
      </c>
      <c r="J529" s="18" t="n">
        <v>587.52</v>
      </c>
      <c r="K529" s="19" t="inlineStr">
        <is>
          <t>Completed</t>
        </is>
      </c>
      <c r="L529" s="20" t="inlineStr">
        <is>
          <t>Privately Held (backing)</t>
        </is>
      </c>
      <c r="M529" s="21" t="inlineStr">
        <is>
          <t>Venture Capital-Backed</t>
        </is>
      </c>
      <c r="N529" s="22" t="inlineStr">
        <is>
          <t>The company raised $50 million of venture funding led by Sutter Hill Ventures on September 20, 2016, putting the pre-money valuation at $537.52 million. Salesforce Ventures, Accenture, New York Life, Kennet Partners, TDF Ventures and Wildcat Venture Partners also participated. The company intends to use the funds to expand its service and support infrastructure for customers around the world.</t>
        </is>
      </c>
      <c r="O529" s="23" t="inlineStr">
        <is>
          <t>Accenture, Kennet Partners, New York Life Enterprises, Salesforce Ventures, Sutter Hill Ventures, TDF Ventures, Wildcat Venture Partners</t>
        </is>
      </c>
      <c r="P529" s="24" t="inlineStr">
        <is>
          <t/>
        </is>
      </c>
      <c r="Q529" s="25" t="inlineStr">
        <is>
          <t>Business/Productivity Software</t>
        </is>
      </c>
      <c r="R529" s="26" t="inlineStr">
        <is>
          <t>Developer of cloud based software to deliver industry-specific customer experiences. The company provides cloud applications that allow companies to deliver unified, industry-specific customer experiences in customer-centric industries, including communications and media, health insurance and the public sector.</t>
        </is>
      </c>
      <c r="S529" s="27" t="inlineStr">
        <is>
          <t>San Francisco, CA</t>
        </is>
      </c>
      <c r="T529" s="28" t="inlineStr">
        <is>
          <t>www.vlocity.com</t>
        </is>
      </c>
      <c r="U529" s="131">
        <f>HYPERLINK("https://my.pitchbook.com?c=100237-15", "View company online")</f>
      </c>
    </row>
    <row r="530">
      <c r="A530" s="30" t="inlineStr">
        <is>
          <t>55332-64</t>
        </is>
      </c>
      <c r="B530" s="31" t="inlineStr">
        <is>
          <t>V-Key</t>
        </is>
      </c>
      <c r="C530" s="32" t="inlineStr">
        <is>
          <t/>
        </is>
      </c>
      <c r="D530" s="33" t="n">
        <v>2.068748067481888</v>
      </c>
      <c r="E530" s="34" t="n">
        <v>2.0642225023212495</v>
      </c>
      <c r="F530" s="35" t="n">
        <v>41961.0</v>
      </c>
      <c r="G530" s="36" t="inlineStr">
        <is>
          <t>Early Stage VC</t>
        </is>
      </c>
      <c r="H530" s="37" t="inlineStr">
        <is>
          <t>Series B</t>
        </is>
      </c>
      <c r="I530" s="38" t="n">
        <v>12.0</v>
      </c>
      <c r="J530" s="39" t="inlineStr">
        <is>
          <t/>
        </is>
      </c>
      <c r="K530" s="40" t="inlineStr">
        <is>
          <t>Completed</t>
        </is>
      </c>
      <c r="L530" s="41" t="inlineStr">
        <is>
          <t>Privately Held (backing)</t>
        </is>
      </c>
      <c r="M530" s="42" t="inlineStr">
        <is>
          <t>Venture Capital-Backed</t>
        </is>
      </c>
      <c r="N530" s="43" t="inlineStr">
        <is>
          <t>The company raised $12 million of venture funding form Ant Financial Services Group (Ant Financial), the operating company of Alipay and IPV Capital on November 18, 2014. It will use the funds for global expansion and further development to strengthen its offerings.</t>
        </is>
      </c>
      <c r="O530" s="44" t="inlineStr">
        <is>
          <t>Ant Financial, IPV Capital</t>
        </is>
      </c>
      <c r="P530" s="45" t="inlineStr">
        <is>
          <t/>
        </is>
      </c>
      <c r="Q530" s="46" t="inlineStr">
        <is>
          <t>Other Software</t>
        </is>
      </c>
      <c r="R530" s="47" t="inlineStr">
        <is>
          <t>Provider of mobile application security services. The company provides mobile application threat research, protection and intelligence services through multi-layered security mechanisms.</t>
        </is>
      </c>
      <c r="S530" s="48" t="inlineStr">
        <is>
          <t>Redwood City, CA</t>
        </is>
      </c>
      <c r="T530" s="49" t="inlineStr">
        <is>
          <t>www.v-key.com</t>
        </is>
      </c>
      <c r="U530" s="132">
        <f>HYPERLINK("https://my.pitchbook.com?c=55332-64", "View company online")</f>
      </c>
    </row>
    <row r="531">
      <c r="A531" s="9" t="inlineStr">
        <is>
          <t>55375-12</t>
        </is>
      </c>
      <c r="B531" s="10" t="inlineStr">
        <is>
          <t>Vizury Interactive Solutions</t>
        </is>
      </c>
      <c r="C531" s="11" t="inlineStr">
        <is>
          <t/>
        </is>
      </c>
      <c r="D531" s="12" t="n">
        <v>-0.11469497759806724</v>
      </c>
      <c r="E531" s="13" t="n">
        <v>4.515382320946064</v>
      </c>
      <c r="F531" s="14" t="n">
        <v>41802.0</v>
      </c>
      <c r="G531" s="15" t="inlineStr">
        <is>
          <t>Later Stage VC</t>
        </is>
      </c>
      <c r="H531" s="16" t="inlineStr">
        <is>
          <t>Series C</t>
        </is>
      </c>
      <c r="I531" s="17" t="n">
        <v>16.0</v>
      </c>
      <c r="J531" s="18" t="n">
        <v>70.0</v>
      </c>
      <c r="K531" s="19" t="inlineStr">
        <is>
          <t>Completed</t>
        </is>
      </c>
      <c r="L531" s="20" t="inlineStr">
        <is>
          <t>Privately Held (backing)</t>
        </is>
      </c>
      <c r="M531" s="21" t="inlineStr">
        <is>
          <t>Venture Capital-Backed</t>
        </is>
      </c>
      <c r="N531" s="22" t="inlineStr">
        <is>
          <t>The company raised $16 million of Series C venture funding from lead investor Intel Capital on June 12, 2014, putting the pre-money valutaion at $54 million. Ascent Capital, Inventus Capital Partners and Nokia Growth Partners also participated in the round.</t>
        </is>
      </c>
      <c r="O531" s="23" t="inlineStr">
        <is>
          <t>Ascent Capital, Individual Investor, Intel Capital, Inventus Capital Partners, Nokia Growth Partners, Ojas Venture Partners</t>
        </is>
      </c>
      <c r="P531" s="24" t="inlineStr">
        <is>
          <t/>
        </is>
      </c>
      <c r="Q531" s="25" t="inlineStr">
        <is>
          <t>Business/Productivity Software</t>
        </is>
      </c>
      <c r="R531" s="26" t="inlineStr">
        <is>
          <t>Provider of a multi channel marketing platform. The company provides enterprises a fully-managed account management service which helps brands acquire new customers and re-engage with existing customers through personalized marketing driven by data analytics.</t>
        </is>
      </c>
      <c r="S531" s="27" t="inlineStr">
        <is>
          <t>Bangalore, India</t>
        </is>
      </c>
      <c r="T531" s="28" t="inlineStr">
        <is>
          <t>www1.vizury.com</t>
        </is>
      </c>
      <c r="U531" s="131">
        <f>HYPERLINK("https://my.pitchbook.com?c=55375-12", "View company online")</f>
      </c>
    </row>
    <row r="532">
      <c r="A532" s="30" t="inlineStr">
        <is>
          <t>51361-93</t>
        </is>
      </c>
      <c r="B532" s="31" t="inlineStr">
        <is>
          <t>Vizio (VZIO)</t>
        </is>
      </c>
      <c r="C532" s="32" t="n">
        <v>3000.0</v>
      </c>
      <c r="D532" s="33" t="n">
        <v>-0.13052803566351745</v>
      </c>
      <c r="E532" s="34" t="n">
        <v>167.21610854722496</v>
      </c>
      <c r="F532" s="35" t="n">
        <v>42577.0</v>
      </c>
      <c r="G532" s="36" t="inlineStr">
        <is>
          <t>Merger/Acquisition</t>
        </is>
      </c>
      <c r="H532" s="37" t="inlineStr">
        <is>
          <t/>
        </is>
      </c>
      <c r="I532" s="38" t="n">
        <v>2250.0</v>
      </c>
      <c r="J532" s="39" t="n">
        <v>2250.0</v>
      </c>
      <c r="K532" s="40" t="inlineStr">
        <is>
          <t>Failed/Cancelled</t>
        </is>
      </c>
      <c r="L532" s="41" t="inlineStr">
        <is>
          <t>Privately Held (backing)</t>
        </is>
      </c>
      <c r="M532" s="42" t="inlineStr">
        <is>
          <t>Venture Capital-Backed</t>
        </is>
      </c>
      <c r="N532" s="43" t="inlineStr">
        <is>
          <t>The company was in talks to be acquired by LeEco Global (SHE: 300104) for $2.25 billion on July 26, 2016. Subsequently the deal was cancelled on April 10, 2017. Previously, the company filed to go public on NASDAQ stock exchange under the ticker symbol of VZIO as on July 24, 2015. The expected offering amount is $172.5 million, putting the valuation at $1000 million. Subsequently, the offering was withdrawn.</t>
        </is>
      </c>
      <c r="O532" s="44" t="inlineStr">
        <is>
          <t>Amtran Technology, Avalon Capital Group, Q-Run Holdings, V-TW Holding, WI Harper Group</t>
        </is>
      </c>
      <c r="P532" s="45" t="inlineStr">
        <is>
          <t/>
        </is>
      </c>
      <c r="Q532" s="46" t="inlineStr">
        <is>
          <t>Electronics (B2C)</t>
        </is>
      </c>
      <c r="R532" s="47" t="inlineStr">
        <is>
          <t>Manufacturer of high definition televisions, computers, home audio systems and accessories. The company's television set uses multi-screen technology to offer flat panel display, high definition and liquid crystal display.</t>
        </is>
      </c>
      <c r="S532" s="48" t="inlineStr">
        <is>
          <t>Irvine, CA</t>
        </is>
      </c>
      <c r="T532" s="49" t="inlineStr">
        <is>
          <t>www.vizio.com</t>
        </is>
      </c>
      <c r="U532" s="132">
        <f>HYPERLINK("https://my.pitchbook.com?c=51361-93", "View company online")</f>
      </c>
    </row>
    <row r="533">
      <c r="A533" s="9" t="inlineStr">
        <is>
          <t>128807-20</t>
        </is>
      </c>
      <c r="B533" s="10" t="inlineStr">
        <is>
          <t>VizExplorer</t>
        </is>
      </c>
      <c r="C533" s="11" t="n">
        <v>8.87</v>
      </c>
      <c r="D533" s="12" t="n">
        <v>1.3196893611780882</v>
      </c>
      <c r="E533" s="13" t="n">
        <v>9.529331252507376</v>
      </c>
      <c r="F533" s="14" t="n">
        <v>42626.0</v>
      </c>
      <c r="G533" s="15" t="inlineStr">
        <is>
          <t>Later Stage VC</t>
        </is>
      </c>
      <c r="H533" s="16" t="inlineStr">
        <is>
          <t/>
        </is>
      </c>
      <c r="I533" s="17" t="inlineStr">
        <is>
          <t/>
        </is>
      </c>
      <c r="J533" s="18" t="inlineStr">
        <is>
          <t/>
        </is>
      </c>
      <c r="K533" s="19" t="inlineStr">
        <is>
          <t>Completed</t>
        </is>
      </c>
      <c r="L533" s="20" t="inlineStr">
        <is>
          <t>Privately Held (backing)</t>
        </is>
      </c>
      <c r="M533" s="21" t="inlineStr">
        <is>
          <t>Venture Capital-Backed</t>
        </is>
      </c>
      <c r="N533" s="22" t="inlineStr">
        <is>
          <t>The company raised an undisclosed amount of venture funding from Stanley Ventures on September 13, 2016. The investment and collaboration enhances the joint strategies articulated by VizExplorer and Stanley Black &amp; Decker. Together, the companies will collaborate to develop products that move the industry forward and help businesses gain insight into their day-to-day operations.</t>
        </is>
      </c>
      <c r="O533" s="23" t="inlineStr">
        <is>
          <t>Stanley Ventures</t>
        </is>
      </c>
      <c r="P533" s="24" t="inlineStr">
        <is>
          <t/>
        </is>
      </c>
      <c r="Q533" s="25" t="inlineStr">
        <is>
          <t>Database Software</t>
        </is>
      </c>
      <c r="R533" s="26" t="inlineStr">
        <is>
          <t>Developer of operational intelligence software for gaming sector. The company develops software that provide data integration, data analytics, data visualization, business intelligence and enables enterprises to address smart space and profit optimization, marketing campaign management, customer relationship management, customer development, dispatch and service management for casino, sports and entertainment and manufacturing industries.</t>
        </is>
      </c>
      <c r="S533" s="27" t="inlineStr">
        <is>
          <t>San Diego, CA</t>
        </is>
      </c>
      <c r="T533" s="28" t="inlineStr">
        <is>
          <t>www.vizexplorer.com</t>
        </is>
      </c>
      <c r="U533" s="131">
        <f>HYPERLINK("https://my.pitchbook.com?c=128807-20", "View company online")</f>
      </c>
    </row>
    <row r="534">
      <c r="A534" s="30" t="inlineStr">
        <is>
          <t>66006-37</t>
        </is>
      </c>
      <c r="B534" s="31" t="inlineStr">
        <is>
          <t>Vizera</t>
        </is>
      </c>
      <c r="C534" s="32" t="inlineStr">
        <is>
          <t/>
        </is>
      </c>
      <c r="D534" s="33" t="n">
        <v>0.0</v>
      </c>
      <c r="E534" s="34" t="n">
        <v>1.1891891891891893</v>
      </c>
      <c r="F534" s="35" t="n">
        <v>41736.0</v>
      </c>
      <c r="G534" s="36" t="inlineStr">
        <is>
          <t>Accelerator/Incubator</t>
        </is>
      </c>
      <c r="H534" s="37" t="inlineStr">
        <is>
          <t/>
        </is>
      </c>
      <c r="I534" s="38" t="n">
        <v>0.12</v>
      </c>
      <c r="J534" s="39" t="n">
        <v>0.17</v>
      </c>
      <c r="K534" s="40" t="inlineStr">
        <is>
          <t>Completed</t>
        </is>
      </c>
      <c r="L534" s="41" t="inlineStr">
        <is>
          <t>Privately Held (backing)</t>
        </is>
      </c>
      <c r="M534" s="42" t="inlineStr">
        <is>
          <t>Venture Capital-Backed</t>
        </is>
      </c>
      <c r="N534" s="43" t="inlineStr">
        <is>
          <t>The company joined Y Combinator as a part of the Summer 2014 Class on April 7, 2014, and received $120,000 in funding. Previously, the company raised an undisclosed amount of seed funding from String Ventures and Voylet Capital in 2014.</t>
        </is>
      </c>
      <c r="O534" s="44" t="inlineStr">
        <is>
          <t>String Ventures, Voylet Capital, Y Combinator</t>
        </is>
      </c>
      <c r="P534" s="45" t="inlineStr">
        <is>
          <t/>
        </is>
      </c>
      <c r="Q534" s="46" t="inlineStr">
        <is>
          <t>Computers, Parts and Peripherals</t>
        </is>
      </c>
      <c r="R534" s="47" t="inlineStr">
        <is>
          <t>Provider of a smart projection device designed to show fabric projections on physical objects. The company's smart projection device detects pre-scanned objects within the scene and performs accurate projections on those that enable furniture retailers to display hundreds of items at a single space, without wasting any extra physical storefront space.</t>
        </is>
      </c>
      <c r="S534" s="48" t="inlineStr">
        <is>
          <t>San Francisco, CA</t>
        </is>
      </c>
      <c r="T534" s="49" t="inlineStr">
        <is>
          <t>www.vizeralabs.com</t>
        </is>
      </c>
      <c r="U534" s="132">
        <f>HYPERLINK("https://my.pitchbook.com?c=66006-37", "View company online")</f>
      </c>
    </row>
    <row r="535">
      <c r="A535" s="9" t="inlineStr">
        <is>
          <t>167868-19</t>
        </is>
      </c>
      <c r="B535" s="10" t="inlineStr">
        <is>
          <t>Vize Software</t>
        </is>
      </c>
      <c r="C535" s="11" t="n">
        <v>1.8</v>
      </c>
      <c r="D535" s="12" t="n">
        <v>-0.03272358175877671</v>
      </c>
      <c r="E535" s="13" t="n">
        <v>1.9858405910911439</v>
      </c>
      <c r="F535" s="14" t="n">
        <v>42782.0</v>
      </c>
      <c r="G535" s="15" t="inlineStr">
        <is>
          <t>Accelerator/Incubator</t>
        </is>
      </c>
      <c r="H535" s="16" t="inlineStr">
        <is>
          <t/>
        </is>
      </c>
      <c r="I535" s="17" t="n">
        <v>0.12</v>
      </c>
      <c r="J535" s="18" t="n">
        <v>1.71</v>
      </c>
      <c r="K535" s="19" t="inlineStr">
        <is>
          <t>Completed</t>
        </is>
      </c>
      <c r="L535" s="20" t="inlineStr">
        <is>
          <t>Privately Held (backing)</t>
        </is>
      </c>
      <c r="M535" s="21" t="inlineStr">
        <is>
          <t>Venture Capital-Backed</t>
        </is>
      </c>
      <c r="N535" s="22" t="inlineStr">
        <is>
          <t>The company joined Y Combinator as a part of the Winter 2017 on February 16, 2017, and received $120,000 in funding. Previously, the company raised EUR 500,000 of venture funding from ILP Sadepar Gestion on November 2, 2016. It also joined Hewlett Packard Enterprise as part of its Promo Start-Up 2016 program on March 23, 2016.</t>
        </is>
      </c>
      <c r="O535" s="23" t="inlineStr">
        <is>
          <t>Hewlett Packard Enterprise, ILP Sadepar Gestion, IMT Starter, MassChallenge, Y Combinator</t>
        </is>
      </c>
      <c r="P535" s="24" t="inlineStr">
        <is>
          <t/>
        </is>
      </c>
      <c r="Q535" s="25" t="inlineStr">
        <is>
          <t>Business/Productivity Software</t>
        </is>
      </c>
      <c r="R535" s="26" t="inlineStr">
        <is>
          <t>Developer of a software designed to create interactive data visualizations. The company's software provides the smoothest user experience and disrupts the status quo of traditional spreadsheets and statistical packages and also offers visual tool that helps to get with business intelligence, enabling its users to perform advanced data tasks without coding.</t>
        </is>
      </c>
      <c r="S535" s="27" t="inlineStr">
        <is>
          <t>Nancy, France</t>
        </is>
      </c>
      <c r="T535" s="28" t="inlineStr">
        <is>
          <t>www.vize.io</t>
        </is>
      </c>
      <c r="U535" s="131">
        <f>HYPERLINK("https://my.pitchbook.com?c=167868-19", "View company online")</f>
      </c>
    </row>
    <row r="536">
      <c r="A536" s="30" t="inlineStr">
        <is>
          <t>163373-77</t>
        </is>
      </c>
      <c r="B536" s="31" t="inlineStr">
        <is>
          <t>Viz</t>
        </is>
      </c>
      <c r="C536" s="32" t="inlineStr">
        <is>
          <t/>
        </is>
      </c>
      <c r="D536" s="33" t="n">
        <v>0.0</v>
      </c>
      <c r="E536" s="34" t="n">
        <v>2.189189189189189</v>
      </c>
      <c r="F536" s="35" t="n">
        <v>42879.0</v>
      </c>
      <c r="G536" s="36" t="inlineStr">
        <is>
          <t>Seed Round</t>
        </is>
      </c>
      <c r="H536" s="37" t="inlineStr">
        <is>
          <t>Seed</t>
        </is>
      </c>
      <c r="I536" s="38" t="n">
        <v>7.5</v>
      </c>
      <c r="J536" s="39" t="inlineStr">
        <is>
          <t/>
        </is>
      </c>
      <c r="K536" s="40" t="inlineStr">
        <is>
          <t>Completed</t>
        </is>
      </c>
      <c r="L536" s="41" t="inlineStr">
        <is>
          <t>Privately Held (backing)</t>
        </is>
      </c>
      <c r="M536" s="42" t="inlineStr">
        <is>
          <t>Venture Capital-Backed</t>
        </is>
      </c>
      <c r="N536" s="43" t="inlineStr">
        <is>
          <t>The company raised $7.5 million of seed funding in a deal led by DHVC and Innovation Endeavors on May 24, 2017. AME Cloud Ventures and Susa Ventures also participated in the round. The company will use the funding to accelerate the development and market penetration of its platform, focusing on stroke.</t>
        </is>
      </c>
      <c r="O536" s="44" t="inlineStr">
        <is>
          <t>AME Cloud Ventures, Danhua Capital, Innovation Endeavors, Kevin Ding, Pear Ventures, Susa Ventures</t>
        </is>
      </c>
      <c r="P536" s="45" t="inlineStr">
        <is>
          <t/>
        </is>
      </c>
      <c r="Q536" s="46" t="inlineStr">
        <is>
          <t>Diagnostic Equipment</t>
        </is>
      </c>
      <c r="R536" s="47" t="inlineStr">
        <is>
          <t>Operator of an artificial intelligence medical imaging company designed to optimize emergency treatment. The company's artificial intelligence medical imaging services is use by emergency room doctors and medical specialist that can reduce the time, help the doctors to take right decision on right time, enabling health care providers to treat patients fast.</t>
        </is>
      </c>
      <c r="S536" s="48" t="inlineStr">
        <is>
          <t>San Francisco, CA</t>
        </is>
      </c>
      <c r="T536" s="49" t="inlineStr">
        <is>
          <t>www.viz.ai</t>
        </is>
      </c>
      <c r="U536" s="132">
        <f>HYPERLINK("https://my.pitchbook.com?c=163373-77", "View company online")</f>
      </c>
    </row>
    <row r="537">
      <c r="A537" s="9" t="inlineStr">
        <is>
          <t>56429-29</t>
        </is>
      </c>
      <c r="B537" s="10" t="inlineStr">
        <is>
          <t>VivoPools</t>
        </is>
      </c>
      <c r="C537" s="11" t="inlineStr">
        <is>
          <t/>
        </is>
      </c>
      <c r="D537" s="12" t="n">
        <v>0.25952015327944866</v>
      </c>
      <c r="E537" s="13" t="n">
        <v>2.305574057582164</v>
      </c>
      <c r="F537" s="14" t="n">
        <v>40179.0</v>
      </c>
      <c r="G537" s="15" t="inlineStr">
        <is>
          <t>Early Stage VC</t>
        </is>
      </c>
      <c r="H537" s="16" t="inlineStr">
        <is>
          <t/>
        </is>
      </c>
      <c r="I537" s="17" t="inlineStr">
        <is>
          <t/>
        </is>
      </c>
      <c r="J537" s="18" t="inlineStr">
        <is>
          <t/>
        </is>
      </c>
      <c r="K537" s="19" t="inlineStr">
        <is>
          <t>Completed</t>
        </is>
      </c>
      <c r="L537" s="20" t="inlineStr">
        <is>
          <t>Privately Held (backing)</t>
        </is>
      </c>
      <c r="M537" s="21" t="inlineStr">
        <is>
          <t>Venture Capital-Backed</t>
        </is>
      </c>
      <c r="N537" s="22" t="inlineStr">
        <is>
          <t>The company raised an undisclosed amount of venture funding from Juvo Capital in January 2010.</t>
        </is>
      </c>
      <c r="O537" s="23" t="inlineStr">
        <is>
          <t>Juvo Capital</t>
        </is>
      </c>
      <c r="P537" s="24" t="inlineStr">
        <is>
          <t/>
        </is>
      </c>
      <c r="Q537" s="25" t="inlineStr">
        <is>
          <t>Other Commercial Services</t>
        </is>
      </c>
      <c r="R537" s="26" t="inlineStr">
        <is>
          <t>Provider of swimming pool management services across the United States. The company offers water management services to hotels, resorts, multi-family apartment owners, health clubs, municipalities and water parks.</t>
        </is>
      </c>
      <c r="S537" s="27" t="inlineStr">
        <is>
          <t>Monrovia, CA</t>
        </is>
      </c>
      <c r="T537" s="28" t="inlineStr">
        <is>
          <t>www.vivopools.com</t>
        </is>
      </c>
      <c r="U537" s="131">
        <f>HYPERLINK("https://my.pitchbook.com?c=56429-29", "View company online")</f>
      </c>
    </row>
    <row r="538">
      <c r="A538" s="30" t="inlineStr">
        <is>
          <t>55220-68</t>
        </is>
      </c>
      <c r="B538" s="31" t="inlineStr">
        <is>
          <t>Vivocha</t>
        </is>
      </c>
      <c r="C538" s="32" t="inlineStr">
        <is>
          <t/>
        </is>
      </c>
      <c r="D538" s="33" t="n">
        <v>0.3943833747526832</v>
      </c>
      <c r="E538" s="34" t="n">
        <v>4.490260141181291</v>
      </c>
      <c r="F538" s="35" t="n">
        <v>41453.0</v>
      </c>
      <c r="G538" s="36" t="inlineStr">
        <is>
          <t>Grant</t>
        </is>
      </c>
      <c r="H538" s="37" t="inlineStr">
        <is>
          <t/>
        </is>
      </c>
      <c r="I538" s="38" t="inlineStr">
        <is>
          <t/>
        </is>
      </c>
      <c r="J538" s="39" t="inlineStr">
        <is>
          <t/>
        </is>
      </c>
      <c r="K538" s="40" t="inlineStr">
        <is>
          <t>Completed</t>
        </is>
      </c>
      <c r="L538" s="41" t="inlineStr">
        <is>
          <t>Privately Held (backing)</t>
        </is>
      </c>
      <c r="M538" s="42" t="inlineStr">
        <is>
          <t>Venture Capital-Backed</t>
        </is>
      </c>
      <c r="N538" s="43" t="inlineStr">
        <is>
          <t>The company received an disclosed amount grant funding from Polihub and IMB SmartCamp on June 28, 2013. Previously, the company raised EUR 1.5 million of Series A venture funding from Vertis SGR, Mind The Bridge Foundation and Silicon Stroll Bootcamp on September 12, 2012. Principia SGR also participated in this round.</t>
        </is>
      </c>
      <c r="O538" s="44" t="inlineStr">
        <is>
          <t>IBM SmartCamp, Mind the Bridge Foundation, Polihub, Principia SGR, Silicon Stroll Bootcamp, Vertis SGR</t>
        </is>
      </c>
      <c r="P538" s="45" t="inlineStr">
        <is>
          <t/>
        </is>
      </c>
      <c r="Q538" s="46" t="inlineStr">
        <is>
          <t>Communication Software</t>
        </is>
      </c>
      <c r="R538" s="47" t="inlineStr">
        <is>
          <t>Provider of a cloud-based online customer interaction platform designed to help brands sell more. The company's customer interaction platform offers multi-channel communication, enabling business to seamlessly communicate with prospects and customers right on the website, using any combination of VoIP, video, chat, CallBacks, and collaboration tools like assisted browsing and form and document sharing.</t>
        </is>
      </c>
      <c r="S538" s="48" t="inlineStr">
        <is>
          <t>San Francisco, CA</t>
        </is>
      </c>
      <c r="T538" s="49" t="inlineStr">
        <is>
          <t>www.vivocha.com</t>
        </is>
      </c>
      <c r="U538" s="132">
        <f>HYPERLINK("https://my.pitchbook.com?c=55220-68", "View company online")</f>
      </c>
    </row>
    <row r="539">
      <c r="A539" s="9" t="inlineStr">
        <is>
          <t>55765-81</t>
        </is>
      </c>
      <c r="B539" s="10" t="inlineStr">
        <is>
          <t>Vivino</t>
        </is>
      </c>
      <c r="C539" s="11" t="inlineStr">
        <is>
          <t/>
        </is>
      </c>
      <c r="D539" s="12" t="n">
        <v>-0.00372160177009348</v>
      </c>
      <c r="E539" s="13" t="n">
        <v>148.80708754074635</v>
      </c>
      <c r="F539" s="14" t="n">
        <v>42381.0</v>
      </c>
      <c r="G539" s="15" t="inlineStr">
        <is>
          <t>Later Stage VC</t>
        </is>
      </c>
      <c r="H539" s="16" t="inlineStr">
        <is>
          <t>Series B</t>
        </is>
      </c>
      <c r="I539" s="17" t="n">
        <v>25.09</v>
      </c>
      <c r="J539" s="18" t="inlineStr">
        <is>
          <t/>
        </is>
      </c>
      <c r="K539" s="19" t="inlineStr">
        <is>
          <t>Completed</t>
        </is>
      </c>
      <c r="L539" s="20" t="inlineStr">
        <is>
          <t>Privately Held (backing)</t>
        </is>
      </c>
      <c r="M539" s="21" t="inlineStr">
        <is>
          <t>Venture Capital-Backed</t>
        </is>
      </c>
      <c r="N539" s="22" t="inlineStr">
        <is>
          <t>The company raised $25 million of Series B venture funding led by SCP Neptune International on January 12, 2016. Balderton Capital, Creandum, SEED Capital, Iconical, Melo7 Tech Partners, Vækstfonden and individual investors also participated in the round. The company will use the funding to expand its marketplace as well as its business. Previously, it raised an undisclosed amount of venture funding Melo7 Tech Partners and undisclosed angel investors in May 2015.</t>
        </is>
      </c>
      <c r="O539" s="23" t="inlineStr">
        <is>
          <t>Armada Investment, Balderton Capital, Christian Wylonis, Creandum, Gustaf Alstromer, Henrik Rosendahl, James Wise, Janus Friis, Jesper Buch, Johan Brenner, Melo7 Tech Partners, Pre-Seed Innovation, Roberto Bonanzinga, SCP Neptune International, SEED Capital Denmark, Vækstfonden</t>
        </is>
      </c>
      <c r="P539" s="24" t="inlineStr">
        <is>
          <t/>
        </is>
      </c>
      <c r="Q539" s="25" t="inlineStr">
        <is>
          <t>Social/Platform Software</t>
        </is>
      </c>
      <c r="R539" s="26" t="inlineStr">
        <is>
          <t>Developer of mobile application for wine labels via image recognition. The company's platform lets users scan the label on a bottle of wine using their smartphones and access user-generated ratings and reviews of it.</t>
        </is>
      </c>
      <c r="S539" s="27" t="inlineStr">
        <is>
          <t>Copenhagen, Denmark</t>
        </is>
      </c>
      <c r="T539" s="28" t="inlineStr">
        <is>
          <t>www.vivino.com</t>
        </is>
      </c>
      <c r="U539" s="131">
        <f>HYPERLINK("https://my.pitchbook.com?c=55765-81", "View company online")</f>
      </c>
    </row>
    <row r="540">
      <c r="A540" s="30" t="inlineStr">
        <is>
          <t>170198-02</t>
        </is>
      </c>
      <c r="B540" s="31" t="inlineStr">
        <is>
          <t>Vividion Therapeutics</t>
        </is>
      </c>
      <c r="C540" s="32" t="inlineStr">
        <is>
          <t/>
        </is>
      </c>
      <c r="D540" s="33" t="n">
        <v>0.0</v>
      </c>
      <c r="E540" s="34" t="n">
        <v>0.6756756756756757</v>
      </c>
      <c r="F540" s="35" t="n">
        <v>42768.0</v>
      </c>
      <c r="G540" s="36" t="inlineStr">
        <is>
          <t>Early Stage VC</t>
        </is>
      </c>
      <c r="H540" s="37" t="inlineStr">
        <is>
          <t>Series A2</t>
        </is>
      </c>
      <c r="I540" s="38" t="n">
        <v>50.0</v>
      </c>
      <c r="J540" s="39" t="n">
        <v>75.0</v>
      </c>
      <c r="K540" s="40" t="inlineStr">
        <is>
          <t>Completed</t>
        </is>
      </c>
      <c r="L540" s="41" t="inlineStr">
        <is>
          <t>Privately Held (backing)</t>
        </is>
      </c>
      <c r="M540" s="42" t="inlineStr">
        <is>
          <t>Venture Capital-Backed</t>
        </is>
      </c>
      <c r="N540" s="43" t="inlineStr">
        <is>
          <t>The company raised $50 million of Series A2 venture funding led by ARCH Venture Partners and Versant Ventures on February 2, 2017, putting the pre-money valuation at $25 million. Cardinal Partners and other undisclosed investors also participated in this round.</t>
        </is>
      </c>
      <c r="O540" s="44" t="inlineStr">
        <is>
          <t>ARCH Venture Partners, Cardinal Partners, Versant Ventures</t>
        </is>
      </c>
      <c r="P540" s="45" t="inlineStr">
        <is>
          <t/>
        </is>
      </c>
      <c r="Q540" s="46" t="inlineStr">
        <is>
          <t>Biotechnology</t>
        </is>
      </c>
      <c r="R540" s="47" t="inlineStr">
        <is>
          <t>Developer of novel drug discovery platform created to provide transformative treatments to patients with serious illnesses. The company's novel drug discovery platform that applies chemical proteomics to expand the druggable proteome and address difficult targets to bring new, transformative treatments to patients with serious illnesses, enabling customers to eliminates artifacts and create proteome-wide drug interaction maps for simultaneous target engagement and global selectivity profiling.</t>
        </is>
      </c>
      <c r="S540" s="48" t="inlineStr">
        <is>
          <t>San Diego, CA</t>
        </is>
      </c>
      <c r="T540" s="49" t="inlineStr">
        <is>
          <t>www.vividion.com</t>
        </is>
      </c>
      <c r="U540" s="132">
        <f>HYPERLINK("https://my.pitchbook.com?c=170198-02", "View company online")</f>
      </c>
    </row>
    <row r="541">
      <c r="A541" s="9" t="inlineStr">
        <is>
          <t>124683-67</t>
        </is>
      </c>
      <c r="B541" s="10" t="inlineStr">
        <is>
          <t>Vivid Vision</t>
        </is>
      </c>
      <c r="C541" s="11" t="inlineStr">
        <is>
          <t/>
        </is>
      </c>
      <c r="D541" s="12" t="n">
        <v>0.9800363433983704</v>
      </c>
      <c r="E541" s="13" t="n">
        <v>4.395468394491976</v>
      </c>
      <c r="F541" s="14" t="n">
        <v>42866.0</v>
      </c>
      <c r="G541" s="15" t="inlineStr">
        <is>
          <t>Seed Round</t>
        </is>
      </c>
      <c r="H541" s="16" t="inlineStr">
        <is>
          <t>Seed</t>
        </is>
      </c>
      <c r="I541" s="17" t="n">
        <v>2.2</v>
      </c>
      <c r="J541" s="18" t="n">
        <v>11.0</v>
      </c>
      <c r="K541" s="19" t="inlineStr">
        <is>
          <t>Completed</t>
        </is>
      </c>
      <c r="L541" s="20" t="inlineStr">
        <is>
          <t>Privately Held (backing)</t>
        </is>
      </c>
      <c r="M541" s="21" t="inlineStr">
        <is>
          <t>Venture Capital-Backed</t>
        </is>
      </c>
      <c r="N541" s="22" t="inlineStr">
        <is>
          <t>The company raised $2.2 million of seed funding through a combination of equity and debt in a deal led by SoftTech VC on May 11, 2017, putting the estimated pre-money valuation at $10 million. Anorak Ventures, ChinaRock Capital Management, Liquid 2 Ventures, SOSV and The Venture Reality Fund also participated in the round. The funds will be used to expand and accelerate its vision care platform.</t>
        </is>
      </c>
      <c r="O541" s="23" t="inlineStr">
        <is>
          <t>Anorak Ventures, ChinaRock Capital Management, IncWell, LEAP.Axlr8r, Liquid 2 Ventures, SoftTech VC, SOSV, The Venture Reality Fund</t>
        </is>
      </c>
      <c r="P541" s="24" t="inlineStr">
        <is>
          <t/>
        </is>
      </c>
      <c r="Q541" s="25" t="inlineStr">
        <is>
          <t>Therapeutic Devices</t>
        </is>
      </c>
      <c r="R541" s="26" t="inlineStr">
        <is>
          <t>Provider of a virtual reality system designed to facilitate in the field of vision disorders such as lazy eye and crossed eyes. The company's virtual reality system to treat disorders like amblyopia, strabismus, and covergence enabling users to play a set of games specifically designed to help combat their disorders.</t>
        </is>
      </c>
      <c r="S541" s="27" t="inlineStr">
        <is>
          <t>San Francisco, CA</t>
        </is>
      </c>
      <c r="T541" s="28" t="inlineStr">
        <is>
          <t>www.seevividly.com</t>
        </is>
      </c>
      <c r="U541" s="131">
        <f>HYPERLINK("https://my.pitchbook.com?c=124683-67", "View company online")</f>
      </c>
    </row>
    <row r="542">
      <c r="A542" s="30" t="inlineStr">
        <is>
          <t>107318-89</t>
        </is>
      </c>
      <c r="B542" s="31" t="inlineStr">
        <is>
          <t>Vivace Therapeutics</t>
        </is>
      </c>
      <c r="C542" s="32" t="inlineStr">
        <is>
          <t/>
        </is>
      </c>
      <c r="D542" s="33" t="inlineStr">
        <is>
          <t/>
        </is>
      </c>
      <c r="E542" s="34" t="inlineStr">
        <is>
          <t/>
        </is>
      </c>
      <c r="F542" s="35" t="n">
        <v>42872.0</v>
      </c>
      <c r="G542" s="36" t="inlineStr">
        <is>
          <t>Early Stage VC</t>
        </is>
      </c>
      <c r="H542" s="37" t="inlineStr">
        <is>
          <t>Series B</t>
        </is>
      </c>
      <c r="I542" s="38" t="n">
        <v>8.0</v>
      </c>
      <c r="J542" s="39" t="n">
        <v>42.22</v>
      </c>
      <c r="K542" s="40" t="inlineStr">
        <is>
          <t>Completed</t>
        </is>
      </c>
      <c r="L542" s="41" t="inlineStr">
        <is>
          <t>Privately Held (backing)</t>
        </is>
      </c>
      <c r="M542" s="42" t="inlineStr">
        <is>
          <t>Venture Capital-Backed</t>
        </is>
      </c>
      <c r="N542" s="43" t="inlineStr">
        <is>
          <t>The company raised $8 million of Series B venture funding from undisclosed investors on May 17, 2017, putting the pre-money valuation at $34.22 million.</t>
        </is>
      </c>
      <c r="O542" s="44" t="inlineStr">
        <is>
          <t>Canaan Partners, WuXi Healthcare Investment Consulting (Shanghai)</t>
        </is>
      </c>
      <c r="P542" s="45" t="inlineStr">
        <is>
          <t/>
        </is>
      </c>
      <c r="Q542" s="46" t="inlineStr">
        <is>
          <t>Biotechnology</t>
        </is>
      </c>
      <c r="R542" s="47" t="inlineStr">
        <is>
          <t>Provider of a novel targeted cancer therapy. The company is engaged in targeting novel pathway for the treatment of cancer.</t>
        </is>
      </c>
      <c r="S542" s="48" t="inlineStr">
        <is>
          <t>San Mateo, CA</t>
        </is>
      </c>
      <c r="T542" s="49" t="inlineStr">
        <is>
          <t>www.vivacetherapeutics.com</t>
        </is>
      </c>
      <c r="U542" s="132">
        <f>HYPERLINK("https://my.pitchbook.com?c=107318-89", "View company online")</f>
      </c>
    </row>
    <row r="543">
      <c r="A543" s="9" t="inlineStr">
        <is>
          <t>99396-19</t>
        </is>
      </c>
      <c r="B543" s="10" t="inlineStr">
        <is>
          <t>Vium</t>
        </is>
      </c>
      <c r="C543" s="11" t="inlineStr">
        <is>
          <t/>
        </is>
      </c>
      <c r="D543" s="12" t="n">
        <v>0.3776322884437363</v>
      </c>
      <c r="E543" s="13" t="n">
        <v>1.2590853565429838</v>
      </c>
      <c r="F543" s="14" t="inlineStr">
        <is>
          <t/>
        </is>
      </c>
      <c r="G543" s="15" t="inlineStr">
        <is>
          <t>Early Stage VC</t>
        </is>
      </c>
      <c r="H543" s="16" t="inlineStr">
        <is>
          <t/>
        </is>
      </c>
      <c r="I543" s="17" t="n">
        <v>3.06</v>
      </c>
      <c r="J543" s="18" t="inlineStr">
        <is>
          <t/>
        </is>
      </c>
      <c r="K543" s="19" t="inlineStr">
        <is>
          <t>Completed</t>
        </is>
      </c>
      <c r="L543" s="20" t="inlineStr">
        <is>
          <t>Privately Held (backing)</t>
        </is>
      </c>
      <c r="M543" s="21" t="inlineStr">
        <is>
          <t>Venture Capital-Backed</t>
        </is>
      </c>
      <c r="N543" s="22" t="inlineStr">
        <is>
          <t>The company raised $3.06 million of venture funding on an undisclosed date. Previously, it raised $20 million of venture funding in a deal led by Data Collective on June 9, 2015, putting the company's pre-money valuation at $119.8 million. Rostrum Capital, Founders Fund, Lux Capital, Dolby Family Ventures, Brad Murphy and AME Cloud Ventures also participated in this round. Prior to that, the company raised $8.8 million of Series A1 venture funding in a deal led by Lux Capital on October 28, 2014, putting the company's pre-money valuation at $22.23 million.Christine McCaull, Michael Weiksner, Jim Greer, Founders Fund and Data Collective also participated.</t>
        </is>
      </c>
      <c r="O543" s="23" t="inlineStr">
        <is>
          <t>AME Cloud Ventures, Brad Murphy, Christine McCaull, Data Collective, Dolby Family Ventures, Founders Fund, Jim Greer, Lux Capital, Michael Weiksner, Rostrum Capital</t>
        </is>
      </c>
      <c r="P543" s="24" t="inlineStr">
        <is>
          <t/>
        </is>
      </c>
      <c r="Q543" s="25" t="inlineStr">
        <is>
          <t>Other Healthcare Technology Systems</t>
        </is>
      </c>
      <c r="R543" s="26" t="inlineStr">
        <is>
          <t>Provider of a living informatics platform for pre-clinical drug research. The company offers technologies for biomedical investigators that helps in accelerating the pre-clinical drug discovery and development pipeline.</t>
        </is>
      </c>
      <c r="S543" s="27" t="inlineStr">
        <is>
          <t>San Mateo, CA</t>
        </is>
      </c>
      <c r="T543" s="28" t="inlineStr">
        <is>
          <t>www.vium.com</t>
        </is>
      </c>
      <c r="U543" s="131">
        <f>HYPERLINK("https://my.pitchbook.com?c=99396-19", "View company online")</f>
      </c>
    </row>
    <row r="544">
      <c r="A544" s="30" t="inlineStr">
        <is>
          <t>168352-84</t>
        </is>
      </c>
      <c r="B544" s="31" t="inlineStr">
        <is>
          <t>Vitruvian Networks</t>
        </is>
      </c>
      <c r="C544" s="32" t="inlineStr">
        <is>
          <t/>
        </is>
      </c>
      <c r="D544" s="33" t="n">
        <v>0.6505041753356171</v>
      </c>
      <c r="E544" s="34" t="n">
        <v>0.6407085051152848</v>
      </c>
      <c r="F544" s="35" t="n">
        <v>42774.0</v>
      </c>
      <c r="G544" s="36" t="inlineStr">
        <is>
          <t>Early Stage VC</t>
        </is>
      </c>
      <c r="H544" s="37" t="inlineStr">
        <is>
          <t>Series A</t>
        </is>
      </c>
      <c r="I544" s="38" t="n">
        <v>13.81</v>
      </c>
      <c r="J544" s="39" t="n">
        <v>27.61</v>
      </c>
      <c r="K544" s="40" t="inlineStr">
        <is>
          <t>Completed</t>
        </is>
      </c>
      <c r="L544" s="41" t="inlineStr">
        <is>
          <t>Privately Held (backing)</t>
        </is>
      </c>
      <c r="M544" s="42" t="inlineStr">
        <is>
          <t>Venture Capital-Backed</t>
        </is>
      </c>
      <c r="N544" s="43" t="inlineStr">
        <is>
          <t>The company raised $13.8 million of Series A venture funding from GE ventures, Draper Fisher Jurvetson, Mayo Clinic Ventures and other undisclosed investors on February 8, 2017, putting the pre-money valuation at $13.8 million.</t>
        </is>
      </c>
      <c r="O544" s="44" t="inlineStr">
        <is>
          <t>Draper Fisher Jurvetson, GE Ventures, Mayo Clinic Ventures</t>
        </is>
      </c>
      <c r="P544" s="45" t="inlineStr">
        <is>
          <t/>
        </is>
      </c>
      <c r="Q544" s="46" t="inlineStr">
        <is>
          <t>Other Healthcare Technology Systems</t>
        </is>
      </c>
      <c r="R544" s="47" t="inlineStr">
        <is>
          <t>Developer of software for scaling and digital services for cell and gene therapies. The company focuses on enabling life changing autologous therapies, supporting standards, and developing infrastructure that will expand patient access through expedited discovery, delivery and regulation in the field. It is a platform for bringing the Internet of Things to cancer research.</t>
        </is>
      </c>
      <c r="S544" s="48" t="inlineStr">
        <is>
          <t>Menlo Park, CA</t>
        </is>
      </c>
      <c r="T544" s="49" t="inlineStr">
        <is>
          <t>www.vineti.com</t>
        </is>
      </c>
      <c r="U544" s="132">
        <f>HYPERLINK("https://my.pitchbook.com?c=168352-84", "View company online")</f>
      </c>
    </row>
    <row r="545">
      <c r="A545" s="9" t="inlineStr">
        <is>
          <t>179322-22</t>
        </is>
      </c>
      <c r="B545" s="10" t="inlineStr">
        <is>
          <t>VitroLabs</t>
        </is>
      </c>
      <c r="C545" s="11" t="inlineStr">
        <is>
          <t/>
        </is>
      </c>
      <c r="D545" s="12" t="n">
        <v>0.0</v>
      </c>
      <c r="E545" s="13" t="n">
        <v>0.05405405405405406</v>
      </c>
      <c r="F545" s="14" t="inlineStr">
        <is>
          <t/>
        </is>
      </c>
      <c r="G545" s="15" t="inlineStr">
        <is>
          <t>Early Stage VC</t>
        </is>
      </c>
      <c r="H545" s="16" t="inlineStr">
        <is>
          <t/>
        </is>
      </c>
      <c r="I545" s="17" t="inlineStr">
        <is>
          <t/>
        </is>
      </c>
      <c r="J545" s="18" t="inlineStr">
        <is>
          <t/>
        </is>
      </c>
      <c r="K545" s="19" t="inlineStr">
        <is>
          <t>Completed</t>
        </is>
      </c>
      <c r="L545" s="20" t="inlineStr">
        <is>
          <t>Privately Held (backing)</t>
        </is>
      </c>
      <c r="M545" s="21" t="inlineStr">
        <is>
          <t>Venture Capital-Backed</t>
        </is>
      </c>
      <c r="N545" s="22" t="inlineStr">
        <is>
          <t>The company raised venture funding from Stray Dog Capital and Baleine &amp; Bjorn Capital on an undisclosed date.</t>
        </is>
      </c>
      <c r="O545" s="23" t="inlineStr">
        <is>
          <t>Baleine &amp; Bjorn Capital, California Life Sciences Association, Stray Dog Capital</t>
        </is>
      </c>
      <c r="P545" s="24" t="inlineStr">
        <is>
          <t/>
        </is>
      </c>
      <c r="Q545" s="25" t="inlineStr">
        <is>
          <t>Biotechnology</t>
        </is>
      </c>
      <c r="R545" s="26" t="inlineStr">
        <is>
          <t>Developer of an advanced 3D skin model. The company's 3D skin model uses cutting edge tissue engineering to create luxury quality lab-grown leather, enabling customers to use it to manufacture fashion and interior products.</t>
        </is>
      </c>
      <c r="S545" s="27" t="inlineStr">
        <is>
          <t>San Francisco, CA</t>
        </is>
      </c>
      <c r="T545" s="28" t="inlineStr">
        <is>
          <t>www.vitrolabsinc.com</t>
        </is>
      </c>
      <c r="U545" s="131">
        <f>HYPERLINK("https://my.pitchbook.com?c=179322-22", "View company online")</f>
      </c>
    </row>
    <row r="546">
      <c r="A546" s="30" t="inlineStr">
        <is>
          <t>55415-08</t>
        </is>
      </c>
      <c r="B546" s="31" t="inlineStr">
        <is>
          <t>Vitriflex</t>
        </is>
      </c>
      <c r="C546" s="32" t="inlineStr">
        <is>
          <t/>
        </is>
      </c>
      <c r="D546" s="33" t="n">
        <v>0.0</v>
      </c>
      <c r="E546" s="34" t="n">
        <v>0.5405405405405406</v>
      </c>
      <c r="F546" s="35" t="n">
        <v>42093.0</v>
      </c>
      <c r="G546" s="36" t="inlineStr">
        <is>
          <t>Later Stage VC</t>
        </is>
      </c>
      <c r="H546" s="37" t="inlineStr">
        <is>
          <t>Series C</t>
        </is>
      </c>
      <c r="I546" s="38" t="n">
        <v>8.1</v>
      </c>
      <c r="J546" s="39" t="n">
        <v>52.31</v>
      </c>
      <c r="K546" s="40" t="inlineStr">
        <is>
          <t>Completed</t>
        </is>
      </c>
      <c r="L546" s="41" t="inlineStr">
        <is>
          <t>Privately Held (backing)</t>
        </is>
      </c>
      <c r="M546" s="42" t="inlineStr">
        <is>
          <t>Venture Capital-Backed</t>
        </is>
      </c>
      <c r="N546" s="43" t="inlineStr">
        <is>
          <t>The company raised $8.1 million of Series C venture funding in a deal led by Henkel and other undisclosed investors on March 30, 2015, putting the pre-money valuation at $44.21 million.</t>
        </is>
      </c>
      <c r="O546" s="44" t="inlineStr">
        <is>
          <t>Draper Nexus, Henkel, Henkel Ventures, SABIC Ventures</t>
        </is>
      </c>
      <c r="P546" s="45" t="inlineStr">
        <is>
          <t/>
        </is>
      </c>
      <c r="Q546" s="46" t="inlineStr">
        <is>
          <t>Other Commercial Products</t>
        </is>
      </c>
      <c r="R546" s="47" t="inlineStr">
        <is>
          <t>Manufacturer of flexible barrier films technology. The company develops films for electronic applications including solar panels and flexible electronics.</t>
        </is>
      </c>
      <c r="S546" s="48" t="inlineStr">
        <is>
          <t>San Jose, CA</t>
        </is>
      </c>
      <c r="T546" s="49" t="inlineStr">
        <is>
          <t>www.vitriflex.com</t>
        </is>
      </c>
      <c r="U546" s="132">
        <f>HYPERLINK("https://my.pitchbook.com?c=55415-08", "View company online")</f>
      </c>
    </row>
    <row r="547">
      <c r="A547" s="9" t="inlineStr">
        <is>
          <t>150277-69</t>
        </is>
      </c>
      <c r="B547" s="10" t="inlineStr">
        <is>
          <t>Vitesse Biologics</t>
        </is>
      </c>
      <c r="C547" s="11" t="inlineStr">
        <is>
          <t/>
        </is>
      </c>
      <c r="D547" s="12" t="inlineStr">
        <is>
          <t/>
        </is>
      </c>
      <c r="E547" s="13" t="inlineStr">
        <is>
          <t/>
        </is>
      </c>
      <c r="F547" s="14" t="n">
        <v>42156.0</v>
      </c>
      <c r="G547" s="15" t="inlineStr">
        <is>
          <t>Joint Venture</t>
        </is>
      </c>
      <c r="H547" s="16" t="inlineStr">
        <is>
          <t/>
        </is>
      </c>
      <c r="I547" s="17" t="inlineStr">
        <is>
          <t/>
        </is>
      </c>
      <c r="J547" s="18" t="inlineStr">
        <is>
          <t/>
        </is>
      </c>
      <c r="K547" s="19" t="inlineStr">
        <is>
          <t>Completed</t>
        </is>
      </c>
      <c r="L547" s="20" t="inlineStr">
        <is>
          <t>Privately Held (backing)</t>
        </is>
      </c>
      <c r="M547" s="21" t="inlineStr">
        <is>
          <t>Venture Capital-Backed</t>
        </is>
      </c>
      <c r="N547" s="22" t="inlineStr">
        <is>
          <t>The company was formed as a joint venture between Velocity Pharmaceutical Development, Mayo Clinic Ventures and Shire Ventures on June 1, 2015. Baxalta Ventures initially participated in the deal, and was later acquired by Shire, who took over their full stake.</t>
        </is>
      </c>
      <c r="O547" s="23" t="inlineStr">
        <is>
          <t>Mayo Clinic Ventures, Shire, Velocity Pharmaceutical Development</t>
        </is>
      </c>
      <c r="P547" s="24" t="inlineStr">
        <is>
          <t/>
        </is>
      </c>
      <c r="Q547" s="25" t="inlineStr">
        <is>
          <t>Drug Discovery</t>
        </is>
      </c>
      <c r="R547" s="26" t="inlineStr">
        <is>
          <t>Developer of antibody and therapeutics. The company develops protein-based therapeutics and antibody in the fields of immunology, hematology and oncology.</t>
        </is>
      </c>
      <c r="S547" s="27" t="inlineStr">
        <is>
          <t>South San Francisco, CA</t>
        </is>
      </c>
      <c r="T547" s="28" t="inlineStr">
        <is>
          <t>www.vitessebiologics.com</t>
        </is>
      </c>
      <c r="U547" s="131">
        <f>HYPERLINK("https://my.pitchbook.com?c=150277-69", "View company online")</f>
      </c>
    </row>
    <row r="548">
      <c r="A548" s="30" t="inlineStr">
        <is>
          <t>161999-74</t>
        </is>
      </c>
      <c r="B548" s="31" t="inlineStr">
        <is>
          <t>Vitameter</t>
        </is>
      </c>
      <c r="C548" s="32" t="inlineStr">
        <is>
          <t/>
        </is>
      </c>
      <c r="D548" s="33" t="n">
        <v>0.1079833306050404</v>
      </c>
      <c r="E548" s="34" t="n">
        <v>1.263119541269873</v>
      </c>
      <c r="F548" s="35" t="inlineStr">
        <is>
          <t/>
        </is>
      </c>
      <c r="G548" s="36" t="inlineStr">
        <is>
          <t>Early Stage VC</t>
        </is>
      </c>
      <c r="H548" s="37" t="inlineStr">
        <is>
          <t/>
        </is>
      </c>
      <c r="I548" s="38" t="inlineStr">
        <is>
          <t/>
        </is>
      </c>
      <c r="J548" s="39" t="inlineStr">
        <is>
          <t/>
        </is>
      </c>
      <c r="K548" s="40" t="inlineStr">
        <is>
          <t>Completed</t>
        </is>
      </c>
      <c r="L548" s="41" t="inlineStr">
        <is>
          <t>Privately Held (backing)</t>
        </is>
      </c>
      <c r="M548" s="42" t="inlineStr">
        <is>
          <t>Venture Capital-Backed</t>
        </is>
      </c>
      <c r="N548" s="43" t="inlineStr">
        <is>
          <t>The company raised an undisclosed amount of venture funding from Bolt Innovation Group.</t>
        </is>
      </c>
      <c r="O548" s="44" t="inlineStr">
        <is>
          <t>Bolt Innovation Group, Grants4Apps, Plug and Play Tech Center</t>
        </is>
      </c>
      <c r="P548" s="45" t="inlineStr">
        <is>
          <t/>
        </is>
      </c>
      <c r="Q548" s="46" t="inlineStr">
        <is>
          <t>Monitoring Equipment</t>
        </is>
      </c>
      <c r="R548" s="47" t="inlineStr">
        <is>
          <t>Provider of a handheld device to measure vitamin levels of the individuals. The company allows users to track vitamin levels and other biomarkers from home and provides them the information needed to manage their diet and supplements.</t>
        </is>
      </c>
      <c r="S548" s="48" t="inlineStr">
        <is>
          <t>Kitchener, Canada</t>
        </is>
      </c>
      <c r="T548" s="49" t="inlineStr">
        <is>
          <t>www.vitameter.org</t>
        </is>
      </c>
      <c r="U548" s="132">
        <f>HYPERLINK("https://my.pitchbook.com?c=161999-74", "View company online")</f>
      </c>
    </row>
    <row r="549">
      <c r="A549" s="9" t="inlineStr">
        <is>
          <t>55240-57</t>
        </is>
      </c>
      <c r="B549" s="10" t="inlineStr">
        <is>
          <t>Vitalect</t>
        </is>
      </c>
      <c r="C549" s="11" t="inlineStr">
        <is>
          <t/>
        </is>
      </c>
      <c r="D549" s="12" t="n">
        <v>0.0</v>
      </c>
      <c r="E549" s="13" t="n">
        <v>1.2337761490303862</v>
      </c>
      <c r="F549" s="14" t="n">
        <v>39083.0</v>
      </c>
      <c r="G549" s="15" t="inlineStr">
        <is>
          <t>Early Stage VC</t>
        </is>
      </c>
      <c r="H549" s="16" t="inlineStr">
        <is>
          <t>Series A</t>
        </is>
      </c>
      <c r="I549" s="17" t="n">
        <v>2.99</v>
      </c>
      <c r="J549" s="18" t="n">
        <v>14.97</v>
      </c>
      <c r="K549" s="19" t="inlineStr">
        <is>
          <t>Completed</t>
        </is>
      </c>
      <c r="L549" s="20" t="inlineStr">
        <is>
          <t>Privately Held (backing)</t>
        </is>
      </c>
      <c r="M549" s="21" t="inlineStr">
        <is>
          <t>Venture Capital-Backed</t>
        </is>
      </c>
      <c r="N549" s="22" t="inlineStr">
        <is>
          <t>The company raised $3 million of Series A venture funding from SBV Venture Partners in 2007, putting the pre-money valuation at $12 million.</t>
        </is>
      </c>
      <c r="O549" s="23" t="inlineStr">
        <is>
          <t>SBV Venture Partners</t>
        </is>
      </c>
      <c r="P549" s="24" t="inlineStr">
        <is>
          <t/>
        </is>
      </c>
      <c r="Q549" s="25" t="inlineStr">
        <is>
          <t>Educational Software</t>
        </is>
      </c>
      <c r="R549" s="26" t="inlineStr">
        <is>
          <t>Provider of an e-learning software. The company provides an online training and learning platform to create and manage online content.</t>
        </is>
      </c>
      <c r="S549" s="27" t="inlineStr">
        <is>
          <t>Mountain View, CA</t>
        </is>
      </c>
      <c r="T549" s="28" t="inlineStr">
        <is>
          <t>www.vitalect.com</t>
        </is>
      </c>
      <c r="U549" s="131">
        <f>HYPERLINK("https://my.pitchbook.com?c=55240-57", "View company online")</f>
      </c>
    </row>
    <row r="550">
      <c r="A550" s="30" t="inlineStr">
        <is>
          <t>102884-50</t>
        </is>
      </c>
      <c r="B550" s="31" t="inlineStr">
        <is>
          <t>VitalConnect</t>
        </is>
      </c>
      <c r="C550" s="32" t="inlineStr">
        <is>
          <t/>
        </is>
      </c>
      <c r="D550" s="33" t="n">
        <v>0.0037477159051354653</v>
      </c>
      <c r="E550" s="34" t="n">
        <v>6.09196171906194</v>
      </c>
      <c r="F550" s="35" t="n">
        <v>42878.0</v>
      </c>
      <c r="G550" s="36" t="inlineStr">
        <is>
          <t>Later Stage VC</t>
        </is>
      </c>
      <c r="H550" s="37" t="inlineStr">
        <is>
          <t>Series C</t>
        </is>
      </c>
      <c r="I550" s="38" t="n">
        <v>33.0</v>
      </c>
      <c r="J550" s="39" t="n">
        <v>75.0</v>
      </c>
      <c r="K550" s="40" t="inlineStr">
        <is>
          <t>Completed</t>
        </is>
      </c>
      <c r="L550" s="41" t="inlineStr">
        <is>
          <t>Privately Held (backing)</t>
        </is>
      </c>
      <c r="M550" s="42" t="inlineStr">
        <is>
          <t>Venture Capital-Backed</t>
        </is>
      </c>
      <c r="N550" s="43" t="inlineStr">
        <is>
          <t>The company raised $33 million of Series C venture funding in a deal co-led by MVM Life Science Partners and Baxter Ventures on May 23, 2017, putting the pre-money valuation at $42 million. Other undisclosed investors also participated in the round.The company intends to use the funds to further commercialize their platform and make significant strides in changing the way patient monitoring is utilized in hospitals and at home.</t>
        </is>
      </c>
      <c r="O550" s="44" t="inlineStr">
        <is>
          <t>Baxter Ventures, Michael Kantor, MVM Life Science Partners</t>
        </is>
      </c>
      <c r="P550" s="45" t="inlineStr">
        <is>
          <t/>
        </is>
      </c>
      <c r="Q550" s="46" t="inlineStr">
        <is>
          <t>Monitoring Equipment</t>
        </is>
      </c>
      <c r="R550" s="47" t="inlineStr">
        <is>
          <t>Developer of wearable biosensor systems designed to continuously monitor and record eight patient vital signs. The company's VitalPatch wearable biosensor is a wireless, adhesive patch that continuously monitors and records eight patient vital signs through a platform to integrate the VitalPatch biosensor with mobile and cloud-based software and analytics, enabling healthcare providers and patients to respond immediately to urgent situations, sometimes days in advance and access to unprecedented insight into a patient's health, aiding in critical decisions.</t>
        </is>
      </c>
      <c r="S550" s="48" t="inlineStr">
        <is>
          <t>San Jose, CA</t>
        </is>
      </c>
      <c r="T550" s="49" t="inlineStr">
        <is>
          <t>www.vitalconnect.com</t>
        </is>
      </c>
      <c r="U550" s="132">
        <f>HYPERLINK("https://my.pitchbook.com?c=102884-50", "View company online")</f>
      </c>
    </row>
    <row r="551">
      <c r="A551" s="9" t="inlineStr">
        <is>
          <t>119019-97</t>
        </is>
      </c>
      <c r="B551" s="10" t="inlineStr">
        <is>
          <t>Vital Labs</t>
        </is>
      </c>
      <c r="C551" s="11" t="inlineStr">
        <is>
          <t/>
        </is>
      </c>
      <c r="D551" s="12" t="n">
        <v>0.0</v>
      </c>
      <c r="E551" s="13" t="n">
        <v>0.09783936478851733</v>
      </c>
      <c r="F551" s="14" t="n">
        <v>42692.0</v>
      </c>
      <c r="G551" s="15" t="inlineStr">
        <is>
          <t>Seed Round</t>
        </is>
      </c>
      <c r="H551" s="16" t="inlineStr">
        <is>
          <t>Seed</t>
        </is>
      </c>
      <c r="I551" s="17" t="n">
        <v>0.57</v>
      </c>
      <c r="J551" s="18" t="n">
        <v>4.75</v>
      </c>
      <c r="K551" s="19" t="inlineStr">
        <is>
          <t>Completed</t>
        </is>
      </c>
      <c r="L551" s="20" t="inlineStr">
        <is>
          <t>Privately Held (backing)</t>
        </is>
      </c>
      <c r="M551" s="21" t="inlineStr">
        <is>
          <t>Venture Capital-Backed</t>
        </is>
      </c>
      <c r="N551" s="22" t="inlineStr">
        <is>
          <t>The company raised $567,403 of seed 1 venture funding from undisclosed investors on November 18, 2016, putting the pre-money valuation at $4.18 million. As a part of this round, all previously authorized preferred shares subsequently converted into common shares.</t>
        </is>
      </c>
      <c r="O551" s="23" t="inlineStr">
        <is>
          <t>KCK Global, Lifeforce Ventures, True Ventures, Western Technology Investment</t>
        </is>
      </c>
      <c r="P551" s="24" t="inlineStr">
        <is>
          <t/>
        </is>
      </c>
      <c r="Q551" s="25" t="inlineStr">
        <is>
          <t>Social/Platform Software</t>
        </is>
      </c>
      <c r="R551" s="26" t="inlineStr">
        <is>
          <t>Developer of a healthcare technology platform. The company develops a healthcare analytics and delivery platform for improving human health, productivity and creativity.</t>
        </is>
      </c>
      <c r="S551" s="27" t="inlineStr">
        <is>
          <t>Burlingame, CA</t>
        </is>
      </c>
      <c r="T551" s="28" t="inlineStr">
        <is>
          <t>www.vitallabs.co</t>
        </is>
      </c>
      <c r="U551" s="131">
        <f>HYPERLINK("https://my.pitchbook.com?c=119019-97", "View company online")</f>
      </c>
    </row>
    <row r="552">
      <c r="A552" s="30" t="inlineStr">
        <is>
          <t>57085-66</t>
        </is>
      </c>
      <c r="B552" s="31" t="inlineStr">
        <is>
          <t>Visure</t>
        </is>
      </c>
      <c r="C552" s="32" t="inlineStr">
        <is>
          <t/>
        </is>
      </c>
      <c r="D552" s="33" t="n">
        <v>0.33616765400141235</v>
      </c>
      <c r="E552" s="34" t="n">
        <v>3.252880886466001</v>
      </c>
      <c r="F552" s="35" t="n">
        <v>42735.0</v>
      </c>
      <c r="G552" s="36" t="inlineStr">
        <is>
          <t>Secondary Transaction - Private</t>
        </is>
      </c>
      <c r="H552" s="37" t="inlineStr">
        <is>
          <t/>
        </is>
      </c>
      <c r="I552" s="38" t="inlineStr">
        <is>
          <t/>
        </is>
      </c>
      <c r="J552" s="39" t="inlineStr">
        <is>
          <t/>
        </is>
      </c>
      <c r="K552" s="40" t="inlineStr">
        <is>
          <t>Completed</t>
        </is>
      </c>
      <c r="L552" s="41" t="inlineStr">
        <is>
          <t>Privately Held (backing)</t>
        </is>
      </c>
      <c r="M552" s="42" t="inlineStr">
        <is>
          <t>Venture Capital-Backed</t>
        </is>
      </c>
      <c r="N552" s="43" t="inlineStr">
        <is>
          <t>Bullnet Gestión sold its stake in the company to undisclosed investors on December 31, 2016.</t>
        </is>
      </c>
      <c r="O552" s="44" t="inlineStr">
        <is>
          <t>Adara Ventures, Bullnet Gestión</t>
        </is>
      </c>
      <c r="P552" s="45" t="inlineStr">
        <is>
          <t/>
        </is>
      </c>
      <c r="Q552" s="46" t="inlineStr">
        <is>
          <t>Business/Productivity Software</t>
        </is>
      </c>
      <c r="R552" s="47" t="inlineStr">
        <is>
          <t>Provider of tools designed to manage requirements management life-cycle. The company's tool supports manual and automatic input of requirements and services enabling its clients to manage changes in different phases of life-cycle and trace of all the artifacts.</t>
        </is>
      </c>
      <c r="S552" s="48" t="inlineStr">
        <is>
          <t>San Francisco, CA</t>
        </is>
      </c>
      <c r="T552" s="49" t="inlineStr">
        <is>
          <t>www.visuresolutions.com</t>
        </is>
      </c>
      <c r="U552" s="132">
        <f>HYPERLINK("https://my.pitchbook.com?c=57085-66", "View company online")</f>
      </c>
    </row>
    <row r="553">
      <c r="A553" s="9" t="inlineStr">
        <is>
          <t>65304-28</t>
        </is>
      </c>
      <c r="B553" s="10" t="inlineStr">
        <is>
          <t>VisualThreat</t>
        </is>
      </c>
      <c r="C553" s="11" t="inlineStr">
        <is>
          <t/>
        </is>
      </c>
      <c r="D553" s="12" t="n">
        <v>0.0</v>
      </c>
      <c r="E553" s="13" t="n">
        <v>2.189189189189189</v>
      </c>
      <c r="F553" s="14" t="n">
        <v>41958.0</v>
      </c>
      <c r="G553" s="15" t="inlineStr">
        <is>
          <t>Seed Round</t>
        </is>
      </c>
      <c r="H553" s="16" t="inlineStr">
        <is>
          <t>Seed</t>
        </is>
      </c>
      <c r="I553" s="17" t="n">
        <v>0.2</v>
      </c>
      <c r="J553" s="18" t="inlineStr">
        <is>
          <t/>
        </is>
      </c>
      <c r="K553" s="19" t="inlineStr">
        <is>
          <t>Completed</t>
        </is>
      </c>
      <c r="L553" s="20" t="inlineStr">
        <is>
          <t>Privately Held (backing)</t>
        </is>
      </c>
      <c r="M553" s="21" t="inlineStr">
        <is>
          <t>Venture Capital-Backed</t>
        </is>
      </c>
      <c r="N553" s="22" t="inlineStr">
        <is>
          <t>The company raised $200,000 of seed funding from Westlake Ventures, InnoSpring and TEEC Angel Fund on November 15, 2014.</t>
        </is>
      </c>
      <c r="O553" s="23" t="inlineStr">
        <is>
          <t>InnoSpring (Shanghai) Company, Tsingyuan Ventures, Westlake Ventures</t>
        </is>
      </c>
      <c r="P553" s="24" t="inlineStr">
        <is>
          <t/>
        </is>
      </c>
      <c r="Q553" s="25" t="inlineStr">
        <is>
          <t>Application Software</t>
        </is>
      </c>
      <c r="R553" s="26" t="inlineStr">
        <is>
          <t>Provider of mobile security services. The company develops a mobile application software that provides risk reputation and auto security services which helps to discover mobile threats in a visual way and minimize penetration from cyber attacks.</t>
        </is>
      </c>
      <c r="S553" s="27" t="inlineStr">
        <is>
          <t>Santa Clara, CA</t>
        </is>
      </c>
      <c r="T553" s="28" t="inlineStr">
        <is>
          <t>www.visualthreat.com</t>
        </is>
      </c>
      <c r="U553" s="131">
        <f>HYPERLINK("https://my.pitchbook.com?c=65304-28", "View company online")</f>
      </c>
    </row>
    <row r="554">
      <c r="A554" s="30" t="inlineStr">
        <is>
          <t>56922-67</t>
        </is>
      </c>
      <c r="B554" s="31" t="inlineStr">
        <is>
          <t>VisualOn</t>
        </is>
      </c>
      <c r="C554" s="32" t="inlineStr">
        <is>
          <t/>
        </is>
      </c>
      <c r="D554" s="33" t="n">
        <v>0.2262808206124692</v>
      </c>
      <c r="E554" s="34" t="n">
        <v>2.5676820888685294</v>
      </c>
      <c r="F554" s="35" t="n">
        <v>39401.0</v>
      </c>
      <c r="G554" s="36" t="inlineStr">
        <is>
          <t>Early Stage VC</t>
        </is>
      </c>
      <c r="H554" s="37" t="inlineStr">
        <is>
          <t>Series B</t>
        </is>
      </c>
      <c r="I554" s="38" t="n">
        <v>1.04</v>
      </c>
      <c r="J554" s="39" t="n">
        <v>8.2</v>
      </c>
      <c r="K554" s="40" t="inlineStr">
        <is>
          <t>Completed</t>
        </is>
      </c>
      <c r="L554" s="41" t="inlineStr">
        <is>
          <t>Privately Held (backing)</t>
        </is>
      </c>
      <c r="M554" s="42" t="inlineStr">
        <is>
          <t>Venture Capital-Backed</t>
        </is>
      </c>
      <c r="N554" s="43" t="inlineStr">
        <is>
          <t>The company $1.04 million of additional Series B venture funding in a deal led by AsiaTech Management and EXA Ventures on November 15, 2007, putting the pre-money valuation at $7.16 million. Innobridge Capital Management also participated in this round.</t>
        </is>
      </c>
      <c r="O554" s="44" t="inlineStr">
        <is>
          <t>AsiaTech Management, EXA Ventures, Innobridge Capital Management, Medio Systems</t>
        </is>
      </c>
      <c r="P554" s="45" t="inlineStr">
        <is>
          <t/>
        </is>
      </c>
      <c r="Q554" s="46" t="inlineStr">
        <is>
          <t>Multimedia and Design Software</t>
        </is>
      </c>
      <c r="R554" s="47" t="inlineStr">
        <is>
          <t>Operator of a multimedia software company providing content delivery services. The company focuses on delivering multimedia playback experiences across a range of connected devices in a scalable manner.</t>
        </is>
      </c>
      <c r="S554" s="48" t="inlineStr">
        <is>
          <t>San Jose, CA</t>
        </is>
      </c>
      <c r="T554" s="49" t="inlineStr">
        <is>
          <t>www.visualon.com</t>
        </is>
      </c>
      <c r="U554" s="132">
        <f>HYPERLINK("https://my.pitchbook.com?c=56922-67", "View company online")</f>
      </c>
    </row>
    <row r="555">
      <c r="A555" s="9" t="inlineStr">
        <is>
          <t>56279-98</t>
        </is>
      </c>
      <c r="B555" s="10" t="inlineStr">
        <is>
          <t>Visualnet</t>
        </is>
      </c>
      <c r="C555" s="11" t="inlineStr">
        <is>
          <t/>
        </is>
      </c>
      <c r="D555" s="12" t="n">
        <v>0.2430407820854772</v>
      </c>
      <c r="E555" s="13" t="n">
        <v>2.8858399746203722</v>
      </c>
      <c r="F555" s="14" t="n">
        <v>41340.0</v>
      </c>
      <c r="G555" s="15" t="inlineStr">
        <is>
          <t>Later Stage VC</t>
        </is>
      </c>
      <c r="H555" s="16" t="inlineStr">
        <is>
          <t/>
        </is>
      </c>
      <c r="I555" s="17" t="n">
        <v>1.0</v>
      </c>
      <c r="J555" s="18" t="inlineStr">
        <is>
          <t/>
        </is>
      </c>
      <c r="K555" s="19" t="inlineStr">
        <is>
          <t>Completed</t>
        </is>
      </c>
      <c r="L555" s="20" t="inlineStr">
        <is>
          <t>Privately Held (backing)</t>
        </is>
      </c>
      <c r="M555" s="21" t="inlineStr">
        <is>
          <t>Venture Capital-Backed</t>
        </is>
      </c>
      <c r="N555" s="22" t="inlineStr">
        <is>
          <t>The company raised $1 million of venture funding from Kibo Ventures on March 7, 2013. The company intends to use the capital to expand its technology.</t>
        </is>
      </c>
      <c r="O555" s="23" t="inlineStr">
        <is>
          <t>ESADE BAN, Kibo Ventures Partners, Wayra</t>
        </is>
      </c>
      <c r="P555" s="24" t="inlineStr">
        <is>
          <t/>
        </is>
      </c>
      <c r="Q555" s="25" t="inlineStr">
        <is>
          <t>Media and Information Services (B2B)</t>
        </is>
      </c>
      <c r="R555" s="26" t="inlineStr">
        <is>
          <t>Provider of an online directory for the international film and broadcast production community. The company offers an online bidding tool for production services which is designed to streamline the production process.</t>
        </is>
      </c>
      <c r="S555" s="27" t="inlineStr">
        <is>
          <t>Beverly Hills, CA</t>
        </is>
      </c>
      <c r="T555" s="28" t="inlineStr">
        <is>
          <t>www.visualnet.com</t>
        </is>
      </c>
      <c r="U555" s="131">
        <f>HYPERLINK("https://my.pitchbook.com?c=56279-98", "View company online")</f>
      </c>
    </row>
    <row r="556">
      <c r="A556" s="30" t="inlineStr">
        <is>
          <t>168529-42</t>
        </is>
      </c>
      <c r="B556" s="31" t="inlineStr">
        <is>
          <t>Visual Labs</t>
        </is>
      </c>
      <c r="C556" s="32" t="inlineStr">
        <is>
          <t/>
        </is>
      </c>
      <c r="D556" s="33" t="n">
        <v>0.0</v>
      </c>
      <c r="E556" s="34" t="n">
        <v>0.5405405405405406</v>
      </c>
      <c r="F556" s="35" t="n">
        <v>42370.0</v>
      </c>
      <c r="G556" s="36" t="inlineStr">
        <is>
          <t>Early Stage VC</t>
        </is>
      </c>
      <c r="H556" s="37" t="inlineStr">
        <is>
          <t/>
        </is>
      </c>
      <c r="I556" s="38" t="inlineStr">
        <is>
          <t/>
        </is>
      </c>
      <c r="J556" s="39" t="inlineStr">
        <is>
          <t/>
        </is>
      </c>
      <c r="K556" s="40" t="inlineStr">
        <is>
          <t>Completed</t>
        </is>
      </c>
      <c r="L556" s="41" t="inlineStr">
        <is>
          <t>Privately Held (backing)</t>
        </is>
      </c>
      <c r="M556" s="42" t="inlineStr">
        <is>
          <t>Venture Capital-Backed</t>
        </is>
      </c>
      <c r="N556" s="43" t="inlineStr">
        <is>
          <t>The company raised an undisclosed amount of venture capital funding from Lightspeed Venture Partners in 2016.</t>
        </is>
      </c>
      <c r="O556" s="44" t="inlineStr">
        <is>
          <t>Lightspeed Venture Partners</t>
        </is>
      </c>
      <c r="P556" s="45" t="inlineStr">
        <is>
          <t/>
        </is>
      </c>
      <c r="Q556" s="46" t="inlineStr">
        <is>
          <t>Security Services (B2B)</t>
        </is>
      </c>
      <c r="R556" s="47" t="inlineStr">
        <is>
          <t>Developer of body camera software designed to turn smartphones into body cameras for use by public and private safety clients (e.g. police and private security forces) as well as commercial businesses. The company's software allows smartphones to be used as body cameras, and includes features such as real-time situational awareness via live stream video transmission, and real-time positional awareness via GPS. The software also enables distant command centers to remotely initiate live video streams to establish communication with an officer who otherwise cannot be reached.</t>
        </is>
      </c>
      <c r="S556" s="48" t="inlineStr">
        <is>
          <t>Menlo Park, CA</t>
        </is>
      </c>
      <c r="T556" s="49" t="inlineStr">
        <is>
          <t>www.visuallabsinc.com</t>
        </is>
      </c>
      <c r="U556" s="132">
        <f>HYPERLINK("https://my.pitchbook.com?c=168529-42", "View company online")</f>
      </c>
    </row>
    <row r="557">
      <c r="A557" s="9" t="inlineStr">
        <is>
          <t>50889-25</t>
        </is>
      </c>
      <c r="B557" s="10" t="inlineStr">
        <is>
          <t>Visual IQ</t>
        </is>
      </c>
      <c r="C557" s="11" t="inlineStr">
        <is>
          <t/>
        </is>
      </c>
      <c r="D557" s="12" t="n">
        <v>0.2512108763791907</v>
      </c>
      <c r="E557" s="13" t="n">
        <v>7.557085881017348</v>
      </c>
      <c r="F557" s="14" t="n">
        <v>41085.0</v>
      </c>
      <c r="G557" s="15" t="inlineStr">
        <is>
          <t>Early Stage VC</t>
        </is>
      </c>
      <c r="H557" s="16" t="inlineStr">
        <is>
          <t>Series B</t>
        </is>
      </c>
      <c r="I557" s="17" t="n">
        <v>12.0</v>
      </c>
      <c r="J557" s="18" t="n">
        <v>33.18</v>
      </c>
      <c r="K557" s="19" t="inlineStr">
        <is>
          <t>Completed</t>
        </is>
      </c>
      <c r="L557" s="20" t="inlineStr">
        <is>
          <t>Privately Held (backing)</t>
        </is>
      </c>
      <c r="M557" s="21" t="inlineStr">
        <is>
          <t>Venture Capital-Backed</t>
        </is>
      </c>
      <c r="N557" s="22" t="inlineStr">
        <is>
          <t>The company raised $12 million of Series A2 and Series B venture funding from Volition Capital and Fog City Capital on June 25, 2012, putting the pre-money valuation at $21.2 million. The funding consisted of 3,170,778 shares of Series A2 stock at $0.63076 per share and 10,992,234 shares of Series B stock at $0.909733 per share.</t>
        </is>
      </c>
      <c r="O557" s="23" t="inlineStr">
        <is>
          <t>Fog City Capital, Volition Capital</t>
        </is>
      </c>
      <c r="P557" s="24" t="inlineStr">
        <is>
          <t/>
        </is>
      </c>
      <c r="Q557" s="25" t="inlineStr">
        <is>
          <t>Vertical Market Software</t>
        </is>
      </c>
      <c r="R557" s="26" t="inlineStr">
        <is>
          <t>Provider of a for marketing and investment decision. The company offers software products which specializes in serving media agencies and forward-thinking marketers. It also provides both executive-level and practitioner-level recommendations to improve your marketing performance.</t>
        </is>
      </c>
      <c r="S557" s="27" t="inlineStr">
        <is>
          <t>Needham, MA</t>
        </is>
      </c>
      <c r="T557" s="28" t="inlineStr">
        <is>
          <t>www.visualiq.com</t>
        </is>
      </c>
      <c r="U557" s="131">
        <f>HYPERLINK("https://my.pitchbook.com?c=50889-25", "View company online")</f>
      </c>
    </row>
    <row r="558">
      <c r="A558" s="30" t="inlineStr">
        <is>
          <t>148677-67</t>
        </is>
      </c>
      <c r="B558" s="31" t="inlineStr">
        <is>
          <t>Visiting Nurse Association of the Inland Counties</t>
        </is>
      </c>
      <c r="C558" s="32" t="inlineStr">
        <is>
          <t/>
        </is>
      </c>
      <c r="D558" s="33" t="n">
        <v>-0.018198855420560402</v>
      </c>
      <c r="E558" s="34" t="n">
        <v>0.9288367718176119</v>
      </c>
      <c r="F558" s="35" t="n">
        <v>41950.0</v>
      </c>
      <c r="G558" s="36" t="inlineStr">
        <is>
          <t>Secured Debt</t>
        </is>
      </c>
      <c r="H558" s="37" t="inlineStr">
        <is>
          <t>Revolving Credit Line</t>
        </is>
      </c>
      <c r="I558" s="38" t="n">
        <v>5.0</v>
      </c>
      <c r="J558" s="39" t="inlineStr">
        <is>
          <t/>
        </is>
      </c>
      <c r="K558" s="40" t="inlineStr">
        <is>
          <t>Completed</t>
        </is>
      </c>
      <c r="L558" s="41" t="inlineStr">
        <is>
          <t>Privately Held (backing)</t>
        </is>
      </c>
      <c r="M558" s="42" t="inlineStr">
        <is>
          <t>Venture Capital-Backed</t>
        </is>
      </c>
      <c r="N558" s="43" t="inlineStr">
        <is>
          <t>The company received $5 million of secured debt in the form of revolving credit line from Gemino Healthcare Finance on November 7, 2014. The proceeds were to be used for working capital purposes.</t>
        </is>
      </c>
      <c r="O558" s="44" t="inlineStr">
        <is>
          <t/>
        </is>
      </c>
      <c r="P558" s="45" t="inlineStr">
        <is>
          <t/>
        </is>
      </c>
      <c r="Q558" s="46" t="inlineStr">
        <is>
          <t>Other Healthcare Services</t>
        </is>
      </c>
      <c r="R558" s="47" t="inlineStr">
        <is>
          <t>Provider of home health services intended to offer in-home nursing and medical services. The company's home health services include skilled nursing, physical and occupational therapy, medical social services, education, grief and bereavement services, providing education, grief and bereavement services for all ages and charitable support.</t>
        </is>
      </c>
      <c r="S558" s="48" t="inlineStr">
        <is>
          <t>Riverside, CA</t>
        </is>
      </c>
      <c r="T558" s="49" t="inlineStr">
        <is>
          <t>vnacalifornia.org</t>
        </is>
      </c>
      <c r="U558" s="132">
        <f>HYPERLINK("https://my.pitchbook.com?c=148677-67", "View company online")</f>
      </c>
    </row>
    <row r="559">
      <c r="A559" s="9" t="inlineStr">
        <is>
          <t>65094-22</t>
        </is>
      </c>
      <c r="B559" s="10" t="inlineStr">
        <is>
          <t>VisiQuate</t>
        </is>
      </c>
      <c r="C559" s="11" t="inlineStr">
        <is>
          <t/>
        </is>
      </c>
      <c r="D559" s="12" t="n">
        <v>0.03777769365661068</v>
      </c>
      <c r="E559" s="13" t="n">
        <v>1.076497241530403</v>
      </c>
      <c r="F559" s="14" t="n">
        <v>42824.0</v>
      </c>
      <c r="G559" s="15" t="inlineStr">
        <is>
          <t>Later Stage VC</t>
        </is>
      </c>
      <c r="H559" s="16" t="inlineStr">
        <is>
          <t>Series C3</t>
        </is>
      </c>
      <c r="I559" s="17" t="n">
        <v>1.33</v>
      </c>
      <c r="J559" s="18" t="n">
        <v>55.33</v>
      </c>
      <c r="K559" s="19" t="inlineStr">
        <is>
          <t>Completed</t>
        </is>
      </c>
      <c r="L559" s="20" t="inlineStr">
        <is>
          <t>Privately Held (backing)</t>
        </is>
      </c>
      <c r="M559" s="21" t="inlineStr">
        <is>
          <t>Venture Capital-Backed</t>
        </is>
      </c>
      <c r="N559" s="22" t="inlineStr">
        <is>
          <t>The company raised $1.32 million of Series C3 venture funding from undisclosed investors on March 30, 2017, putting the pre-money valuation at $54 million. The company is being actively tracked by PitchBook.</t>
        </is>
      </c>
      <c r="O559" s="23" t="inlineStr">
        <is>
          <t>First Analysis Group</t>
        </is>
      </c>
      <c r="P559" s="24" t="inlineStr">
        <is>
          <t/>
        </is>
      </c>
      <c r="Q559" s="25" t="inlineStr">
        <is>
          <t>Business/Productivity Software</t>
        </is>
      </c>
      <c r="R559" s="26" t="inlineStr">
        <is>
          <t>Provider of workforce performance analytics software designed to offer better financial, operational and clinical outcomes. The company's workforce performance analytics software tracks time and attendance, quality of work and productivity of employees enabling managers to evaluate the total performance of each employee and set different criteria for each team member.</t>
        </is>
      </c>
      <c r="S559" s="27" t="inlineStr">
        <is>
          <t>Santa Rosa, CA</t>
        </is>
      </c>
      <c r="T559" s="28" t="inlineStr">
        <is>
          <t>www.visiquate.com</t>
        </is>
      </c>
      <c r="U559" s="131">
        <f>HYPERLINK("https://my.pitchbook.com?c=65094-22", "View company online")</f>
      </c>
    </row>
    <row r="560">
      <c r="A560" s="30" t="inlineStr">
        <is>
          <t>55609-30</t>
        </is>
      </c>
      <c r="B560" s="31" t="inlineStr">
        <is>
          <t>Visionscape</t>
        </is>
      </c>
      <c r="C560" s="32" t="inlineStr">
        <is>
          <t/>
        </is>
      </c>
      <c r="D560" s="33" t="n">
        <v>0.0</v>
      </c>
      <c r="E560" s="34" t="n">
        <v>0.1891891891891892</v>
      </c>
      <c r="F560" s="35" t="n">
        <v>42080.0</v>
      </c>
      <c r="G560" s="36" t="inlineStr">
        <is>
          <t>Later Stage VC</t>
        </is>
      </c>
      <c r="H560" s="37" t="inlineStr">
        <is>
          <t/>
        </is>
      </c>
      <c r="I560" s="38" t="inlineStr">
        <is>
          <t/>
        </is>
      </c>
      <c r="J560" s="39" t="inlineStr">
        <is>
          <t/>
        </is>
      </c>
      <c r="K560" s="40" t="inlineStr">
        <is>
          <t>Completed</t>
        </is>
      </c>
      <c r="L560" s="41" t="inlineStr">
        <is>
          <t>Privately Held (backing)</t>
        </is>
      </c>
      <c r="M560" s="42" t="inlineStr">
        <is>
          <t>Venture Capital-Backed</t>
        </is>
      </c>
      <c r="N560" s="43" t="inlineStr">
        <is>
          <t>The company raised an undisclosed amount of venture funding from BlueRun Ventures on March 17, 2015.</t>
        </is>
      </c>
      <c r="O560" s="44" t="inlineStr">
        <is>
          <t>BlueRun Ventures</t>
        </is>
      </c>
      <c r="P560" s="45" t="inlineStr">
        <is>
          <t/>
        </is>
      </c>
      <c r="Q560" s="46" t="inlineStr">
        <is>
          <t>Other Commercial Services</t>
        </is>
      </c>
      <c r="R560" s="47" t="inlineStr">
        <is>
          <t>Operator of a hardware project management company. The company provides product development service and marketing service for hardware start-ups.</t>
        </is>
      </c>
      <c r="S560" s="48" t="inlineStr">
        <is>
          <t>Seoul, South Korea</t>
        </is>
      </c>
      <c r="T560" s="49" t="inlineStr">
        <is>
          <t>www.vsscp.com</t>
        </is>
      </c>
      <c r="U560" s="132">
        <f>HYPERLINK("https://my.pitchbook.com?c=55609-30", "View company online")</f>
      </c>
    </row>
    <row r="561">
      <c r="A561" s="9" t="inlineStr">
        <is>
          <t>51465-97</t>
        </is>
      </c>
      <c r="B561" s="10" t="inlineStr">
        <is>
          <t>VisionCare</t>
        </is>
      </c>
      <c r="C561" s="11" t="inlineStr">
        <is>
          <t/>
        </is>
      </c>
      <c r="D561" s="12" t="n">
        <v>-0.025539864465345778</v>
      </c>
      <c r="E561" s="13" t="n">
        <v>4.96192714453584</v>
      </c>
      <c r="F561" s="14" t="n">
        <v>41989.0</v>
      </c>
      <c r="G561" s="15" t="inlineStr">
        <is>
          <t>Later Stage VC</t>
        </is>
      </c>
      <c r="H561" s="16" t="inlineStr">
        <is>
          <t/>
        </is>
      </c>
      <c r="I561" s="17" t="n">
        <v>7.3</v>
      </c>
      <c r="J561" s="18" t="inlineStr">
        <is>
          <t/>
        </is>
      </c>
      <c r="K561" s="19" t="inlineStr">
        <is>
          <t>Completed</t>
        </is>
      </c>
      <c r="L561" s="20" t="inlineStr">
        <is>
          <t>Privately Held (backing)</t>
        </is>
      </c>
      <c r="M561" s="21" t="inlineStr">
        <is>
          <t>Venture Capital-Backed</t>
        </is>
      </c>
      <c r="N561" s="22" t="inlineStr">
        <is>
          <t>The company raised $7.3 million of venture funding from ONSET Ventures and other undisclosed investors on December 16, 2014. The funds will be utilized to double its sales team, expand marketing activities and accelerate market uptake of commercialization of the telescope implant and its unique treatment program for end-stage AMD, CentraSight.</t>
        </is>
      </c>
      <c r="O561" s="23" t="inlineStr">
        <is>
          <t>Agate Medical Investments, Altos Health Management, Ampal, Boston Scientific, BSI, Giza Venture Capital, Infinity Group, ONSET Ventures, Ping An Innovation Capital Investment, Pitango Venture Capital, Saints Capital, Three Arch Partners</t>
        </is>
      </c>
      <c r="P561" s="24" t="inlineStr">
        <is>
          <t/>
        </is>
      </c>
      <c r="Q561" s="25" t="inlineStr">
        <is>
          <t>Surgical Devices</t>
        </is>
      </c>
      <c r="R561" s="26" t="inlineStr">
        <is>
          <t>Developer of visual prosthetic ophthalmic devices designed to improve sight and everyday life for people with severe vision disorders. The company's visual prosthetic ophthalmic devices are implantable miniature telescope that improves the vision with bilateral moderate to severe central vision loss due to age-related macular degeneration and other macular disorders, enabling patients to have enhanced eyesight.</t>
        </is>
      </c>
      <c r="S561" s="27" t="inlineStr">
        <is>
          <t>Saratoga, CA</t>
        </is>
      </c>
      <c r="T561" s="28" t="inlineStr">
        <is>
          <t>www.visioncareinc.net</t>
        </is>
      </c>
      <c r="U561" s="131">
        <f>HYPERLINK("https://my.pitchbook.com?c=51465-97", "View company online")</f>
      </c>
    </row>
    <row r="562">
      <c r="A562" s="30" t="inlineStr">
        <is>
          <t>52723-27</t>
        </is>
      </c>
      <c r="B562" s="31" t="inlineStr">
        <is>
          <t>Visier</t>
        </is>
      </c>
      <c r="C562" s="32" t="inlineStr">
        <is>
          <t/>
        </is>
      </c>
      <c r="D562" s="33" t="n">
        <v>0.44135011650489736</v>
      </c>
      <c r="E562" s="34" t="n">
        <v>16.4848482865432</v>
      </c>
      <c r="F562" s="35" t="n">
        <v>42809.0</v>
      </c>
      <c r="G562" s="36" t="inlineStr">
        <is>
          <t>Later Stage VC</t>
        </is>
      </c>
      <c r="H562" s="37" t="inlineStr">
        <is>
          <t>Series D</t>
        </is>
      </c>
      <c r="I562" s="38" t="n">
        <v>45.0</v>
      </c>
      <c r="J562" s="39" t="inlineStr">
        <is>
          <t/>
        </is>
      </c>
      <c r="K562" s="40" t="inlineStr">
        <is>
          <t>Completed</t>
        </is>
      </c>
      <c r="L562" s="41" t="inlineStr">
        <is>
          <t>Privately Held (backing)</t>
        </is>
      </c>
      <c r="M562" s="42" t="inlineStr">
        <is>
          <t>Venture Capital-Backed</t>
        </is>
      </c>
      <c r="N562" s="43" t="inlineStr">
        <is>
          <t>The company raised $45 million of Series D venture funding in a deal led by Sorenson Capital on March 15, 2017. Adams Street Partners, Summit Partners and Foundation Capital also participated in this round. The company intends to use the new capital to expand its customer base, which includes more than 100 blue chip enterprises.</t>
        </is>
      </c>
      <c r="O562" s="44" t="inlineStr">
        <is>
          <t>Adams Street Partners, Foundation Capital, Individual Investor, Sorenson Capital, Summit Partners</t>
        </is>
      </c>
      <c r="P562" s="45" t="inlineStr">
        <is>
          <t/>
        </is>
      </c>
      <c r="Q562" s="46" t="inlineStr">
        <is>
          <t>Media and Information Services (B2B)</t>
        </is>
      </c>
      <c r="R562" s="47" t="inlineStr">
        <is>
          <t>Developer of a people strategy platform designed to transform business analytics. The company's people strategy platform lets leaders to get access to meaningful answers to business questions in real time, from the cloud, with no dependency on technical resources, enabling businesses to shape business strategy and take better action.</t>
        </is>
      </c>
      <c r="S562" s="48" t="inlineStr">
        <is>
          <t>Vancouver, Canada</t>
        </is>
      </c>
      <c r="T562" s="49" t="inlineStr">
        <is>
          <t>www.visier.com</t>
        </is>
      </c>
      <c r="U562" s="132">
        <f>HYPERLINK("https://my.pitchbook.com?c=52723-27", "View company online")</f>
      </c>
    </row>
    <row r="563">
      <c r="A563" s="9" t="inlineStr">
        <is>
          <t>61544-44</t>
        </is>
      </c>
      <c r="B563" s="10" t="inlineStr">
        <is>
          <t>ViSenze</t>
        </is>
      </c>
      <c r="C563" s="11" t="inlineStr">
        <is>
          <t/>
        </is>
      </c>
      <c r="D563" s="12" t="n">
        <v>0.6451474008306647</v>
      </c>
      <c r="E563" s="13" t="n">
        <v>4.070345290021046</v>
      </c>
      <c r="F563" s="14" t="n">
        <v>42628.0</v>
      </c>
      <c r="G563" s="15" t="inlineStr">
        <is>
          <t>Early Stage VC</t>
        </is>
      </c>
      <c r="H563" s="16" t="inlineStr">
        <is>
          <t>Series B</t>
        </is>
      </c>
      <c r="I563" s="17" t="n">
        <v>10.5</v>
      </c>
      <c r="J563" s="18" t="inlineStr">
        <is>
          <t/>
        </is>
      </c>
      <c r="K563" s="19" t="inlineStr">
        <is>
          <t>Completed</t>
        </is>
      </c>
      <c r="L563" s="20" t="inlineStr">
        <is>
          <t>Privately Held (backing)</t>
        </is>
      </c>
      <c r="M563" s="21" t="inlineStr">
        <is>
          <t>Venture Capital-Backed</t>
        </is>
      </c>
      <c r="N563" s="22" t="inlineStr">
        <is>
          <t>The company raised $10.5 million of Series B venture funding in a deal led by Rakuten Ventures, WI Harper Group and Enspire Capital on September 15, 2016. Singapore Press Holdings, UOB Venture Management, FengHe Fund Management, Raffles Venture Partners and Phillip Private Equity also participate in the round. The company intends to use the funds to further invest in proprietary image recognition technology, expand headcount, launch new facilities and grow its international offices.</t>
        </is>
      </c>
      <c r="O563" s="23" t="inlineStr">
        <is>
          <t>Enspire Capital, FengHe Fund Management, Phillip Private Equity, Raffles Venture Partners, Rakuten Ventures, Singapore Press Holdings, UOB Venture Management, Walden International, WI Harper Group</t>
        </is>
      </c>
      <c r="P563" s="24" t="inlineStr">
        <is>
          <t/>
        </is>
      </c>
      <c r="Q563" s="25" t="inlineStr">
        <is>
          <t>Application Software</t>
        </is>
      </c>
      <c r="R563" s="26" t="inlineStr">
        <is>
          <t>Developer of AI-based visual technology for e-commerce and other digital businesses. The company provides visual search and image recognition solutions for businesses in e-commerce, retail and content publishing.</t>
        </is>
      </c>
      <c r="S563" s="27" t="inlineStr">
        <is>
          <t>Singapore, Singapore</t>
        </is>
      </c>
      <c r="T563" s="28" t="inlineStr">
        <is>
          <t>www.visenze.com</t>
        </is>
      </c>
      <c r="U563" s="131">
        <f>HYPERLINK("https://my.pitchbook.com?c=61544-44", "View company online")</f>
      </c>
    </row>
    <row r="564">
      <c r="A564" s="30" t="inlineStr">
        <is>
          <t>163530-73</t>
        </is>
      </c>
      <c r="B564" s="31" t="inlineStr">
        <is>
          <t>Visby</t>
        </is>
      </c>
      <c r="C564" s="32" t="inlineStr">
        <is>
          <t/>
        </is>
      </c>
      <c r="D564" s="33" t="n">
        <v>0.0</v>
      </c>
      <c r="E564" s="34" t="n">
        <v>0.05405405405405406</v>
      </c>
      <c r="F564" s="35" t="n">
        <v>42536.0</v>
      </c>
      <c r="G564" s="36" t="inlineStr">
        <is>
          <t>Early Stage VC</t>
        </is>
      </c>
      <c r="H564" s="37" t="inlineStr">
        <is>
          <t/>
        </is>
      </c>
      <c r="I564" s="38" t="inlineStr">
        <is>
          <t/>
        </is>
      </c>
      <c r="J564" s="39" t="inlineStr">
        <is>
          <t/>
        </is>
      </c>
      <c r="K564" s="40" t="inlineStr">
        <is>
          <t>Completed</t>
        </is>
      </c>
      <c r="L564" s="41" t="inlineStr">
        <is>
          <t>Privately Held (backing)</t>
        </is>
      </c>
      <c r="M564" s="42" t="inlineStr">
        <is>
          <t>Venture Capital-Backed</t>
        </is>
      </c>
      <c r="N564" s="43" t="inlineStr">
        <is>
          <t>The company raised an undisclosed amount of venture funding from 7percent Ventures, Pathbreaker Ventures and Anorak Venture on June 15, 2016. Virtual Reality Investments also participated in the round.</t>
        </is>
      </c>
      <c r="O564" s="44" t="inlineStr">
        <is>
          <t>7percent Ventures, Anorak Ventures, Pathbreaker Ventures, Virtual Reality Investments</t>
        </is>
      </c>
      <c r="P564" s="45" t="inlineStr">
        <is>
          <t/>
        </is>
      </c>
      <c r="Q564" s="46" t="inlineStr">
        <is>
          <t>Other IT Services</t>
        </is>
      </c>
      <c r="R564" s="47" t="inlineStr">
        <is>
          <t>Developer of a light-field technology for virtual reality content. The company is focused on developing holographic light field technology codecs, as well as capture technology for virtual and augmented reality.</t>
        </is>
      </c>
      <c r="S564" s="48" t="inlineStr">
        <is>
          <t>San Francisco, CA</t>
        </is>
      </c>
      <c r="T564" s="49" t="inlineStr">
        <is>
          <t>www.visby.io</t>
        </is>
      </c>
      <c r="U564" s="132">
        <f>HYPERLINK("https://my.pitchbook.com?c=163530-73", "View company online")</f>
      </c>
    </row>
    <row r="565">
      <c r="A565" s="9" t="inlineStr">
        <is>
          <t>157907-89</t>
        </is>
      </c>
      <c r="B565" s="10" t="inlineStr">
        <is>
          <t>Visbit</t>
        </is>
      </c>
      <c r="C565" s="11" t="inlineStr">
        <is>
          <t/>
        </is>
      </c>
      <c r="D565" s="12" t="n">
        <v>4.457156250821628</v>
      </c>
      <c r="E565" s="13" t="n">
        <v>2.401201311849801</v>
      </c>
      <c r="F565" s="14" t="n">
        <v>42710.0</v>
      </c>
      <c r="G565" s="15" t="inlineStr">
        <is>
          <t>Seed Round</t>
        </is>
      </c>
      <c r="H565" s="16" t="inlineStr">
        <is>
          <t>Seed</t>
        </is>
      </c>
      <c r="I565" s="17" t="n">
        <v>3.2</v>
      </c>
      <c r="J565" s="18" t="inlineStr">
        <is>
          <t/>
        </is>
      </c>
      <c r="K565" s="19" t="inlineStr">
        <is>
          <t>Completed</t>
        </is>
      </c>
      <c r="L565" s="20" t="inlineStr">
        <is>
          <t>Privately Held (backing)</t>
        </is>
      </c>
      <c r="M565" s="21" t="inlineStr">
        <is>
          <t>Venture Capital-Backed</t>
        </is>
      </c>
      <c r="N565" s="22" t="inlineStr">
        <is>
          <t>The company raised $3.2 million of seed funding from Presence Capital, ZhenFund and Colopl on December 6, 2016. Sparkland Capital, Amino Capital and Eversunny also participated. The company will use the funding to further accelerate the development of its patented Visbit View-Optimized Streaming (VVOS) technology.</t>
        </is>
      </c>
      <c r="O565" s="23" t="inlineStr">
        <is>
          <t>Amino Capital, COLOPL, Eversunny, Presence Capital, Sparkland Capital, ZhenFund</t>
        </is>
      </c>
      <c r="P565" s="24" t="inlineStr">
        <is>
          <t/>
        </is>
      </c>
      <c r="Q565" s="25" t="inlineStr">
        <is>
          <t>Multimedia and Design Software</t>
        </is>
      </c>
      <c r="R565" s="26" t="inlineStr">
        <is>
          <t>Developer of a virtual reality and 360-degree video streaming platform. The company provides a virtual reality (VR) and 360-degree video streaming platform which enables 360-degree video and VR content creators and publishers to deliver Ultra High Definition (UHD) quality streaming and viewing experiences to consumers across multiple VR platforms.</t>
        </is>
      </c>
      <c r="S565" s="27" t="inlineStr">
        <is>
          <t>Sunnyvale, CA</t>
        </is>
      </c>
      <c r="T565" s="28" t="inlineStr">
        <is>
          <t>www.visbit.co</t>
        </is>
      </c>
      <c r="U565" s="131">
        <f>HYPERLINK("https://my.pitchbook.com?c=157907-89", "View company online")</f>
      </c>
    </row>
    <row r="566">
      <c r="A566" s="30" t="inlineStr">
        <is>
          <t>103575-43</t>
        </is>
      </c>
      <c r="B566" s="31" t="inlineStr">
        <is>
          <t>Visage Software</t>
        </is>
      </c>
      <c r="C566" s="32" t="inlineStr">
        <is>
          <t/>
        </is>
      </c>
      <c r="D566" s="33" t="n">
        <v>-0.05376619455294668</v>
      </c>
      <c r="E566" s="34" t="n">
        <v>7.215792487402657</v>
      </c>
      <c r="F566" s="35" t="n">
        <v>41969.0</v>
      </c>
      <c r="G566" s="36" t="inlineStr">
        <is>
          <t>Seed Round</t>
        </is>
      </c>
      <c r="H566" s="37" t="inlineStr">
        <is>
          <t>Seed</t>
        </is>
      </c>
      <c r="I566" s="38" t="n">
        <v>2.15</v>
      </c>
      <c r="J566" s="39" t="n">
        <v>9.54</v>
      </c>
      <c r="K566" s="40" t="inlineStr">
        <is>
          <t>Completed</t>
        </is>
      </c>
      <c r="L566" s="41" t="inlineStr">
        <is>
          <t>Privately Held (backing)</t>
        </is>
      </c>
      <c r="M566" s="42" t="inlineStr">
        <is>
          <t>Venture Capital-Backed</t>
        </is>
      </c>
      <c r="N566" s="43" t="inlineStr">
        <is>
          <t>The company raised $2.15 million of seed funding in a deal led by Venture51 on November 26, 2014, putting the company's pre-money valuation at $7.39 million. K5 Ventures, Kima Ventures, Robin Pimentel, Dan Martell and Amir Banifatemi also participated in this round.</t>
        </is>
      </c>
      <c r="O566" s="44" t="inlineStr">
        <is>
          <t>Amir Banifatemi, Dan Martell, K5 Ventures, Kima Ventures, Robin Pimentel, Venture51</t>
        </is>
      </c>
      <c r="P566" s="45" t="inlineStr">
        <is>
          <t/>
        </is>
      </c>
      <c r="Q566" s="46" t="inlineStr">
        <is>
          <t>Automation/Workflow Software</t>
        </is>
      </c>
      <c r="R566" s="47" t="inlineStr">
        <is>
          <t>Developer of a content creation platform for marketing. The company provides a content creation platform that allows marketers to create branded visual content optimized for the distribution of channels that are most important to their business.</t>
        </is>
      </c>
      <c r="S566" s="48" t="inlineStr">
        <is>
          <t>Newport Beach, CA</t>
        </is>
      </c>
      <c r="T566" s="49" t="inlineStr">
        <is>
          <t>www.visage.co</t>
        </is>
      </c>
      <c r="U566" s="132">
        <f>HYPERLINK("https://my.pitchbook.com?c=103575-43", "View company online")</f>
      </c>
    </row>
    <row r="567">
      <c r="A567" s="9" t="inlineStr">
        <is>
          <t>50996-26</t>
        </is>
      </c>
      <c r="B567" s="10" t="inlineStr">
        <is>
          <t>Visage Mobile</t>
        </is>
      </c>
      <c r="C567" s="11" t="inlineStr">
        <is>
          <t/>
        </is>
      </c>
      <c r="D567" s="12" t="n">
        <v>-0.032928432228626986</v>
      </c>
      <c r="E567" s="13" t="n">
        <v>6.618546831387657</v>
      </c>
      <c r="F567" s="14" t="n">
        <v>42309.0</v>
      </c>
      <c r="G567" s="15" t="inlineStr">
        <is>
          <t>Convertible Debt</t>
        </is>
      </c>
      <c r="H567" s="16" t="inlineStr">
        <is>
          <t/>
        </is>
      </c>
      <c r="I567" s="17" t="n">
        <v>0.46</v>
      </c>
      <c r="J567" s="18" t="inlineStr">
        <is>
          <t/>
        </is>
      </c>
      <c r="K567" s="19" t="inlineStr">
        <is>
          <t>Completed</t>
        </is>
      </c>
      <c r="L567" s="20" t="inlineStr">
        <is>
          <t>Privately Held (backing)</t>
        </is>
      </c>
      <c r="M567" s="21" t="inlineStr">
        <is>
          <t>Venture Capital-Backed</t>
        </is>
      </c>
      <c r="N567" s="22" t="inlineStr">
        <is>
          <t>The company raised $460,000 of convertible debt financing from Qualcomm Ventures in November 2015. Previously, the company raised an undisclosed amount of venture funding from Concur Technologies on September 18, 2013.</t>
        </is>
      </c>
      <c r="O567" s="23" t="inlineStr">
        <is>
          <t>Advanced Technology Ventures, ATA Ventures, Concur Perfect Trip Fund, El Dorado Ventures, Emergence Capital Partners, Mobius Venture Capital, Motorola Solutions Venture Capital, Nomura International Private Equity Group, Palisades Growth Capital, Patni Telecom Solutions, Qualcomm Ventures, Selby Ventures, Shelby Ventures, St. Paul Venture Capital, SV Angel, The Walt Disney Company, UMC Capital, Vesbridge Partners, Worldview Technology Partners, Zebra Ventures</t>
        </is>
      </c>
      <c r="P567" s="24" t="inlineStr">
        <is>
          <t/>
        </is>
      </c>
      <c r="Q567" s="25" t="inlineStr">
        <is>
          <t>Application Software</t>
        </is>
      </c>
      <c r="R567" s="26" t="inlineStr">
        <is>
          <t>Provider of mobility management software for enterprises. The company offers MobilityCentral, a software-as-a-service, which facilitates companies to manage their mobile devices, as well as provides visibility into and control over smart phones, cell phones and other workforce mobility software.</t>
        </is>
      </c>
      <c r="S567" s="27" t="inlineStr">
        <is>
          <t>Larkspur, CA</t>
        </is>
      </c>
      <c r="T567" s="28" t="inlineStr">
        <is>
          <t>www.visagemobile.com</t>
        </is>
      </c>
      <c r="U567" s="131">
        <f>HYPERLINK("https://my.pitchbook.com?c=50996-26", "View company online")</f>
      </c>
    </row>
    <row r="568">
      <c r="A568" s="30" t="inlineStr">
        <is>
          <t>170398-36</t>
        </is>
      </c>
      <c r="B568" s="31" t="inlineStr">
        <is>
          <t>Visabot</t>
        </is>
      </c>
      <c r="C568" s="32" t="inlineStr">
        <is>
          <t/>
        </is>
      </c>
      <c r="D568" s="33" t="n">
        <v>1.8004818269187823</v>
      </c>
      <c r="E568" s="34" t="n">
        <v>0.794943327367793</v>
      </c>
      <c r="F568" s="35" t="inlineStr">
        <is>
          <t/>
        </is>
      </c>
      <c r="G568" s="36" t="inlineStr">
        <is>
          <t>Early Stage VC</t>
        </is>
      </c>
      <c r="H568" s="37" t="inlineStr">
        <is>
          <t/>
        </is>
      </c>
      <c r="I568" s="38" t="inlineStr">
        <is>
          <t/>
        </is>
      </c>
      <c r="J568" s="39" t="inlineStr">
        <is>
          <t/>
        </is>
      </c>
      <c r="K568" s="40" t="inlineStr">
        <is>
          <t>Completed</t>
        </is>
      </c>
      <c r="L568" s="41" t="inlineStr">
        <is>
          <t>Privately Held (backing)</t>
        </is>
      </c>
      <c r="M568" s="42" t="inlineStr">
        <is>
          <t>Venture Capital-Backed</t>
        </is>
      </c>
      <c r="N568" s="43" t="inlineStr">
        <is>
          <t>The company raised an undisclosed amount of venture funding from 500 Startups and Boost VC.</t>
        </is>
      </c>
      <c r="O568" s="44" t="inlineStr">
        <is>
          <t>500 Startups, Boost VC, Founder Institute</t>
        </is>
      </c>
      <c r="P568" s="45" t="inlineStr">
        <is>
          <t/>
        </is>
      </c>
      <c r="Q568" s="46" t="inlineStr">
        <is>
          <t>Other Commercial Products</t>
        </is>
      </c>
      <c r="R568" s="47" t="inlineStr">
        <is>
          <t>Developer of an immigration robot designed for streamlining U.S. visa. The company's immigration robot powered by artificial intelligence techniques is designed to provide visa streamlining, immigration streamlining and visa extension services enabling applicants to get visa on a quicker duration.</t>
        </is>
      </c>
      <c r="S568" s="48" t="inlineStr">
        <is>
          <t>Palo Alto, CA</t>
        </is>
      </c>
      <c r="T568" s="49" t="inlineStr">
        <is>
          <t>www.visabot.co</t>
        </is>
      </c>
      <c r="U568" s="132">
        <f>HYPERLINK("https://my.pitchbook.com?c=170398-36", "View company online")</f>
      </c>
    </row>
    <row r="569">
      <c r="A569" s="9" t="inlineStr">
        <is>
          <t>40421-80</t>
        </is>
      </c>
      <c r="B569" s="10" t="inlineStr">
        <is>
          <t>Virtuos</t>
        </is>
      </c>
      <c r="C569" s="11" t="inlineStr">
        <is>
          <t/>
        </is>
      </c>
      <c r="D569" s="12" t="n">
        <v>-0.6169216374597227</v>
      </c>
      <c r="E569" s="13" t="n">
        <v>7.478238652907039</v>
      </c>
      <c r="F569" s="14" t="n">
        <v>41988.0</v>
      </c>
      <c r="G569" s="15" t="inlineStr">
        <is>
          <t>Later Stage VC</t>
        </is>
      </c>
      <c r="H569" s="16" t="inlineStr">
        <is>
          <t>Series B</t>
        </is>
      </c>
      <c r="I569" s="17" t="inlineStr">
        <is>
          <t/>
        </is>
      </c>
      <c r="J569" s="18" t="inlineStr">
        <is>
          <t/>
        </is>
      </c>
      <c r="K569" s="19" t="inlineStr">
        <is>
          <t>Completed</t>
        </is>
      </c>
      <c r="L569" s="20" t="inlineStr">
        <is>
          <t>Privately Held (backing)</t>
        </is>
      </c>
      <c r="M569" s="21" t="inlineStr">
        <is>
          <t>Venture Capital-Backed</t>
        </is>
      </c>
      <c r="N569" s="22" t="inlineStr">
        <is>
          <t>The company raised undisclosed amount of Series B venture funding in a deal led by Xuhui Venture Capital on December 15, 2014. Other undisclosed investors also participated in the round. The company intends to use the funds to grow its expertise in the latest game development and art techniques and build tools that facilitate integration with client teams.</t>
        </is>
      </c>
      <c r="O569" s="23" t="inlineStr">
        <is>
          <t>Legend Capital, Xuhui Venture Capital</t>
        </is>
      </c>
      <c r="P569" s="24" t="inlineStr">
        <is>
          <t/>
        </is>
      </c>
      <c r="Q569" s="25" t="inlineStr">
        <is>
          <t>Entertainment Software</t>
        </is>
      </c>
      <c r="R569" s="26" t="inlineStr">
        <is>
          <t>Developer of entertainment software products for the game and movie industries. The company provides various software development services including 3D art, development and quality analysis for offshore clients.</t>
        </is>
      </c>
      <c r="S569" s="27" t="inlineStr">
        <is>
          <t>Shanghai, China</t>
        </is>
      </c>
      <c r="T569" s="28" t="inlineStr">
        <is>
          <t>www.virtuosgames.com</t>
        </is>
      </c>
      <c r="U569" s="131">
        <f>HYPERLINK("https://my.pitchbook.com?c=40421-80", "View company online")</f>
      </c>
    </row>
    <row r="570">
      <c r="A570" s="30" t="inlineStr">
        <is>
          <t>53920-18</t>
        </is>
      </c>
      <c r="B570" s="31" t="inlineStr">
        <is>
          <t>Virtualmin</t>
        </is>
      </c>
      <c r="C570" s="32" t="inlineStr">
        <is>
          <t/>
        </is>
      </c>
      <c r="D570" s="33" t="n">
        <v>0.1956573939324473</v>
      </c>
      <c r="E570" s="34" t="n">
        <v>21.665368165828742</v>
      </c>
      <c r="F570" s="35" t="n">
        <v>39083.0</v>
      </c>
      <c r="G570" s="36" t="inlineStr">
        <is>
          <t>Seed Round</t>
        </is>
      </c>
      <c r="H570" s="37" t="inlineStr">
        <is>
          <t>Seed</t>
        </is>
      </c>
      <c r="I570" s="38" t="n">
        <v>0.02</v>
      </c>
      <c r="J570" s="39" t="n">
        <v>0.25</v>
      </c>
      <c r="K570" s="40" t="inlineStr">
        <is>
          <t>Completed</t>
        </is>
      </c>
      <c r="L570" s="41" t="inlineStr">
        <is>
          <t>Privately Held (backing)</t>
        </is>
      </c>
      <c r="M570" s="42" t="inlineStr">
        <is>
          <t>Venture Capital-Backed</t>
        </is>
      </c>
      <c r="N570" s="43" t="inlineStr">
        <is>
          <t>The company raised $15,000 of seed funding from Y Combinator in 2007.</t>
        </is>
      </c>
      <c r="O570" s="44" t="inlineStr">
        <is>
          <t>Y Combinator</t>
        </is>
      </c>
      <c r="P570" s="45" t="inlineStr">
        <is>
          <t/>
        </is>
      </c>
      <c r="Q570" s="46" t="inlineStr">
        <is>
          <t>Other Software</t>
        </is>
      </c>
      <c r="R570" s="47" t="inlineStr">
        <is>
          <t>Provider of web hosting services. The company offers virtual host administration products to create and manage multiple domains. It also offers web-based system administration tool and an online platform for the development of cloud computing services.</t>
        </is>
      </c>
      <c r="S570" s="48" t="inlineStr">
        <is>
          <t>Mountain View, CA</t>
        </is>
      </c>
      <c r="T570" s="49" t="inlineStr">
        <is>
          <t>www.virtualmin.com</t>
        </is>
      </c>
      <c r="U570" s="132">
        <f>HYPERLINK("https://my.pitchbook.com?c=53920-18", "View company online")</f>
      </c>
    </row>
    <row r="571">
      <c r="A571" s="9" t="inlineStr">
        <is>
          <t>61444-72</t>
        </is>
      </c>
      <c r="B571" s="10" t="inlineStr">
        <is>
          <t>VirtualMetrix</t>
        </is>
      </c>
      <c r="C571" s="11" t="inlineStr">
        <is>
          <t/>
        </is>
      </c>
      <c r="D571" s="12" t="n">
        <v>0.0</v>
      </c>
      <c r="E571" s="13" t="n">
        <v>0.2972972972972973</v>
      </c>
      <c r="F571" s="14" t="n">
        <v>41518.0</v>
      </c>
      <c r="G571" s="15" t="inlineStr">
        <is>
          <t>Later Stage VC</t>
        </is>
      </c>
      <c r="H571" s="16" t="inlineStr">
        <is>
          <t/>
        </is>
      </c>
      <c r="I571" s="17" t="n">
        <v>0.6</v>
      </c>
      <c r="J571" s="18" t="inlineStr">
        <is>
          <t/>
        </is>
      </c>
      <c r="K571" s="19" t="inlineStr">
        <is>
          <t>Completed</t>
        </is>
      </c>
      <c r="L571" s="20" t="inlineStr">
        <is>
          <t>Privately Held (backing)</t>
        </is>
      </c>
      <c r="M571" s="21" t="inlineStr">
        <is>
          <t>Venture Capital-Backed</t>
        </is>
      </c>
      <c r="N571" s="22" t="inlineStr">
        <is>
          <t>The company raised an undisclosed amount of venture funding from Qualcomm Ventures and Tech Coast Angels in September 2013.</t>
        </is>
      </c>
      <c r="O571" s="23" t="inlineStr">
        <is>
          <t>Qualcomm Ventures, Tech Coast Angels</t>
        </is>
      </c>
      <c r="P571" s="24" t="inlineStr">
        <is>
          <t/>
        </is>
      </c>
      <c r="Q571" s="25" t="inlineStr">
        <is>
          <t>Application Software</t>
        </is>
      </c>
      <c r="R571" s="26" t="inlineStr">
        <is>
          <t>Developer of performance management software for microprocessor based devices. The company focuses on software for microprocessors running real-time applications or sharing one or more processors.</t>
        </is>
      </c>
      <c r="S571" s="27" t="inlineStr">
        <is>
          <t>Rancho Santa Fe, CA</t>
        </is>
      </c>
      <c r="T571" s="28" t="inlineStr">
        <is>
          <t>www.virtualmetrix.com</t>
        </is>
      </c>
      <c r="U571" s="131">
        <f>HYPERLINK("https://my.pitchbook.com?c=61444-72", "View company online")</f>
      </c>
    </row>
    <row r="572">
      <c r="A572" s="30" t="inlineStr">
        <is>
          <t>170123-68</t>
        </is>
      </c>
      <c r="B572" s="31" t="inlineStr">
        <is>
          <t>Virtualitics</t>
        </is>
      </c>
      <c r="C572" s="32" t="inlineStr">
        <is>
          <t/>
        </is>
      </c>
      <c r="D572" s="33" t="n">
        <v>3.8420691969511696</v>
      </c>
      <c r="E572" s="34" t="n">
        <v>2.0954041155588685</v>
      </c>
      <c r="F572" s="35" t="n">
        <v>42828.0</v>
      </c>
      <c r="G572" s="36" t="inlineStr">
        <is>
          <t>Early Stage VC</t>
        </is>
      </c>
      <c r="H572" s="37" t="inlineStr">
        <is>
          <t>Series A</t>
        </is>
      </c>
      <c r="I572" s="38" t="n">
        <v>4.46</v>
      </c>
      <c r="J572" s="39" t="inlineStr">
        <is>
          <t/>
        </is>
      </c>
      <c r="K572" s="40" t="inlineStr">
        <is>
          <t>Completed</t>
        </is>
      </c>
      <c r="L572" s="41" t="inlineStr">
        <is>
          <t>Privately Held (backing)</t>
        </is>
      </c>
      <c r="M572" s="42" t="inlineStr">
        <is>
          <t>Venture Capital-Backed</t>
        </is>
      </c>
      <c r="N572" s="43" t="inlineStr">
        <is>
          <t>The company raised $4.46 million of Series A venture funding from lead investor The Venture Reality Fund on April 3, 2017. Other undisclosed investors also participated. The company intends to use the funds to expand its team and accelerate the deployment of new functionality within its platform.</t>
        </is>
      </c>
      <c r="O572" s="44" t="inlineStr">
        <is>
          <t>The Venture Reality Fund</t>
        </is>
      </c>
      <c r="P572" s="45" t="inlineStr">
        <is>
          <t/>
        </is>
      </c>
      <c r="Q572" s="46" t="inlineStr">
        <is>
          <t>Other IT Services</t>
        </is>
      </c>
      <c r="R572" s="47" t="inlineStr">
        <is>
          <t>Provider of a platform to merge artificial intelligence, big data, virtual and augmented reality. The company provides complex data analysis services by merging artificial intelligence, Big Data and virtual/augmented reality to gain insights from big and complex data sets.</t>
        </is>
      </c>
      <c r="S572" s="48" t="inlineStr">
        <is>
          <t>Pasadena, CA</t>
        </is>
      </c>
      <c r="T572" s="49" t="inlineStr">
        <is>
          <t>www.virtualitics.com</t>
        </is>
      </c>
      <c r="U572" s="132">
        <f>HYPERLINK("https://my.pitchbook.com?c=170123-68", "View company online")</f>
      </c>
    </row>
    <row r="573">
      <c r="A573" s="9" t="inlineStr">
        <is>
          <t>58258-09</t>
        </is>
      </c>
      <c r="B573" s="10" t="inlineStr">
        <is>
          <t>Virtual Power Systems</t>
        </is>
      </c>
      <c r="C573" s="11" t="inlineStr">
        <is>
          <t/>
        </is>
      </c>
      <c r="D573" s="12" t="n">
        <v>0.01871420209771526</v>
      </c>
      <c r="E573" s="13" t="n">
        <v>0.6110967821174159</v>
      </c>
      <c r="F573" s="14" t="n">
        <v>42457.0</v>
      </c>
      <c r="G573" s="15" t="inlineStr">
        <is>
          <t>Early Stage VC</t>
        </is>
      </c>
      <c r="H573" s="16" t="inlineStr">
        <is>
          <t>Series A2</t>
        </is>
      </c>
      <c r="I573" s="17" t="n">
        <v>4.22</v>
      </c>
      <c r="J573" s="18" t="inlineStr">
        <is>
          <t/>
        </is>
      </c>
      <c r="K573" s="19" t="inlineStr">
        <is>
          <t>Completed</t>
        </is>
      </c>
      <c r="L573" s="20" t="inlineStr">
        <is>
          <t>Privately Held (backing)</t>
        </is>
      </c>
      <c r="M573" s="21" t="inlineStr">
        <is>
          <t>Venture Capital-Backed</t>
        </is>
      </c>
      <c r="N573" s="22" t="inlineStr">
        <is>
          <t>The company raised $4.21 million of Series A2 venture funding from undisclosed investors on March 28, 2016.</t>
        </is>
      </c>
      <c r="O573" s="23" t="inlineStr">
        <is>
          <t>Center Electric, Christopher Rust, Data Collective, Dolby Family Ventures, Exfinity Fund, Exfinity Venture Partners</t>
        </is>
      </c>
      <c r="P573" s="24" t="inlineStr">
        <is>
          <t/>
        </is>
      </c>
      <c r="Q573" s="25" t="inlineStr">
        <is>
          <t>Energy Infrastructure</t>
        </is>
      </c>
      <c r="R573" s="26" t="inlineStr">
        <is>
          <t>Provider of software-defined power infrastructures for data centers. The company offers energy control systems that manage and utilize power capacity avoiding waste and redundancy.</t>
        </is>
      </c>
      <c r="S573" s="27" t="inlineStr">
        <is>
          <t>Santa Clara, CA</t>
        </is>
      </c>
      <c r="T573" s="28" t="inlineStr">
        <is>
          <t>www.virtualpowersystems.com</t>
        </is>
      </c>
      <c r="U573" s="131">
        <f>HYPERLINK("https://my.pitchbook.com?c=58258-09", "View company online")</f>
      </c>
    </row>
    <row r="574">
      <c r="A574" s="30" t="inlineStr">
        <is>
          <t>54742-42</t>
        </is>
      </c>
      <c r="B574" s="31" t="inlineStr">
        <is>
          <t>Virtual Labs</t>
        </is>
      </c>
      <c r="C574" s="32" t="inlineStr">
        <is>
          <t/>
        </is>
      </c>
      <c r="D574" s="33" t="inlineStr">
        <is>
          <t/>
        </is>
      </c>
      <c r="E574" s="34" t="inlineStr">
        <is>
          <t/>
        </is>
      </c>
      <c r="F574" s="35" t="n">
        <v>40675.0</v>
      </c>
      <c r="G574" s="36" t="inlineStr">
        <is>
          <t>Seed Round</t>
        </is>
      </c>
      <c r="H574" s="37" t="inlineStr">
        <is>
          <t>Seed</t>
        </is>
      </c>
      <c r="I574" s="38" t="n">
        <v>2.44</v>
      </c>
      <c r="J574" s="39" t="n">
        <v>10.95</v>
      </c>
      <c r="K574" s="40" t="inlineStr">
        <is>
          <t>Completed</t>
        </is>
      </c>
      <c r="L574" s="41" t="inlineStr">
        <is>
          <t>Privately Held (backing)</t>
        </is>
      </c>
      <c r="M574" s="42" t="inlineStr">
        <is>
          <t>Venture Capital-Backed</t>
        </is>
      </c>
      <c r="N574" s="43" t="inlineStr">
        <is>
          <t>The company raised $2.45 million of seed funding from Berkeley Ventures on May 12, 2011, putting the company's pre-money valuation at $8.5 million.</t>
        </is>
      </c>
      <c r="O574" s="44" t="inlineStr">
        <is>
          <t>Berkeley Ventures</t>
        </is>
      </c>
      <c r="P574" s="45" t="inlineStr">
        <is>
          <t/>
        </is>
      </c>
      <c r="Q574" s="46" t="inlineStr">
        <is>
          <t>Other Commercial Services</t>
        </is>
      </c>
      <c r="R574" s="47" t="inlineStr">
        <is>
          <t>Provider of internet-based testing services for engineers. The company caters to the test and measurement industry and develops a cloud-based platform for collaborative testing services.</t>
        </is>
      </c>
      <c r="S574" s="48" t="inlineStr">
        <is>
          <t>Berkeley, CA</t>
        </is>
      </c>
      <c r="T574" s="49" t="inlineStr">
        <is>
          <t/>
        </is>
      </c>
      <c r="U574" s="132">
        <f>HYPERLINK("https://my.pitchbook.com?c=54742-42", "View company online")</f>
      </c>
    </row>
    <row r="575">
      <c r="A575" s="9" t="inlineStr">
        <is>
          <t>54603-10</t>
        </is>
      </c>
      <c r="B575" s="10" t="inlineStr">
        <is>
          <t>Virtual Instruments</t>
        </is>
      </c>
      <c r="C575" s="11" t="inlineStr">
        <is>
          <t/>
        </is>
      </c>
      <c r="D575" s="12" t="n">
        <v>-0.14184354378832129</v>
      </c>
      <c r="E575" s="13" t="n">
        <v>17.318176854083266</v>
      </c>
      <c r="F575" s="14" t="n">
        <v>42458.0</v>
      </c>
      <c r="G575" s="15" t="inlineStr">
        <is>
          <t>Later Stage VC</t>
        </is>
      </c>
      <c r="H575" s="16" t="inlineStr">
        <is>
          <t>Series 3</t>
        </is>
      </c>
      <c r="I575" s="17" t="n">
        <v>20.0</v>
      </c>
      <c r="J575" s="18" t="inlineStr">
        <is>
          <t/>
        </is>
      </c>
      <c r="K575" s="19" t="inlineStr">
        <is>
          <t>Completed</t>
        </is>
      </c>
      <c r="L575" s="20" t="inlineStr">
        <is>
          <t>Privately Held (backing)</t>
        </is>
      </c>
      <c r="M575" s="21" t="inlineStr">
        <is>
          <t>Venture Capital-Backed</t>
        </is>
      </c>
      <c r="N575" s="22" t="inlineStr">
        <is>
          <t>The company raised $20 million of venture funding in a deal led by HighBar Partners on March 29, 2016. Azure Capital Partners, Kinetic Ventures and Benhamou Global Ventures also participated in this round. The company intends to use the funds to accelerate joint innovation in the IT infrastructure market and to create an end-to-end infrastructure DevOps platform focused on performance analytics to enable applications and infrastructure to work better together.</t>
        </is>
      </c>
      <c r="O575" s="23" t="inlineStr">
        <is>
          <t>Azure Capital Partners, Benhamou Global Ventures, Columbus Nova Technology Partners, Core Capital Partners, Eric A. Benhamou, Floodgate Fund, HighBar Partners, Individual Investor, Kinetic Ventures, Miramar Ventures, TriplePoint Venture Growth</t>
        </is>
      </c>
      <c r="P575" s="24" t="inlineStr">
        <is>
          <t/>
        </is>
      </c>
      <c r="Q575" s="25" t="inlineStr">
        <is>
          <t>Database Software</t>
        </is>
      </c>
      <c r="R575" s="26" t="inlineStr">
        <is>
          <t>Provider of combined software and hardware services intended to store workload modeling and performance validation. The company's combined software and hardware services helps IT managers and architects optimize performance, availability and cost of networked storage infrastructures enabling them to use storage performance analytics services which includes workload acquisition, workload analysis, workload modeling and workload generation products.</t>
        </is>
      </c>
      <c r="S575" s="27" t="inlineStr">
        <is>
          <t>San Jose, CA</t>
        </is>
      </c>
      <c r="T575" s="28" t="inlineStr">
        <is>
          <t>www.virtualinstruments.com</t>
        </is>
      </c>
      <c r="U575" s="131">
        <f>HYPERLINK("https://my.pitchbook.com?c=54603-10", "View company online")</f>
      </c>
    </row>
    <row r="576">
      <c r="A576" s="30" t="inlineStr">
        <is>
          <t>125562-07</t>
        </is>
      </c>
      <c r="B576" s="31" t="inlineStr">
        <is>
          <t>Virtual Gateway Labs</t>
        </is>
      </c>
      <c r="C576" s="32" t="inlineStr">
        <is>
          <t/>
        </is>
      </c>
      <c r="D576" s="33" t="n">
        <v>0.0</v>
      </c>
      <c r="E576" s="34" t="n">
        <v>0.7567567567567568</v>
      </c>
      <c r="F576" s="35" t="n">
        <v>42285.0</v>
      </c>
      <c r="G576" s="36" t="inlineStr">
        <is>
          <t>Seed Round</t>
        </is>
      </c>
      <c r="H576" s="37" t="inlineStr">
        <is>
          <t>Seed</t>
        </is>
      </c>
      <c r="I576" s="38" t="n">
        <v>1.44</v>
      </c>
      <c r="J576" s="39" t="n">
        <v>2.25</v>
      </c>
      <c r="K576" s="40" t="inlineStr">
        <is>
          <t>Completed</t>
        </is>
      </c>
      <c r="L576" s="41" t="inlineStr">
        <is>
          <t>Privately Held (backing)</t>
        </is>
      </c>
      <c r="M576" s="42" t="inlineStr">
        <is>
          <t>Venture Capital-Backed</t>
        </is>
      </c>
      <c r="N576" s="43" t="inlineStr">
        <is>
          <t>The company raised $1.44 million of seed funding from undisclosed investors on October 8, 2015, putting the company's pre-money valuation at $81,250.</t>
        </is>
      </c>
      <c r="O576" s="44" t="inlineStr">
        <is>
          <t/>
        </is>
      </c>
      <c r="P576" s="45" t="inlineStr">
        <is>
          <t/>
        </is>
      </c>
      <c r="Q576" s="46" t="inlineStr">
        <is>
          <t>Social/Platform Software</t>
        </is>
      </c>
      <c r="R576" s="47" t="inlineStr">
        <is>
          <t>Provider of an online virtual service platform. The company offers a range of online virtual services like emergency communications, interactive entertainment, home automation, smart grid and connected sensor system services.</t>
        </is>
      </c>
      <c r="S576" s="48" t="inlineStr">
        <is>
          <t>San Jose, CA</t>
        </is>
      </c>
      <c r="T576" s="49" t="inlineStr">
        <is>
          <t>www.vg-labs.com</t>
        </is>
      </c>
      <c r="U576" s="132">
        <f>HYPERLINK("https://my.pitchbook.com?c=125562-07", "View company online")</f>
      </c>
    </row>
    <row r="577">
      <c r="A577" s="9" t="inlineStr">
        <is>
          <t>157505-32</t>
        </is>
      </c>
      <c r="B577" s="10" t="inlineStr">
        <is>
          <t>Virta Health</t>
        </is>
      </c>
      <c r="C577" s="11" t="inlineStr">
        <is>
          <t/>
        </is>
      </c>
      <c r="D577" s="12" t="n">
        <v>6.220258223077479</v>
      </c>
      <c r="E577" s="13" t="n">
        <v>3.5192805975783132</v>
      </c>
      <c r="F577" s="14" t="n">
        <v>42570.0</v>
      </c>
      <c r="G577" s="15" t="inlineStr">
        <is>
          <t>Early Stage VC</t>
        </is>
      </c>
      <c r="H577" s="16" t="inlineStr">
        <is>
          <t/>
        </is>
      </c>
      <c r="I577" s="17" t="n">
        <v>28.7</v>
      </c>
      <c r="J577" s="18" t="inlineStr">
        <is>
          <t/>
        </is>
      </c>
      <c r="K577" s="19" t="inlineStr">
        <is>
          <t>Completed</t>
        </is>
      </c>
      <c r="L577" s="20" t="inlineStr">
        <is>
          <t>Privately Held (backing)</t>
        </is>
      </c>
      <c r="M577" s="21" t="inlineStr">
        <is>
          <t>Venture Capital-Backed</t>
        </is>
      </c>
      <c r="N577" s="22" t="inlineStr">
        <is>
          <t>The company raised $28.7 million of venture funding from Venrock, Allen &amp; Company and Obvious Ventures on July 19, 2016. Paypal, The Walton Family Foundation, Bob Kerrey, Elad Gil, Pete Flint, Seth Sternberg, Creandum, Uprising, Bronze Investments, Caffeinated Capital, Redmile Group, Rock Health and Scifi VC also participated in this round.</t>
        </is>
      </c>
      <c r="O577" s="23" t="inlineStr">
        <is>
          <t>Allen &amp; Company, Bob Kerrey, Bronze Investments, Caffeinated Capital, Creandum, Elad Gil, Great Oaks Venture Capital, Obvious Ventures, Paypal, Pete Flint, Raymond Tonsing, Redmile Group, Rock Health, SciFi VC, Seth Sternberg, Specialized Types, The Walton Family Foundation, Uprising, Venrock</t>
        </is>
      </c>
      <c r="P577" s="24" t="inlineStr">
        <is>
          <t/>
        </is>
      </c>
      <c r="Q577" s="25" t="inlineStr">
        <is>
          <t>Other Healthcare Technology Systems</t>
        </is>
      </c>
      <c r="R577" s="26" t="inlineStr">
        <is>
          <t>Operator of an online diabetes reversal clinic intended to reverses type 2 diabetes without medications or surgery. The company's online diabetes reversal clinic combines advanced biochemistry and clinical expertise with data science and digital tools, to develop therapies and help physicians and health coaches to deliver on-demand care, enabling diabetes patients to restore metabolic health.</t>
        </is>
      </c>
      <c r="S577" s="27" t="inlineStr">
        <is>
          <t>San Francisco, CA</t>
        </is>
      </c>
      <c r="T577" s="28" t="inlineStr">
        <is>
          <t>www.virtahealth.com</t>
        </is>
      </c>
      <c r="U577" s="131">
        <f>HYPERLINK("https://my.pitchbook.com?c=157505-32", "View company online")</f>
      </c>
    </row>
    <row r="578">
      <c r="A578" s="30" t="inlineStr">
        <is>
          <t>64128-97</t>
        </is>
      </c>
      <c r="B578" s="31" t="inlineStr">
        <is>
          <t>Virsec</t>
        </is>
      </c>
      <c r="C578" s="32" t="inlineStr">
        <is>
          <t/>
        </is>
      </c>
      <c r="D578" s="33" t="n">
        <v>0.11107047566358583</v>
      </c>
      <c r="E578" s="34" t="n">
        <v>0.37016060960423525</v>
      </c>
      <c r="F578" s="35" t="n">
        <v>41977.0</v>
      </c>
      <c r="G578" s="36" t="inlineStr">
        <is>
          <t>Early Stage VC</t>
        </is>
      </c>
      <c r="H578" s="37" t="inlineStr">
        <is>
          <t>Series A</t>
        </is>
      </c>
      <c r="I578" s="38" t="n">
        <v>5.09</v>
      </c>
      <c r="J578" s="39" t="n">
        <v>8.88</v>
      </c>
      <c r="K578" s="40" t="inlineStr">
        <is>
          <t>Completed</t>
        </is>
      </c>
      <c r="L578" s="41" t="inlineStr">
        <is>
          <t>Privately Held (backing)</t>
        </is>
      </c>
      <c r="M578" s="42" t="inlineStr">
        <is>
          <t>Venture Capital-Backed</t>
        </is>
      </c>
      <c r="N578" s="43" t="inlineStr">
        <is>
          <t>The company raised $5.09 million of Series A venture funding from Tribeca Venture Partners, Baring Vostok Capital Partners, Furneaux Capital and Artiman Ventures on December 4, 2014, putting the company's pre-money valuation at $3.79 million. Boston Seed Capital also participated in this round.</t>
        </is>
      </c>
      <c r="O578" s="44" t="inlineStr">
        <is>
          <t>Artiman Ventures, Baring Vostok Capital Partners, Boston Seed Capital, Furneaux Capital, Tribeca Venture Partners</t>
        </is>
      </c>
      <c r="P578" s="45" t="inlineStr">
        <is>
          <t/>
        </is>
      </c>
      <c r="Q578" s="46" t="inlineStr">
        <is>
          <t>Network Management Software</t>
        </is>
      </c>
      <c r="R578" s="47" t="inlineStr">
        <is>
          <t>Developer of a data security software designed to stop the endless cycle of reactionary security based on signatures and pattern matching. The company's data security software is used to prevent cyber threats and helps in real-time memory inspection, providing organizations detection mechanism against certain indefensible and previously difficult to detect cyber-attacks.</t>
        </is>
      </c>
      <c r="S578" s="48" t="inlineStr">
        <is>
          <t>San Jose, CA</t>
        </is>
      </c>
      <c r="T578" s="49" t="inlineStr">
        <is>
          <t>www.virsec.com</t>
        </is>
      </c>
      <c r="U578" s="132">
        <f>HYPERLINK("https://my.pitchbook.com?c=64128-97", "View company online")</f>
      </c>
    </row>
    <row r="579">
      <c r="A579" s="9" t="inlineStr">
        <is>
          <t>54836-11</t>
        </is>
      </c>
      <c r="B579" s="10" t="inlineStr">
        <is>
          <t>Virool</t>
        </is>
      </c>
      <c r="C579" s="11" t="inlineStr">
        <is>
          <t/>
        </is>
      </c>
      <c r="D579" s="12" t="n">
        <v>-0.061900032299176844</v>
      </c>
      <c r="E579" s="13" t="n">
        <v>30.72486504032193</v>
      </c>
      <c r="F579" s="14" t="n">
        <v>42465.0</v>
      </c>
      <c r="G579" s="15" t="inlineStr">
        <is>
          <t>Early Stage VC</t>
        </is>
      </c>
      <c r="H579" s="16" t="inlineStr">
        <is>
          <t>Series A</t>
        </is>
      </c>
      <c r="I579" s="17" t="n">
        <v>19.95</v>
      </c>
      <c r="J579" s="18" t="n">
        <v>127.3</v>
      </c>
      <c r="K579" s="19" t="inlineStr">
        <is>
          <t>Completed</t>
        </is>
      </c>
      <c r="L579" s="20" t="inlineStr">
        <is>
          <t>Privately Held (backing)</t>
        </is>
      </c>
      <c r="M579" s="21" t="inlineStr">
        <is>
          <t>Venture Capital-Backed</t>
        </is>
      </c>
      <c r="N579" s="22" t="inlineStr">
        <is>
          <t>The company raised $19.95 million of Series A venture funding from Flint Capital, TMT Investments and FJ Labs on April 05, 2016 putting the company's pre-money valuation at $107.34 million. Menlo Ventures, Yahoo Japan, SV Tech Ventures, GVA Capital and 500 Startups also participated in the round. The company intends to use the funds to accelerate its market in North America, Latin America and Europe and expand into APAC.</t>
        </is>
      </c>
      <c r="O579" s="23" t="inlineStr">
        <is>
          <t>500 Startups, ACE &amp; Company, Alexis Ohanian, Alireza Masrour, Andreessen Horowitz, Base Ventures, Benjamin Narasin, Cota Capital, Data Collective, David McClure, DominateFund, Draper Fisher Jurvetson, Erik Moore, Fabrice Grinda, Farzad Nazem, FJ Labs, Flint Capital, FundersClub, Garry Tan, Geoff Ralston, Global Venture Aliance, GVA Capital, Harj Taggar, Hironori Maeda, Individual Investor, Jason Seats, JFE Accelerator, Julien Coustaury, Jun LI, Klaus von Sayn-Wittgenstein, Menlo Ventures, NetPrice, Oliver Thylmann, Paul Buchheit, Phenomen Ventures, Plug and Play Tech Center, Promus Ventures, Sam Altman, Start Fund, Streamlined Ventures, SV Tech Ventures, Thomvest Ventures, TMT Investments, Troy Carter, Ullas Naik, Y Combinator, Yahoo Japan, Yuri Milner</t>
        </is>
      </c>
      <c r="P579" s="24" t="inlineStr">
        <is>
          <t/>
        </is>
      </c>
      <c r="Q579" s="25" t="inlineStr">
        <is>
          <t>Media and Information Services (B2B)</t>
        </is>
      </c>
      <c r="R579" s="26" t="inlineStr">
        <is>
          <t>Developer of social video advertising platform designed to change the advertising experience and bring brand videos to the right people at right time. The company's social video advertising platform allows advertising video to reach their target audience through mobile phones and social networking sites, enabling clients to do marketing at a greater scale and reach higher audience base.</t>
        </is>
      </c>
      <c r="S579" s="27" t="inlineStr">
        <is>
          <t>San Francisco, CA</t>
        </is>
      </c>
      <c r="T579" s="28" t="inlineStr">
        <is>
          <t>www.virool.com</t>
        </is>
      </c>
      <c r="U579" s="131">
        <f>HYPERLINK("https://my.pitchbook.com?c=54836-11", "View company online")</f>
      </c>
    </row>
    <row r="580">
      <c r="A580" s="30" t="inlineStr">
        <is>
          <t>42882-22</t>
        </is>
      </c>
      <c r="B580" s="31" t="inlineStr">
        <is>
          <t>Virobay</t>
        </is>
      </c>
      <c r="C580" s="32" t="n">
        <v>2.0</v>
      </c>
      <c r="D580" s="33" t="n">
        <v>0.0</v>
      </c>
      <c r="E580" s="34" t="n">
        <v>2.27027027027027</v>
      </c>
      <c r="F580" s="35" t="inlineStr">
        <is>
          <t/>
        </is>
      </c>
      <c r="G580" s="36" t="inlineStr">
        <is>
          <t>Secondary Transaction - Private</t>
        </is>
      </c>
      <c r="H580" s="37" t="inlineStr">
        <is>
          <t/>
        </is>
      </c>
      <c r="I580" s="38" t="inlineStr">
        <is>
          <t/>
        </is>
      </c>
      <c r="J580" s="39" t="inlineStr">
        <is>
          <t/>
        </is>
      </c>
      <c r="K580" s="40" t="inlineStr">
        <is>
          <t>Completed</t>
        </is>
      </c>
      <c r="L580" s="41" t="inlineStr">
        <is>
          <t>Privately Held (backing)</t>
        </is>
      </c>
      <c r="M580" s="42" t="inlineStr">
        <is>
          <t>Venture Capital-Backed</t>
        </is>
      </c>
      <c r="N580" s="43" t="inlineStr">
        <is>
          <t>AbbVie Biotech Ventures sold its stake in the company on an undisclosed date.</t>
        </is>
      </c>
      <c r="O580" s="44" t="inlineStr">
        <is>
          <t>Alta Partners, Perceptive Advisors, Sutter Hill Ventures, TPG Biotech</t>
        </is>
      </c>
      <c r="P580" s="45" t="inlineStr">
        <is>
          <t/>
        </is>
      </c>
      <c r="Q580" s="46" t="inlineStr">
        <is>
          <t>Drug Discovery</t>
        </is>
      </c>
      <c r="R580" s="47" t="inlineStr">
        <is>
          <t>Developer of drugs based on cysteine cathepsin enzymes. The company develops and commercializes drugs for the treatment of neuropathic pain, autoimmune diseases using cysteine cathepsins enzymes that regulate essential processes in cells by cleaving certain proteins.</t>
        </is>
      </c>
      <c r="S580" s="48" t="inlineStr">
        <is>
          <t>Menlo Park, CA</t>
        </is>
      </c>
      <c r="T580" s="49" t="inlineStr">
        <is>
          <t>www.virobayinc.com</t>
        </is>
      </c>
      <c r="U580" s="132">
        <f>HYPERLINK("https://my.pitchbook.com?c=42882-22", "View company online")</f>
      </c>
    </row>
    <row r="581">
      <c r="A581" s="9" t="inlineStr">
        <is>
          <t>56376-82</t>
        </is>
      </c>
      <c r="B581" s="10" t="inlineStr">
        <is>
          <t>Viriom</t>
        </is>
      </c>
      <c r="C581" s="11" t="inlineStr">
        <is>
          <t/>
        </is>
      </c>
      <c r="D581" s="12" t="n">
        <v>0.0</v>
      </c>
      <c r="E581" s="13" t="n">
        <v>2.135135135135135</v>
      </c>
      <c r="F581" s="14" t="n">
        <v>42501.0</v>
      </c>
      <c r="G581" s="15" t="inlineStr">
        <is>
          <t>Later Stage VC</t>
        </is>
      </c>
      <c r="H581" s="16" t="inlineStr">
        <is>
          <t/>
        </is>
      </c>
      <c r="I581" s="17" t="n">
        <v>4.7</v>
      </c>
      <c r="J581" s="18" t="inlineStr">
        <is>
          <t/>
        </is>
      </c>
      <c r="K581" s="19" t="inlineStr">
        <is>
          <t>Completed</t>
        </is>
      </c>
      <c r="L581" s="20" t="inlineStr">
        <is>
          <t>Privately Held (backing)</t>
        </is>
      </c>
      <c r="M581" s="21" t="inlineStr">
        <is>
          <t>Venture Capital-Backed</t>
        </is>
      </c>
      <c r="N581" s="22" t="inlineStr">
        <is>
          <t>The company raised $2.35 million of venture funding from Torrey Pines Investment and ChemRar High Tech Center on May 11, 2016. It also received $2.35 million of grant funding from Skolkovo Foundation. The company will use the funding for the development of fixed-dose combinations and long-acting injection formulations of Elpida (elpivirine), the company’s non-nucleoside reverse transcriptase inhibitor (NNRTI) for the treatment of HIV/AIDS.</t>
        </is>
      </c>
      <c r="O581" s="23" t="inlineStr">
        <is>
          <t>ChemRar High Tech Center, Skolkovo Foundation, Torrey Pines Investment</t>
        </is>
      </c>
      <c r="P581" s="24" t="inlineStr">
        <is>
          <t/>
        </is>
      </c>
      <c r="Q581" s="25" t="inlineStr">
        <is>
          <t>Pharmaceuticals</t>
        </is>
      </c>
      <c r="R581" s="26" t="inlineStr">
        <is>
          <t>Operator of a biotechnology company focused on pharmaceuticals for treating certain viruses. The company is a late-stage enterprise developing novel and affordable therapies against life threatening infections such as the HIV (human immunodeficiency virus) and Heptatis B virus. The company has an exclusive worldwide license to its phase 2/3 stage lead compound (Elpida/VM-1500) from Hoffmann-La Roche for HIV and has developed proprietary pre-clinical lead compound VM-1010 as potentially curative treatment of chronic HBV.</t>
        </is>
      </c>
      <c r="S581" s="27" t="inlineStr">
        <is>
          <t>San Diego, CA</t>
        </is>
      </c>
      <c r="T581" s="28" t="inlineStr">
        <is>
          <t>www.viriom.com</t>
        </is>
      </c>
      <c r="U581" s="131">
        <f>HYPERLINK("https://my.pitchbook.com?c=56376-82", "View company online")</f>
      </c>
    </row>
    <row r="582">
      <c r="A582" s="30" t="inlineStr">
        <is>
          <t>57654-64</t>
        </is>
      </c>
      <c r="B582" s="31" t="inlineStr">
        <is>
          <t>Viridis</t>
        </is>
      </c>
      <c r="C582" s="32" t="inlineStr">
        <is>
          <t/>
        </is>
      </c>
      <c r="D582" s="33" t="n">
        <v>0.0842677104638562</v>
      </c>
      <c r="E582" s="34" t="n">
        <v>0.9517960401711323</v>
      </c>
      <c r="F582" s="35" t="n">
        <v>42892.0</v>
      </c>
      <c r="G582" s="36" t="inlineStr">
        <is>
          <t>Later Stage VC</t>
        </is>
      </c>
      <c r="H582" s="37" t="inlineStr">
        <is>
          <t>Series A</t>
        </is>
      </c>
      <c r="I582" s="38" t="n">
        <v>7.5</v>
      </c>
      <c r="J582" s="39" t="n">
        <v>13.5</v>
      </c>
      <c r="K582" s="40" t="inlineStr">
        <is>
          <t>Completed</t>
        </is>
      </c>
      <c r="L582" s="41" t="inlineStr">
        <is>
          <t>Privately Held (backing)</t>
        </is>
      </c>
      <c r="M582" s="42" t="inlineStr">
        <is>
          <t>Venture Capital-Backed</t>
        </is>
      </c>
      <c r="N582" s="43" t="inlineStr">
        <is>
          <t>The company raised $7.5 million of Series A venture funding in a deal led by Thayer Ventures on June 6, 2017, putting the pre-money valuation at $6 million. Salesforce Ventures, Lumina Foundation, University Ventures, the Carver Family Office, Serious Change, NVC Investments, Impact Engine, Ken Hicks and C.S. Park also participated in the round. The funds will be used to continue expanding its Skill Passport Accountability Tracking solution adoption, develop its solutions, and grow market reach and to open an office in Austin, Texas.</t>
        </is>
      </c>
      <c r="O582" s="44" t="inlineStr">
        <is>
          <t>Carver Family Office, Chong Sup Park, CNF Investments, Comcast Ventures, Expansion Venture Capital, Future Perfect Ventures, Impact Engine, Kenneth Hicks, Lumina Foundation, NVC Investment, Ryan Melohn, Salesforce Ventures, Serious Change, Thayer Ventures, Ulu Ventures, University Ventures</t>
        </is>
      </c>
      <c r="P582" s="45" t="inlineStr">
        <is>
          <t/>
        </is>
      </c>
      <c r="Q582" s="46" t="inlineStr">
        <is>
          <t>Business/Productivity Software</t>
        </is>
      </c>
      <c r="R582" s="47" t="inlineStr">
        <is>
          <t>Developer of a SaaS talent management platform designed to automate recruiting by matching local employers to college students. The company's platform uses a proprietary Skills Passport which integrates with existing student information systems, government databases and labor market information to connect community colleges &amp; their students to workforce investment boards &amp; local employers based upon verified knowledge, skills and abilities, enabling colleges to better track and understand their students' performance and outcomes, reduce student time-to-completion rates and improve students' employment placement as well as allow employers to hire more quickly, cut recruitment and retention costs and reduce churn with skill-based job matching.</t>
        </is>
      </c>
      <c r="S582" s="48" t="inlineStr">
        <is>
          <t>New York, NY</t>
        </is>
      </c>
      <c r="T582" s="49" t="inlineStr">
        <is>
          <t>www.viridislearning.com</t>
        </is>
      </c>
      <c r="U582" s="132">
        <f>HYPERLINK("https://my.pitchbook.com?c=57654-64", "View company online")</f>
      </c>
    </row>
    <row r="583">
      <c r="A583" s="9" t="inlineStr">
        <is>
          <t>60347-53</t>
        </is>
      </c>
      <c r="B583" s="10" t="inlineStr">
        <is>
          <t>Vires Aeronautics</t>
        </is>
      </c>
      <c r="C583" s="11" t="inlineStr">
        <is>
          <t/>
        </is>
      </c>
      <c r="D583" s="12" t="n">
        <v>-0.01144688644688669</v>
      </c>
      <c r="E583" s="13" t="n">
        <v>0.5989841035898515</v>
      </c>
      <c r="F583" s="14" t="n">
        <v>41698.0</v>
      </c>
      <c r="G583" s="15" t="inlineStr">
        <is>
          <t>Early Stage VC</t>
        </is>
      </c>
      <c r="H583" s="16" t="inlineStr">
        <is>
          <t>Series AA</t>
        </is>
      </c>
      <c r="I583" s="17" t="n">
        <v>1.0</v>
      </c>
      <c r="J583" s="18" t="inlineStr">
        <is>
          <t/>
        </is>
      </c>
      <c r="K583" s="19" t="inlineStr">
        <is>
          <t>Completed</t>
        </is>
      </c>
      <c r="L583" s="20" t="inlineStr">
        <is>
          <t>Privately Held (backing)</t>
        </is>
      </c>
      <c r="M583" s="21" t="inlineStr">
        <is>
          <t>Venture Capital-Backed</t>
        </is>
      </c>
      <c r="N583" s="22" t="inlineStr">
        <is>
          <t>The company raised $1 million of Series AA venture funding in a deal led by Draper Associates on February 28, 2014. Lemnos Labs, VTF Capital, Promus Ventures, Lance White, Don Hutchison, and Toivo Annus also participated in the round. The funding will enable Vires Aeronautics to meet increasing customer demand for extended flight time in the rapidly growing industry for unmanned aerial vehicles.</t>
        </is>
      </c>
      <c r="O583" s="23" t="inlineStr">
        <is>
          <t>Andy White, Donald Hutchison, Draper Associates, Individual Investor, Lance White, Lemnos Labs, Promus Ventures, Toivo Annus, VTF Capital</t>
        </is>
      </c>
      <c r="P583" s="24" t="inlineStr">
        <is>
          <t/>
        </is>
      </c>
      <c r="Q583" s="25" t="inlineStr">
        <is>
          <t>Aerospace and Defense</t>
        </is>
      </c>
      <c r="R583" s="26" t="inlineStr">
        <is>
          <t>Developer of technologies to improve airplane flight performance. The company has developed a new wing design for airplanes which enables them in achieving a faster takeoff and landing, increased payload capacity, improved maneuverability, extended range and reduced fuel consumption.</t>
        </is>
      </c>
      <c r="S583" s="27" t="inlineStr">
        <is>
          <t>San Francisco, CA</t>
        </is>
      </c>
      <c r="T583" s="28" t="inlineStr">
        <is>
          <t>www.viresaero.com</t>
        </is>
      </c>
      <c r="U583" s="131">
        <f>HYPERLINK("https://my.pitchbook.com?c=60347-53", "View company online")</f>
      </c>
    </row>
    <row r="584">
      <c r="A584" s="30" t="inlineStr">
        <is>
          <t>60217-21</t>
        </is>
      </c>
      <c r="B584" s="31" t="inlineStr">
        <is>
          <t>ViralGains</t>
        </is>
      </c>
      <c r="C584" s="32" t="n">
        <v>3.0</v>
      </c>
      <c r="D584" s="33" t="n">
        <v>-0.008762804750026564</v>
      </c>
      <c r="E584" s="34" t="n">
        <v>18.114881225050716</v>
      </c>
      <c r="F584" s="35" t="n">
        <v>42375.0</v>
      </c>
      <c r="G584" s="36" t="inlineStr">
        <is>
          <t>Early Stage VC</t>
        </is>
      </c>
      <c r="H584" s="37" t="inlineStr">
        <is>
          <t>Series A</t>
        </is>
      </c>
      <c r="I584" s="38" t="n">
        <v>12.3</v>
      </c>
      <c r="J584" s="39" t="n">
        <v>36.9</v>
      </c>
      <c r="K584" s="40" t="inlineStr">
        <is>
          <t>Completed</t>
        </is>
      </c>
      <c r="L584" s="41" t="inlineStr">
        <is>
          <t>Privately Held (backing)</t>
        </is>
      </c>
      <c r="M584" s="42" t="inlineStr">
        <is>
          <t>Venture Capital-Backed</t>
        </is>
      </c>
      <c r="N584" s="43" t="inlineStr">
        <is>
          <t>The company raised $12.3 million of Series A venture funding from lead investor Stage 1 Ventures on January 6, 2016, putting the pre-money valuation at $24.6 million. 500 Startups, Hub Angels Investment, LaunchCapital, Pallasite Ventures and undisclosed individual investors also participated. The company will use funds to expand operations.</t>
        </is>
      </c>
      <c r="O584" s="44" t="inlineStr">
        <is>
          <t>500 Startups, Anthony Saleh, Bantam Group, Ben Littauer, Christine Tsai, Christopher Bissonnette, David McClure, Ed Belove, Hub Angels Investment Group, Individual Investor, Jay Batson, Joe Caruso, Kernel Capital, LaunchCapital, Mark Carthy, MassChallenge, Michael Mark, Nasir Jones, Norman Meisner, Pallasite Ventures, Parker Thompson, QueensBridge Venture Partners, Ralph Wagner, Rob de Heus, Semyon Dukach, Sergey Gribov, Sheryl Schultz, Stage 1 Ventures, TiE Angels Boston, Walnut Venture Associates, Walter Danco, William Herman</t>
        </is>
      </c>
      <c r="P584" s="45" t="inlineStr">
        <is>
          <t/>
        </is>
      </c>
      <c r="Q584" s="46" t="inlineStr">
        <is>
          <t>Media and Information Services (B2B)</t>
        </is>
      </c>
      <c r="R584" s="47" t="inlineStr">
        <is>
          <t>Provider of a viral marketing platform. The company provides video marketing platform that helps advertising agencies and brands to reach their intended audiences. It also measures how consumers watch, share and talk about video content.</t>
        </is>
      </c>
      <c r="S584" s="48" t="inlineStr">
        <is>
          <t>Boston, MA</t>
        </is>
      </c>
      <c r="T584" s="49" t="inlineStr">
        <is>
          <t>www.viralgains.com</t>
        </is>
      </c>
      <c r="U584" s="132">
        <f>HYPERLINK("https://my.pitchbook.com?c=60217-21", "View company online")</f>
      </c>
    </row>
    <row r="585">
      <c r="A585" s="9" t="inlineStr">
        <is>
          <t>150408-73</t>
        </is>
      </c>
      <c r="B585" s="10" t="inlineStr">
        <is>
          <t>Viracta Therapeutics</t>
        </is>
      </c>
      <c r="C585" s="11" t="inlineStr">
        <is>
          <t/>
        </is>
      </c>
      <c r="D585" s="12" t="n">
        <v>0.0</v>
      </c>
      <c r="E585" s="13" t="n">
        <v>0.4254084593067644</v>
      </c>
      <c r="F585" s="14" t="n">
        <v>42829.0</v>
      </c>
      <c r="G585" s="15" t="inlineStr">
        <is>
          <t>Later Stage VC</t>
        </is>
      </c>
      <c r="H585" s="16" t="inlineStr">
        <is>
          <t>Series B</t>
        </is>
      </c>
      <c r="I585" s="17" t="n">
        <v>18.4</v>
      </c>
      <c r="J585" s="18" t="n">
        <v>55.2</v>
      </c>
      <c r="K585" s="19" t="inlineStr">
        <is>
          <t>Completed</t>
        </is>
      </c>
      <c r="L585" s="20" t="inlineStr">
        <is>
          <t>Privately Held (backing)</t>
        </is>
      </c>
      <c r="M585" s="21" t="inlineStr">
        <is>
          <t>Venture Capital-Backed</t>
        </is>
      </c>
      <c r="N585" s="22" t="inlineStr">
        <is>
          <t>The company raised $18.4 million of Series B venture funding in a deal led by NantKwest (NASDAQ: NK) on April 4, 2017, putting the pre-money valuation at $36.8 million. Wicklow Capital, Latterell Venture Partners and Forward Ventures also participated in the round. The company will use the funds to advance VRx-3996 into Phase 2 clinical studies for the treatment of Epstein Barr Virus (EBV)-associated malignancies via Viracta's proprietary viral gene activation therapeutic approach.</t>
        </is>
      </c>
      <c r="O585" s="23" t="inlineStr">
        <is>
          <t>Forward Ventures, Latterell Venture Partners, NantKwest, Wicklow Capital</t>
        </is>
      </c>
      <c r="P585" s="24" t="inlineStr">
        <is>
          <t/>
        </is>
      </c>
      <c r="Q585" s="25" t="inlineStr">
        <is>
          <t>Therapeutic Devices</t>
        </is>
      </c>
      <c r="R585" s="26" t="inlineStr">
        <is>
          <t>Operator of a clinical-stage drug development company intended to develop medicines to treat virus-associated cancers. The clinical-stage drug development company focuses on advancing a proprietary viral activation therapy platform, enabling clients to treat cancers associated with the Epstein-Barr Virus (EBV) and additional virus-associated diseases.</t>
        </is>
      </c>
      <c r="S585" s="27" t="inlineStr">
        <is>
          <t>San Diego, CA</t>
        </is>
      </c>
      <c r="T585" s="28" t="inlineStr">
        <is>
          <t>www.viracta.com</t>
        </is>
      </c>
      <c r="U585" s="131">
        <f>HYPERLINK("https://my.pitchbook.com?c=150408-73", "View company online")</f>
      </c>
    </row>
    <row r="586">
      <c r="A586" s="30" t="inlineStr">
        <is>
          <t>169566-04</t>
        </is>
      </c>
      <c r="B586" s="31" t="inlineStr">
        <is>
          <t>Vir Biotechnology</t>
        </is>
      </c>
      <c r="C586" s="32" t="inlineStr">
        <is>
          <t/>
        </is>
      </c>
      <c r="D586" s="33" t="n">
        <v>0.0</v>
      </c>
      <c r="E586" s="34" t="n">
        <v>1.027027027027027</v>
      </c>
      <c r="F586" s="35" t="n">
        <v>42741.0</v>
      </c>
      <c r="G586" s="36" t="inlineStr">
        <is>
          <t>Early Stage VC</t>
        </is>
      </c>
      <c r="H586" s="37" t="inlineStr">
        <is>
          <t>Series A1</t>
        </is>
      </c>
      <c r="I586" s="38" t="n">
        <v>150.0</v>
      </c>
      <c r="J586" s="39" t="n">
        <v>266.9</v>
      </c>
      <c r="K586" s="40" t="inlineStr">
        <is>
          <t>Completed</t>
        </is>
      </c>
      <c r="L586" s="41" t="inlineStr">
        <is>
          <t>Privately Held (backing)</t>
        </is>
      </c>
      <c r="M586" s="42" t="inlineStr">
        <is>
          <t>Venture Capital-Backed</t>
        </is>
      </c>
      <c r="N586" s="43" t="inlineStr">
        <is>
          <t>The company raised $150 million of Series A1 venture funding in a deal led by ARCH Venture Partners and Bill &amp; Melinda Gates Foundation on January 6, 2017, putting the pre-money valuation at $116.9 million. Altitude Life Science Ventures and other undisclosed investors also participated in the round. The funds will be used in launching the company.</t>
        </is>
      </c>
      <c r="O586" s="44" t="inlineStr">
        <is>
          <t>Altitude Life Science Ventures, ARCH Venture Partners, Bill &amp; Melinda Gates Foundation</t>
        </is>
      </c>
      <c r="P586" s="45" t="inlineStr">
        <is>
          <t/>
        </is>
      </c>
      <c r="Q586" s="46" t="inlineStr">
        <is>
          <t>Biotechnology</t>
        </is>
      </c>
      <c r="R586" s="47" t="inlineStr">
        <is>
          <t>Developer of cutting-edge scientific expertise and management designed to offer treatments for infectious diseases. The company's scientific expertise and management offers treatment for challenging viral and bacterial diseases, including those caused by drug-resistant bacteria and emerging pathogens, enabling doctors to bring a world without infectious disease.</t>
        </is>
      </c>
      <c r="S586" s="48" t="inlineStr">
        <is>
          <t>San Francisco, CA</t>
        </is>
      </c>
      <c r="T586" s="49" t="inlineStr">
        <is>
          <t>www.vir.bio</t>
        </is>
      </c>
      <c r="U586" s="132">
        <f>HYPERLINK("https://my.pitchbook.com?c=169566-04", "View company online")</f>
      </c>
    </row>
    <row r="587">
      <c r="A587" s="9" t="inlineStr">
        <is>
          <t>170800-12</t>
        </is>
      </c>
      <c r="B587" s="10" t="inlineStr">
        <is>
          <t>ViQi</t>
        </is>
      </c>
      <c r="C587" s="11" t="inlineStr">
        <is>
          <t/>
        </is>
      </c>
      <c r="D587" s="12" t="n">
        <v>0.301393347037933</v>
      </c>
      <c r="E587" s="13" t="n">
        <v>0.08080267339663066</v>
      </c>
      <c r="F587" s="14" t="n">
        <v>42865.0</v>
      </c>
      <c r="G587" s="15" t="inlineStr">
        <is>
          <t>Seed Round</t>
        </is>
      </c>
      <c r="H587" s="16" t="inlineStr">
        <is>
          <t>Seed</t>
        </is>
      </c>
      <c r="I587" s="17" t="n">
        <v>0.5</v>
      </c>
      <c r="J587" s="18" t="n">
        <v>2.92</v>
      </c>
      <c r="K587" s="19" t="inlineStr">
        <is>
          <t>Completed</t>
        </is>
      </c>
      <c r="L587" s="20" t="inlineStr">
        <is>
          <t>Privately Held (backing)</t>
        </is>
      </c>
      <c r="M587" s="21" t="inlineStr">
        <is>
          <t>Venture Capital-Backed</t>
        </is>
      </c>
      <c r="N587" s="22" t="inlineStr">
        <is>
          <t>The company raised $499,999 of seed funding from undisclosed investors on May 10, 2017, putting the pre-money valuation at $2.42 million.</t>
        </is>
      </c>
      <c r="O587" s="23" t="inlineStr">
        <is>
          <t>National Science Foundation</t>
        </is>
      </c>
      <c r="P587" s="24" t="inlineStr">
        <is>
          <t/>
        </is>
      </c>
      <c r="Q587" s="25" t="inlineStr">
        <is>
          <t>Social/Platform Software</t>
        </is>
      </c>
      <c r="R587" s="26" t="inlineStr">
        <is>
          <t>Provider of an online platform intended to provide data analysis and management for lifescience, construction, agriculture and other domain. The company's online platform offers BisQue system which is an Bio-Image Semantic Query User Environment system that helps in the module development, intranet deployment assistance and hosting of image collections and analysis routines, enabling clients to make large scale image analysis fast, accessible and easy.</t>
        </is>
      </c>
      <c r="S587" s="27" t="inlineStr">
        <is>
          <t>Santa Barbara, CA</t>
        </is>
      </c>
      <c r="T587" s="28" t="inlineStr">
        <is>
          <t>www.viqi.org</t>
        </is>
      </c>
      <c r="U587" s="131">
        <f>HYPERLINK("https://my.pitchbook.com?c=170800-12", "View company online")</f>
      </c>
    </row>
    <row r="588">
      <c r="A588" s="30" t="inlineStr">
        <is>
          <t>57431-44</t>
        </is>
      </c>
      <c r="B588" s="31" t="inlineStr">
        <is>
          <t>Viptela</t>
        </is>
      </c>
      <c r="C588" s="32" t="n">
        <v>100.0</v>
      </c>
      <c r="D588" s="33" t="n">
        <v>0.22270476136302536</v>
      </c>
      <c r="E588" s="34" t="n">
        <v>13.95220644373187</v>
      </c>
      <c r="F588" s="35" t="n">
        <v>42856.0</v>
      </c>
      <c r="G588" s="36" t="inlineStr">
        <is>
          <t>Merger/Acquisition</t>
        </is>
      </c>
      <c r="H588" s="37" t="inlineStr">
        <is>
          <t/>
        </is>
      </c>
      <c r="I588" s="38" t="n">
        <v>610.0</v>
      </c>
      <c r="J588" s="39" t="n">
        <v>610.0</v>
      </c>
      <c r="K588" s="40" t="inlineStr">
        <is>
          <t>Announced/In Progress</t>
        </is>
      </c>
      <c r="L588" s="41" t="inlineStr">
        <is>
          <t>Privately Held (backing)</t>
        </is>
      </c>
      <c r="M588" s="42" t="inlineStr">
        <is>
          <t>Venture Capital-Backed</t>
        </is>
      </c>
      <c r="N588" s="43" t="inlineStr">
        <is>
          <t>The company reached a definitive agreement to be acquired by Cisco Systems (NASDAQ:CSCO) for $610 million on May 1, 2017. The acquisition gives Cisco a vendor that sells much of its technology through AWS, which could help it gain more customers that use cloud services instead of buying data center hardware. Earlier, the company raised $75 million of Series C venture funding in a deal led by Redline Capital Management on May 25, 2016, putting the company's pre-money valuation at $800 million. Moment Ventures, Northgate Capital and Sequoia Capital also participated in this round. The company is being actively tracked by PitchBook.</t>
        </is>
      </c>
      <c r="O588" s="44" t="inlineStr">
        <is>
          <t>Moment Ventures, Northgate Capital, Redline Capital Management, Sequoia Capital</t>
        </is>
      </c>
      <c r="P588" s="45" t="inlineStr">
        <is>
          <t/>
        </is>
      </c>
      <c r="Q588" s="46" t="inlineStr">
        <is>
          <t>Network Management Software</t>
        </is>
      </c>
      <c r="R588" s="47" t="inlineStr">
        <is>
          <t>Developer of cloud-based computer networking technology designed to virtualize Wide Area Networks. The company's cloud-based computer networking technology focuses on developing simplified, virtualized networks that are centrally managed with Software-Defined Wide Area Network (SD-WAN) technology that virtualizes WAN infrastructure, enabling companies to build carrier agnostic, policy-controlled and cost-effective WANs.</t>
        </is>
      </c>
      <c r="S588" s="48" t="inlineStr">
        <is>
          <t>San Jose, CA</t>
        </is>
      </c>
      <c r="T588" s="49" t="inlineStr">
        <is>
          <t>www.viptela.com</t>
        </is>
      </c>
      <c r="U588" s="132">
        <f>HYPERLINK("https://my.pitchbook.com?c=57431-44", "View company online")</f>
      </c>
    </row>
    <row r="589">
      <c r="A589" s="9" t="inlineStr">
        <is>
          <t>102837-16</t>
        </is>
      </c>
      <c r="B589" s="10" t="inlineStr">
        <is>
          <t>VIPStore</t>
        </is>
      </c>
      <c r="C589" s="11" t="n">
        <v>0.05</v>
      </c>
      <c r="D589" s="12" t="inlineStr">
        <is>
          <t/>
        </is>
      </c>
      <c r="E589" s="13" t="inlineStr">
        <is>
          <t/>
        </is>
      </c>
      <c r="F589" s="14" t="n">
        <v>41052.0</v>
      </c>
      <c r="G589" s="15" t="inlineStr">
        <is>
          <t>Later Stage VC</t>
        </is>
      </c>
      <c r="H589" s="16" t="inlineStr">
        <is>
          <t/>
        </is>
      </c>
      <c r="I589" s="17" t="n">
        <v>15.0</v>
      </c>
      <c r="J589" s="18" t="inlineStr">
        <is>
          <t/>
        </is>
      </c>
      <c r="K589" s="19" t="inlineStr">
        <is>
          <t>Completed</t>
        </is>
      </c>
      <c r="L589" s="20" t="inlineStr">
        <is>
          <t>Privately Held (backing)</t>
        </is>
      </c>
      <c r="M589" s="21" t="inlineStr">
        <is>
          <t>Venture Capital-Backed</t>
        </is>
      </c>
      <c r="N589" s="22" t="inlineStr">
        <is>
          <t>The company raised $15 million of venture funding from Intel Capital, Mountain Partners and Macy’s on May 23, 2012.</t>
        </is>
      </c>
      <c r="O589" s="23" t="inlineStr">
        <is>
          <t>Ez Capital Funding, Green Pine Capital Partners, GSR Ventures, HGI Capital, Intel Capital, Litian Investment, Macy's, Moraun Investments, Mountain Partners, Omnis Mundi, Taishan Invest AG, The Chinese Founders Fund</t>
        </is>
      </c>
      <c r="P589" s="24" t="inlineStr">
        <is>
          <t/>
        </is>
      </c>
      <c r="Q589" s="25" t="inlineStr">
        <is>
          <t>Luxury Goods</t>
        </is>
      </c>
      <c r="R589" s="26" t="inlineStr">
        <is>
          <t>Provider of an online platform for retail of global luxury brands in China. The company provides offers on apparel and accessories including clothes, shoes, bags, watches, cosmetics, food and luxury tourism.</t>
        </is>
      </c>
      <c r="S589" s="27" t="inlineStr">
        <is>
          <t>Beijing, China</t>
        </is>
      </c>
      <c r="T589" s="28" t="inlineStr">
        <is>
          <t>www.jiapin.com</t>
        </is>
      </c>
      <c r="U589" s="131">
        <f>HYPERLINK("https://my.pitchbook.com?c=102837-16", "View company online")</f>
      </c>
    </row>
    <row r="590">
      <c r="A590" s="30" t="inlineStr">
        <is>
          <t>12761-29</t>
        </is>
      </c>
      <c r="B590" s="31" t="inlineStr">
        <is>
          <t>ViOptix</t>
        </is>
      </c>
      <c r="C590" s="32" t="inlineStr">
        <is>
          <t/>
        </is>
      </c>
      <c r="D590" s="33" t="n">
        <v>0.0</v>
      </c>
      <c r="E590" s="34" t="n">
        <v>0.5485792956868859</v>
      </c>
      <c r="F590" s="35" t="n">
        <v>40999.0</v>
      </c>
      <c r="G590" s="36" t="inlineStr">
        <is>
          <t>Debt - General</t>
        </is>
      </c>
      <c r="H590" s="37" t="inlineStr">
        <is>
          <t/>
        </is>
      </c>
      <c r="I590" s="38" t="n">
        <v>0.17</v>
      </c>
      <c r="J590" s="39" t="inlineStr">
        <is>
          <t/>
        </is>
      </c>
      <c r="K590" s="40" t="inlineStr">
        <is>
          <t>Completed</t>
        </is>
      </c>
      <c r="L590" s="41" t="inlineStr">
        <is>
          <t>Privately Held (backing)</t>
        </is>
      </c>
      <c r="M590" s="42" t="inlineStr">
        <is>
          <t>Venture Capital-Backed</t>
        </is>
      </c>
      <c r="N590" s="43" t="inlineStr">
        <is>
          <t>The company received $170,000 of debt financing from Horizon Technology Finance on March 31, 2012. Previously, the company raised $3 million of Series E venture funding from DowsLake Venture and other undisclosed investors on February 14, 2011.</t>
        </is>
      </c>
      <c r="O590" s="44" t="inlineStr">
        <is>
          <t>Channel Medical Partners, DowsLake Venture, Evertop International, GrowthWorks, Horizon Technology Finance, Kummell Investments, Lincoln Capital Partners, Lumira Capital, Morningside Group, Trident Capital, Vivo Capital</t>
        </is>
      </c>
      <c r="P590" s="45" t="inlineStr">
        <is>
          <t/>
        </is>
      </c>
      <c r="Q590" s="46" t="inlineStr">
        <is>
          <t>Monitoring Equipment</t>
        </is>
      </c>
      <c r="R590" s="47" t="inlineStr">
        <is>
          <t>Developer of medical devices designed to measure oxygen saturation levels in tissues. The company's medical devices measure tissue oxygen saturation post-operatively in real time during pre-op baseline assessment, intra-operative mapping and post-op ICU monitoring, enabling patient to have improved surgical outcomes.</t>
        </is>
      </c>
      <c r="S590" s="48" t="inlineStr">
        <is>
          <t>Newark, CA</t>
        </is>
      </c>
      <c r="T590" s="49" t="inlineStr">
        <is>
          <t>www.vioptix.com</t>
        </is>
      </c>
      <c r="U590" s="132">
        <f>HYPERLINK("https://my.pitchbook.com?c=12761-29", "View company online")</f>
      </c>
    </row>
    <row r="591">
      <c r="A591" s="9" t="inlineStr">
        <is>
          <t>60205-60</t>
        </is>
      </c>
      <c r="B591" s="10" t="inlineStr">
        <is>
          <t>Vioozer</t>
        </is>
      </c>
      <c r="C591" s="11" t="inlineStr">
        <is>
          <t/>
        </is>
      </c>
      <c r="D591" s="12" t="n">
        <v>-0.007554586450834934</v>
      </c>
      <c r="E591" s="13" t="n">
        <v>1.8260700035755308</v>
      </c>
      <c r="F591" s="14" t="n">
        <v>42594.0</v>
      </c>
      <c r="G591" s="15" t="inlineStr">
        <is>
          <t>Convertible Debt</t>
        </is>
      </c>
      <c r="H591" s="16" t="inlineStr">
        <is>
          <t/>
        </is>
      </c>
      <c r="I591" s="17" t="n">
        <v>0.82</v>
      </c>
      <c r="J591" s="18" t="inlineStr">
        <is>
          <t/>
        </is>
      </c>
      <c r="K591" s="19" t="inlineStr">
        <is>
          <t>Completed</t>
        </is>
      </c>
      <c r="L591" s="20" t="inlineStr">
        <is>
          <t>Privately Held (backing)</t>
        </is>
      </c>
      <c r="M591" s="21" t="inlineStr">
        <is>
          <t>Venture Capital-Backed</t>
        </is>
      </c>
      <c r="N591" s="22" t="inlineStr">
        <is>
          <t>The company raised $790,000 of bridge financing from undisclosed investors on February 25, 2016. Previously the company joined Investomex on an undisclosed date. The company is being actively tracked by PitchBook.</t>
        </is>
      </c>
      <c r="O591" s="23" t="inlineStr">
        <is>
          <t>Avalancha Ventures, Bobby Yazdani, Investo, Plug and Play Tech Center, Signatures Capital, Visionnaire Ventures</t>
        </is>
      </c>
      <c r="P591" s="24" t="inlineStr">
        <is>
          <t/>
        </is>
      </c>
      <c r="Q591" s="25" t="inlineStr">
        <is>
          <t>Social/Platform Software</t>
        </is>
      </c>
      <c r="R591" s="26" t="inlineStr">
        <is>
          <t>Provider of a location-based platform for mobile and web users. The company offers a location based crowd-sourcing mobile service that enables users to connect anonymously with a fellow user at the desired location, and receive up-to-date information from any location by matching their search request.</t>
        </is>
      </c>
      <c r="S591" s="27" t="inlineStr">
        <is>
          <t>Santa Cruz, CA</t>
        </is>
      </c>
      <c r="T591" s="28" t="inlineStr">
        <is>
          <t>www.vioozer.com</t>
        </is>
      </c>
      <c r="U591" s="131">
        <f>HYPERLINK("https://my.pitchbook.com?c=60205-60", "View company online")</f>
      </c>
    </row>
    <row r="592">
      <c r="A592" s="30" t="inlineStr">
        <is>
          <t>60919-66</t>
        </is>
      </c>
      <c r="B592" s="31" t="inlineStr">
        <is>
          <t>Violet Grey</t>
        </is>
      </c>
      <c r="C592" s="32" t="inlineStr">
        <is>
          <t/>
        </is>
      </c>
      <c r="D592" s="33" t="n">
        <v>0.12015573940706588</v>
      </c>
      <c r="E592" s="34" t="n">
        <v>40.26064142361121</v>
      </c>
      <c r="F592" s="35" t="n">
        <v>42612.0</v>
      </c>
      <c r="G592" s="36" t="inlineStr">
        <is>
          <t>Early Stage VC</t>
        </is>
      </c>
      <c r="H592" s="37" t="inlineStr">
        <is>
          <t>Series B</t>
        </is>
      </c>
      <c r="I592" s="38" t="n">
        <v>12.86</v>
      </c>
      <c r="J592" s="39" t="n">
        <v>58.45</v>
      </c>
      <c r="K592" s="40" t="inlineStr">
        <is>
          <t>Completed</t>
        </is>
      </c>
      <c r="L592" s="41" t="inlineStr">
        <is>
          <t>Privately Held (backing)</t>
        </is>
      </c>
      <c r="M592" s="42" t="inlineStr">
        <is>
          <t>Venture Capital-Backed</t>
        </is>
      </c>
      <c r="N592" s="43" t="inlineStr">
        <is>
          <t>The company raised $12.86 million of Series B venture funding from Beechwood Capital, Marker and other undisclosed investors on August 30, 2016, putting the company's pre-money valuation at $45.59 million.</t>
        </is>
      </c>
      <c r="O592" s="44" t="inlineStr">
        <is>
          <t>Beechwood Capital, Lerer Hippeau Ventures, Marker, MDC Dream Ventures, Red Sea Ventures, SV Angel, ZhenFund</t>
        </is>
      </c>
      <c r="P592" s="45" t="inlineStr">
        <is>
          <t/>
        </is>
      </c>
      <c r="Q592" s="46" t="inlineStr">
        <is>
          <t>Internet Retail</t>
        </is>
      </c>
      <c r="R592" s="47" t="inlineStr">
        <is>
          <t>Provider of an online marketplace deigned to sell beauty care products. The company's online marketplace offer makeup products that include cleansers, toners, eye care products, body treatment products, sun care products and makeup removers, enabling consumers to purchase beauty care products through physical store and online.</t>
        </is>
      </c>
      <c r="S592" s="48" t="inlineStr">
        <is>
          <t>West Hollywood, CA</t>
        </is>
      </c>
      <c r="T592" s="49" t="inlineStr">
        <is>
          <t>www.violetgrey.com</t>
        </is>
      </c>
      <c r="U592" s="132">
        <f>HYPERLINK("https://my.pitchbook.com?c=60919-66", "View company online")</f>
      </c>
    </row>
    <row r="593">
      <c r="A593" s="9" t="inlineStr">
        <is>
          <t>180991-99</t>
        </is>
      </c>
      <c r="B593" s="10" t="inlineStr">
        <is>
          <t>Vintra</t>
        </is>
      </c>
      <c r="C593" s="11" t="inlineStr">
        <is>
          <t/>
        </is>
      </c>
      <c r="D593" s="12" t="inlineStr">
        <is>
          <t/>
        </is>
      </c>
      <c r="E593" s="13" t="inlineStr">
        <is>
          <t/>
        </is>
      </c>
      <c r="F593" s="14" t="inlineStr">
        <is>
          <t/>
        </is>
      </c>
      <c r="G593" s="15" t="inlineStr">
        <is>
          <t>Early Stage VC</t>
        </is>
      </c>
      <c r="H593" s="16" t="inlineStr">
        <is>
          <t/>
        </is>
      </c>
      <c r="I593" s="17" t="inlineStr">
        <is>
          <t/>
        </is>
      </c>
      <c r="J593" s="18" t="inlineStr">
        <is>
          <t/>
        </is>
      </c>
      <c r="K593" s="19" t="inlineStr">
        <is>
          <t>Completed</t>
        </is>
      </c>
      <c r="L593" s="20" t="inlineStr">
        <is>
          <t>Privately Held (backing)</t>
        </is>
      </c>
      <c r="M593" s="21" t="inlineStr">
        <is>
          <t>Venture Capital-Backed</t>
        </is>
      </c>
      <c r="N593" s="22" t="inlineStr">
        <is>
          <t>The company raised venture funding from London Venture Partners on an undisclosed date</t>
        </is>
      </c>
      <c r="O593" s="23" t="inlineStr">
        <is>
          <t>London Venture Partners</t>
        </is>
      </c>
      <c r="P593" s="24" t="inlineStr">
        <is>
          <t/>
        </is>
      </c>
      <c r="Q593" s="25" t="inlineStr">
        <is>
          <t>Application Software</t>
        </is>
      </c>
      <c r="R593" s="26" t="inlineStr">
        <is>
          <t>Developer of an artificial intelligence software created to conduct effortless, smart and accurate investigative reviews of digital video. The company's artificial intelligence software understands nearly any video visual needles in digital haystacks , locates specific vehicles, people and key objects, enabling users van leverage video to solve crimes, save lives and secure assets.</t>
        </is>
      </c>
      <c r="S593" s="27" t="inlineStr">
        <is>
          <t>San Jose, CA</t>
        </is>
      </c>
      <c r="T593" s="28" t="inlineStr">
        <is>
          <t>www.vintra.io</t>
        </is>
      </c>
      <c r="U593" s="131">
        <f>HYPERLINK("https://my.pitchbook.com?c=180991-99", "View company online")</f>
      </c>
    </row>
    <row r="594">
      <c r="A594" s="30" t="inlineStr">
        <is>
          <t>61260-49</t>
        </is>
      </c>
      <c r="B594" s="31" t="inlineStr">
        <is>
          <t>Vint</t>
        </is>
      </c>
      <c r="C594" s="32" t="inlineStr">
        <is>
          <t/>
        </is>
      </c>
      <c r="D594" s="33" t="n">
        <v>0.15273978180061037</v>
      </c>
      <c r="E594" s="34" t="n">
        <v>3.358873741095554</v>
      </c>
      <c r="F594" s="35" t="n">
        <v>42429.0</v>
      </c>
      <c r="G594" s="36" t="inlineStr">
        <is>
          <t>Secondary Transaction - Private</t>
        </is>
      </c>
      <c r="H594" s="37" t="inlineStr">
        <is>
          <t/>
        </is>
      </c>
      <c r="I594" s="38" t="inlineStr">
        <is>
          <t/>
        </is>
      </c>
      <c r="J594" s="39" t="inlineStr">
        <is>
          <t/>
        </is>
      </c>
      <c r="K594" s="40" t="inlineStr">
        <is>
          <t>Completed</t>
        </is>
      </c>
      <c r="L594" s="41" t="inlineStr">
        <is>
          <t>Privately Held (backing)</t>
        </is>
      </c>
      <c r="M594" s="42" t="inlineStr">
        <is>
          <t>Venture Capital-Backed</t>
        </is>
      </c>
      <c r="N594" s="43" t="inlineStr">
        <is>
          <t>An undisclosed investor sold its stake in the company to DN Capital on February 29, 2016.</t>
        </is>
      </c>
      <c r="O594" s="44" t="inlineStr">
        <is>
          <t>500 Startups, Bryan Johnson, Creandum, David Giampaolo, DN Capital, Edastra Venture Capital, GP Bullhound, Hampus Jakobsson, Kima Ventures, Richard Båge</t>
        </is>
      </c>
      <c r="P594" s="45" t="inlineStr">
        <is>
          <t/>
        </is>
      </c>
      <c r="Q594" s="46" t="inlineStr">
        <is>
          <t>Application Software</t>
        </is>
      </c>
      <c r="R594" s="47" t="inlineStr">
        <is>
          <t>Developer of an on-demand personal fitness application designed to makes it easy for gyms and trainers to connect with their clients. The company's software allows gyms and fitness centers to get their own branded mobile application that handles all the tasks including online bookings, direct payments, direct communication amongst clients and smart marketing tools, enabling them to save time and money by setting up automated tasks as well as build loyalty and recognition by offering a tailored user experience.</t>
        </is>
      </c>
      <c r="S594" s="48" t="inlineStr">
        <is>
          <t>San Francisco, CA</t>
        </is>
      </c>
      <c r="T594" s="49" t="inlineStr">
        <is>
          <t>www.joinvint.com</t>
        </is>
      </c>
      <c r="U594" s="132">
        <f>HYPERLINK("https://my.pitchbook.com?c=61260-49", "View company online")</f>
      </c>
    </row>
    <row r="595">
      <c r="A595" s="9" t="inlineStr">
        <is>
          <t>114170-50</t>
        </is>
      </c>
      <c r="B595" s="10" t="inlineStr">
        <is>
          <t>VinSense</t>
        </is>
      </c>
      <c r="C595" s="11" t="inlineStr">
        <is>
          <t/>
        </is>
      </c>
      <c r="D595" s="12" t="n">
        <v>0.0</v>
      </c>
      <c r="E595" s="13" t="n">
        <v>0.5675675675675675</v>
      </c>
      <c r="F595" s="14" t="inlineStr">
        <is>
          <t/>
        </is>
      </c>
      <c r="G595" s="15" t="inlineStr">
        <is>
          <t>Early Stage VC</t>
        </is>
      </c>
      <c r="H595" s="16" t="inlineStr">
        <is>
          <t/>
        </is>
      </c>
      <c r="I595" s="17" t="inlineStr">
        <is>
          <t/>
        </is>
      </c>
      <c r="J595" s="18" t="inlineStr">
        <is>
          <t/>
        </is>
      </c>
      <c r="K595" s="19" t="inlineStr">
        <is>
          <t>Upcoming</t>
        </is>
      </c>
      <c r="L595" s="20" t="inlineStr">
        <is>
          <t>Privately Held (backing)</t>
        </is>
      </c>
      <c r="M595" s="21" t="inlineStr">
        <is>
          <t>Venture Capital-Backed</t>
        </is>
      </c>
      <c r="N595" s="22" t="inlineStr">
        <is>
          <t>The company is planning to raise venture funding from undisclosed investors on January 27, 2017. The company is being actively tracked by PitchBook.</t>
        </is>
      </c>
      <c r="O595" s="23" t="inlineStr">
        <is>
          <t>Elevate Ventures, Purdue Foundry</t>
        </is>
      </c>
      <c r="P595" s="24" t="inlineStr">
        <is>
          <t/>
        </is>
      </c>
      <c r="Q595" s="25" t="inlineStr">
        <is>
          <t>Business/Productivity Software</t>
        </is>
      </c>
      <c r="R595" s="26" t="inlineStr">
        <is>
          <t>Developer of a software for crop management designed to enhance crop uniformity and increase crop volume. The company's crop management software helps to improve crop management using soil sensors, enabling producers, field managers and winemakers to manage soil moisture, pruning, irrigation, canopy management and water conservation.</t>
        </is>
      </c>
      <c r="S595" s="27" t="inlineStr">
        <is>
          <t>Lafayette, IN</t>
        </is>
      </c>
      <c r="T595" s="28" t="inlineStr">
        <is>
          <t>www.vinsense.net</t>
        </is>
      </c>
      <c r="U595" s="131">
        <f>HYPERLINK("https://my.pitchbook.com?c=114170-50", "View company online")</f>
      </c>
    </row>
    <row r="596">
      <c r="A596" s="30" t="inlineStr">
        <is>
          <t>56924-02</t>
        </is>
      </c>
      <c r="B596" s="31" t="inlineStr">
        <is>
          <t>Vinja</t>
        </is>
      </c>
      <c r="C596" s="32" t="inlineStr">
        <is>
          <t/>
        </is>
      </c>
      <c r="D596" s="33" t="n">
        <v>-0.01976053825102095</v>
      </c>
      <c r="E596" s="34" t="n">
        <v>1.713983430214086</v>
      </c>
      <c r="F596" s="35" t="n">
        <v>41808.0</v>
      </c>
      <c r="G596" s="36" t="inlineStr">
        <is>
          <t>Early Stage VC</t>
        </is>
      </c>
      <c r="H596" s="37" t="inlineStr">
        <is>
          <t>Series A</t>
        </is>
      </c>
      <c r="I596" s="38" t="n">
        <v>1.1</v>
      </c>
      <c r="J596" s="39" t="n">
        <v>3.67</v>
      </c>
      <c r="K596" s="40" t="inlineStr">
        <is>
          <t>Completed</t>
        </is>
      </c>
      <c r="L596" s="41" t="inlineStr">
        <is>
          <t>Privately Held (backing)</t>
        </is>
      </c>
      <c r="M596" s="42" t="inlineStr">
        <is>
          <t>Venture Capital-Backed</t>
        </is>
      </c>
      <c r="N596" s="43" t="inlineStr">
        <is>
          <t>The company raised $1.1 million of Series A venture funding from undisclosed investors on June 18, 2014, putting the company's pre-money valuation at $2.57 million.</t>
        </is>
      </c>
      <c r="O596" s="44" t="inlineStr">
        <is>
          <t/>
        </is>
      </c>
      <c r="P596" s="45" t="inlineStr">
        <is>
          <t/>
        </is>
      </c>
      <c r="Q596" s="46" t="inlineStr">
        <is>
          <t>Information Services (B2C)</t>
        </is>
      </c>
      <c r="R596" s="47" t="inlineStr">
        <is>
          <t>Provider of interactive video content services. The company offers software that enables content creators and distributors to design and manage interactive video engagements.</t>
        </is>
      </c>
      <c r="S596" s="48" t="inlineStr">
        <is>
          <t>San Mateo, CA</t>
        </is>
      </c>
      <c r="T596" s="49" t="inlineStr">
        <is>
          <t>www.vinjavideo.com</t>
        </is>
      </c>
      <c r="U596" s="132">
        <f>HYPERLINK("https://my.pitchbook.com?c=56924-02", "View company online")</f>
      </c>
    </row>
    <row r="597">
      <c r="A597" s="9" t="inlineStr">
        <is>
          <t>55351-54</t>
        </is>
      </c>
      <c r="B597" s="10" t="inlineStr">
        <is>
          <t>Vinfolio</t>
        </is>
      </c>
      <c r="C597" s="11" t="inlineStr">
        <is>
          <t/>
        </is>
      </c>
      <c r="D597" s="12" t="n">
        <v>1.2552262413540394</v>
      </c>
      <c r="E597" s="13" t="n">
        <v>23.625706214689266</v>
      </c>
      <c r="F597" s="14" t="n">
        <v>40323.0</v>
      </c>
      <c r="G597" s="15" t="inlineStr">
        <is>
          <t>Later Stage VC</t>
        </is>
      </c>
      <c r="H597" s="16" t="inlineStr">
        <is>
          <t/>
        </is>
      </c>
      <c r="I597" s="17" t="inlineStr">
        <is>
          <t/>
        </is>
      </c>
      <c r="J597" s="18" t="inlineStr">
        <is>
          <t/>
        </is>
      </c>
      <c r="K597" s="19" t="inlineStr">
        <is>
          <t>Completed</t>
        </is>
      </c>
      <c r="L597" s="20" t="inlineStr">
        <is>
          <t>Privately Held (backing)</t>
        </is>
      </c>
      <c r="M597" s="21" t="inlineStr">
        <is>
          <t>Venture Capital-Backed</t>
        </is>
      </c>
      <c r="N597" s="22" t="inlineStr">
        <is>
          <t>The company raised undisclosed amount of venture funding from Revolution Growth on May 25, 2010. Steve Case also participated in this round.</t>
        </is>
      </c>
      <c r="O597" s="23" t="inlineStr">
        <is>
          <t>Individual Investor, Panorama Capital, Revolution, Stephen Case</t>
        </is>
      </c>
      <c r="P597" s="24" t="inlineStr">
        <is>
          <t/>
        </is>
      </c>
      <c r="Q597" s="25" t="inlineStr">
        <is>
          <t>Beverages</t>
        </is>
      </c>
      <c r="R597" s="26" t="inlineStr">
        <is>
          <t>Retailer of an online fine wine and services to wine collectors and enthusiasts. The company provide buying and selling of fine wine and services to its wine buying, selling and storage customers.</t>
        </is>
      </c>
      <c r="S597" s="27" t="inlineStr">
        <is>
          <t>San Francisco, CA</t>
        </is>
      </c>
      <c r="T597" s="28" t="inlineStr">
        <is>
          <t>www.vinfolio.com</t>
        </is>
      </c>
      <c r="U597" s="131">
        <f>HYPERLINK("https://my.pitchbook.com?c=55351-54", "View company online")</f>
      </c>
    </row>
    <row r="598">
      <c r="A598" s="30" t="inlineStr">
        <is>
          <t>155875-87</t>
        </is>
      </c>
      <c r="B598" s="31" t="inlineStr">
        <is>
          <t>Vinebox</t>
        </is>
      </c>
      <c r="C598" s="32" t="inlineStr">
        <is>
          <t/>
        </is>
      </c>
      <c r="D598" s="33" t="n">
        <v>1.4952321745188024</v>
      </c>
      <c r="E598" s="34" t="n">
        <v>10.528937469947047</v>
      </c>
      <c r="F598" s="35" t="n">
        <v>42509.0</v>
      </c>
      <c r="G598" s="36" t="inlineStr">
        <is>
          <t>Early Stage VC</t>
        </is>
      </c>
      <c r="H598" s="37" t="inlineStr">
        <is>
          <t/>
        </is>
      </c>
      <c r="I598" s="38" t="inlineStr">
        <is>
          <t/>
        </is>
      </c>
      <c r="J598" s="39" t="inlineStr">
        <is>
          <t/>
        </is>
      </c>
      <c r="K598" s="40" t="inlineStr">
        <is>
          <t>Completed</t>
        </is>
      </c>
      <c r="L598" s="41" t="inlineStr">
        <is>
          <t>Privately Held (backing)</t>
        </is>
      </c>
      <c r="M598" s="42" t="inlineStr">
        <is>
          <t>Venture Capital-Backed</t>
        </is>
      </c>
      <c r="N598" s="43" t="inlineStr">
        <is>
          <t>The company raised an undisclosed amount of venture funding from Olga Maslihova, Altair and TMT Investments on May 19, 2016. Previously the company graduated from Y Combinator as part of its Winter 2016 Class and received $120,000 in funding on March 23, 2016.</t>
        </is>
      </c>
      <c r="O598" s="44" t="inlineStr">
        <is>
          <t>Altair Capital, Olga Maslihova, TMT Investments, Y Combinator</t>
        </is>
      </c>
      <c r="P598" s="45" t="inlineStr">
        <is>
          <t/>
        </is>
      </c>
      <c r="Q598" s="46" t="inlineStr">
        <is>
          <t>Beverages</t>
        </is>
      </c>
      <c r="R598" s="47" t="inlineStr">
        <is>
          <t>Provider of wine subscription service. The company offers a monthly subscription based wine discovery service where users receive three different wine flavors to try from.</t>
        </is>
      </c>
      <c r="S598" s="48" t="inlineStr">
        <is>
          <t>San Francisco, CA</t>
        </is>
      </c>
      <c r="T598" s="49" t="inlineStr">
        <is>
          <t>www.getvinebox.com</t>
        </is>
      </c>
      <c r="U598" s="132">
        <f>HYPERLINK("https://my.pitchbook.com?c=155875-87", "View company online")</f>
      </c>
    </row>
    <row r="599">
      <c r="A599" s="9" t="inlineStr">
        <is>
          <t>121588-48</t>
        </is>
      </c>
      <c r="B599" s="10" t="inlineStr">
        <is>
          <t>VINA</t>
        </is>
      </c>
      <c r="C599" s="11" t="inlineStr">
        <is>
          <t/>
        </is>
      </c>
      <c r="D599" s="12" t="n">
        <v>0.14056736688960778</v>
      </c>
      <c r="E599" s="13" t="n">
        <v>6.063361197812192</v>
      </c>
      <c r="F599" s="14" t="n">
        <v>42558.0</v>
      </c>
      <c r="G599" s="15" t="inlineStr">
        <is>
          <t>Seed Round</t>
        </is>
      </c>
      <c r="H599" s="16" t="inlineStr">
        <is>
          <t>Seed</t>
        </is>
      </c>
      <c r="I599" s="17" t="n">
        <v>1.5</v>
      </c>
      <c r="J599" s="18" t="n">
        <v>9.5</v>
      </c>
      <c r="K599" s="19" t="inlineStr">
        <is>
          <t>Completed</t>
        </is>
      </c>
      <c r="L599" s="20" t="inlineStr">
        <is>
          <t>Privately Held (backing)</t>
        </is>
      </c>
      <c r="M599" s="21" t="inlineStr">
        <is>
          <t>Venture Capital-Backed</t>
        </is>
      </c>
      <c r="N599" s="22" t="inlineStr">
        <is>
          <t>The company raised $1.5 million of Seed funding in a round led by New Enterprise Associates on July 7, 2016. Wildcat Venture Partners, Greylock Partners, Aventura VC, Charlie Cheever, Jon Vlassopulos, Tinder and Oscar Stiffelman also participated in this round. The company will use the funding to expand globally and bring more people to the platform, as well as add additional features such as better filtering and custom matching. Previously, the company raised $90,000 of funding via SAFE Notes from Jon Vlassopulos, Charlie Cheever, and Oscar Stiffelman on an undisclosed date.</t>
        </is>
      </c>
      <c r="O599" s="23" t="inlineStr">
        <is>
          <t>Aventura VC, Charles Cheever, Greylock Partners, Jon Vlassopulos, New Enterprise Associates, Oscar Stiffelman, Tinder, Wildcat Venture Partners</t>
        </is>
      </c>
      <c r="P599" s="24" t="inlineStr">
        <is>
          <t/>
        </is>
      </c>
      <c r="Q599" s="25" t="inlineStr">
        <is>
          <t>Application Software</t>
        </is>
      </c>
      <c r="R599" s="26" t="inlineStr">
        <is>
          <t>Provider of a social network platform for women. The company provides a social networking service for friendship, "Hey! VINA", a platform to encourage women to share their achievements, "LadyBrag.com", and an women's empowerment media outlet, "VINAZINE.com".</t>
        </is>
      </c>
      <c r="S599" s="27" t="inlineStr">
        <is>
          <t>San Francisco, CA</t>
        </is>
      </c>
      <c r="T599" s="28" t="inlineStr">
        <is>
          <t>www.vina.io</t>
        </is>
      </c>
      <c r="U599" s="131">
        <f>HYPERLINK("https://my.pitchbook.com?c=121588-48", "View company online")</f>
      </c>
    </row>
    <row r="600">
      <c r="A600" s="30" t="inlineStr">
        <is>
          <t>111100-06</t>
        </is>
      </c>
      <c r="B600" s="31" t="inlineStr">
        <is>
          <t>VIMOC Technologies</t>
        </is>
      </c>
      <c r="C600" s="32" t="inlineStr">
        <is>
          <t/>
        </is>
      </c>
      <c r="D600" s="33" t="n">
        <v>0.4433679584503301</v>
      </c>
      <c r="E600" s="34" t="n">
        <v>0.5</v>
      </c>
      <c r="F600" s="35" t="n">
        <v>42408.0</v>
      </c>
      <c r="G600" s="36" t="inlineStr">
        <is>
          <t>Seed Round</t>
        </is>
      </c>
      <c r="H600" s="37" t="inlineStr">
        <is>
          <t>Seed</t>
        </is>
      </c>
      <c r="I600" s="38" t="n">
        <v>2.4</v>
      </c>
      <c r="J600" s="39" t="n">
        <v>10.8</v>
      </c>
      <c r="K600" s="40" t="inlineStr">
        <is>
          <t>Completed</t>
        </is>
      </c>
      <c r="L600" s="41" t="inlineStr">
        <is>
          <t>Privately Held (backing)</t>
        </is>
      </c>
      <c r="M600" s="42" t="inlineStr">
        <is>
          <t>Venture Capital-Backed</t>
        </is>
      </c>
      <c r="N600" s="43" t="inlineStr">
        <is>
          <t>The company raised $2.4 million of seed funding in a deal led by Morado Venture Partners on February 8, 2016, putting the company's pre-money valuation at $8.39 million. Hunter Angels, Flextronics Lab IX, ET Capital Partners, Ted Lachowicz, Eugene Rosenfeld and Glenn Turner also participated. The funding will help the company meet existing demand for products and services as well as the expansion of product offerings for "Smart City" infrastructure and services.</t>
        </is>
      </c>
      <c r="O600" s="44" t="inlineStr">
        <is>
          <t>Alex Panelli, ET Capital Partners, Eugene Rosenfeld, Flextronics Lab IX, Gary Bronner, Glenn Turner, Hunter Angels, Morado Venture Partners, Richard Page, Ted Lachowicz</t>
        </is>
      </c>
      <c r="P600" s="45" t="inlineStr">
        <is>
          <t/>
        </is>
      </c>
      <c r="Q600" s="46" t="inlineStr">
        <is>
          <t>Network Management Software</t>
        </is>
      </c>
      <c r="R600" s="47" t="inlineStr">
        <is>
          <t>Provider of a landscape computing platform. The company offers a network of low power, connected computing engines forming an innovative distributed computing network to support real-time actionable analytics, processing, cooperation and data mining.</t>
        </is>
      </c>
      <c r="S600" s="48" t="inlineStr">
        <is>
          <t>Mountain View, CA</t>
        </is>
      </c>
      <c r="T600" s="49" t="inlineStr">
        <is>
          <t>www.vimoc.com</t>
        </is>
      </c>
      <c r="U600" s="132">
        <f>HYPERLINK("https://my.pitchbook.com?c=111100-06", "View company online")</f>
      </c>
    </row>
    <row r="601">
      <c r="A601" s="9" t="inlineStr">
        <is>
          <t>160214-41</t>
        </is>
      </c>
      <c r="B601" s="10" t="inlineStr">
        <is>
          <t>Vimo Labs</t>
        </is>
      </c>
      <c r="C601" s="11" t="inlineStr">
        <is>
          <t/>
        </is>
      </c>
      <c r="D601" s="12" t="n">
        <v>-0.04060313615995775</v>
      </c>
      <c r="E601" s="13" t="n">
        <v>4.1618187405217615</v>
      </c>
      <c r="F601" s="14" t="n">
        <v>42064.0</v>
      </c>
      <c r="G601" s="15" t="inlineStr">
        <is>
          <t>Seed Round</t>
        </is>
      </c>
      <c r="H601" s="16" t="inlineStr">
        <is>
          <t>Seed</t>
        </is>
      </c>
      <c r="I601" s="17" t="n">
        <v>1.0</v>
      </c>
      <c r="J601" s="18" t="inlineStr">
        <is>
          <t/>
        </is>
      </c>
      <c r="K601" s="19" t="inlineStr">
        <is>
          <t>Completed</t>
        </is>
      </c>
      <c r="L601" s="20" t="inlineStr">
        <is>
          <t>Privately Held (backing)</t>
        </is>
      </c>
      <c r="M601" s="21" t="inlineStr">
        <is>
          <t>Venture Capital-Backed</t>
        </is>
      </c>
      <c r="N601" s="22" t="inlineStr">
        <is>
          <t>The company raised $1 million of seed funding from iSeed Ventures, LeBox Capital and PreAngel on March 1, 2015.</t>
        </is>
      </c>
      <c r="O601" s="23" t="inlineStr">
        <is>
          <t>iSeed Ventures, LeBox Capital, PreAngel</t>
        </is>
      </c>
      <c r="P601" s="24" t="inlineStr">
        <is>
          <t/>
        </is>
      </c>
      <c r="Q601" s="25" t="inlineStr">
        <is>
          <t>Application Software</t>
        </is>
      </c>
      <c r="R601" s="26" t="inlineStr">
        <is>
          <t>Developer of mobile applications that track human movement. The company has developed a smartwatch application that automatically identifies exercise, counts your repetitions and tracks calories burned using the built-in smartwatch sensors.</t>
        </is>
      </c>
      <c r="S601" s="27" t="inlineStr">
        <is>
          <t>Mountain View, CA</t>
        </is>
      </c>
      <c r="T601" s="28" t="inlineStr">
        <is>
          <t>trackmy.fit</t>
        </is>
      </c>
      <c r="U601" s="131">
        <f>HYPERLINK("https://my.pitchbook.com?c=160214-41", "View company online")</f>
      </c>
    </row>
    <row r="602">
      <c r="A602" s="30" t="inlineStr">
        <is>
          <t>40848-04</t>
        </is>
      </c>
      <c r="B602" s="31" t="inlineStr">
        <is>
          <t>Vimo</t>
        </is>
      </c>
      <c r="C602" s="32" t="inlineStr">
        <is>
          <t/>
        </is>
      </c>
      <c r="D602" s="33" t="n">
        <v>-0.9159264065639663</v>
      </c>
      <c r="E602" s="34" t="n">
        <v>7.254530206593582</v>
      </c>
      <c r="F602" s="35" t="n">
        <v>42055.0</v>
      </c>
      <c r="G602" s="36" t="inlineStr">
        <is>
          <t>Later Stage VC</t>
        </is>
      </c>
      <c r="H602" s="37" t="inlineStr">
        <is>
          <t>Series F</t>
        </is>
      </c>
      <c r="I602" s="38" t="n">
        <v>26.45</v>
      </c>
      <c r="J602" s="39" t="n">
        <v>248.66</v>
      </c>
      <c r="K602" s="40" t="inlineStr">
        <is>
          <t>Completed</t>
        </is>
      </c>
      <c r="L602" s="41" t="inlineStr">
        <is>
          <t>Privately Held (backing)</t>
        </is>
      </c>
      <c r="M602" s="42" t="inlineStr">
        <is>
          <t>Venture Capital-Backed</t>
        </is>
      </c>
      <c r="N602" s="43" t="inlineStr">
        <is>
          <t>The company raised $26.45 million of Series F venture funding from an undisclosed investor on February 20, 2015, putting the pre-money valuation at $222.21 million. Nat Turner also participated in this round.</t>
        </is>
      </c>
      <c r="O602" s="44" t="inlineStr">
        <is>
          <t>Bessemer Venture Partners, Nathaniel Turner, Noro-Moseley Partners, Partech Ventures, Trinity Ventures</t>
        </is>
      </c>
      <c r="P602" s="45" t="inlineStr">
        <is>
          <t/>
        </is>
      </c>
      <c r="Q602" s="46" t="inlineStr">
        <is>
          <t>Information Services (B2C)</t>
        </is>
      </c>
      <c r="R602" s="47" t="inlineStr">
        <is>
          <t>Operator of a healthcare platform designed to provide comparison-shopping portal for healthcare products and services. The company's healthcare platform helps users research prices on doctors, hospitals, health insurance plans, dentists and medical procedures enabling consumers choose health insurance plan.</t>
        </is>
      </c>
      <c r="S602" s="48" t="inlineStr">
        <is>
          <t>Mountain View, CA</t>
        </is>
      </c>
      <c r="T602" s="49" t="inlineStr">
        <is>
          <t>www.getinsured.com</t>
        </is>
      </c>
      <c r="U602" s="132">
        <f>HYPERLINK("https://my.pitchbook.com?c=40848-04", "View company online")</f>
      </c>
    </row>
    <row r="603">
      <c r="A603" s="9" t="inlineStr">
        <is>
          <t>63264-34</t>
        </is>
      </c>
      <c r="B603" s="10" t="inlineStr">
        <is>
          <t>Vilynx</t>
        </is>
      </c>
      <c r="C603" s="11" t="inlineStr">
        <is>
          <t/>
        </is>
      </c>
      <c r="D603" s="12" t="n">
        <v>0.4906924350163482</v>
      </c>
      <c r="E603" s="13" t="n">
        <v>4.636852954649566</v>
      </c>
      <c r="F603" s="14" t="n">
        <v>42781.0</v>
      </c>
      <c r="G603" s="15" t="inlineStr">
        <is>
          <t>Later Stage VC</t>
        </is>
      </c>
      <c r="H603" s="16" t="inlineStr">
        <is>
          <t>Series A</t>
        </is>
      </c>
      <c r="I603" s="17" t="n">
        <v>6.2</v>
      </c>
      <c r="J603" s="18" t="inlineStr">
        <is>
          <t/>
        </is>
      </c>
      <c r="K603" s="19" t="inlineStr">
        <is>
          <t>Completed</t>
        </is>
      </c>
      <c r="L603" s="20" t="inlineStr">
        <is>
          <t>Privately Held (backing)</t>
        </is>
      </c>
      <c r="M603" s="21" t="inlineStr">
        <is>
          <t>Venture Capital-Backed</t>
        </is>
      </c>
      <c r="N603" s="22" t="inlineStr">
        <is>
          <t>The company raised $6.19 million of Series A venture funding in a deal led by Kibo Ventures Partners on February 15, 2017. Ridgewood Capital, LA Caixa Banking Foundation, Joe Golden, El Confidencial, Ramon Bernat and other undisclosed also participated in the round.</t>
        </is>
      </c>
      <c r="O603" s="23" t="inlineStr">
        <is>
          <t>El Confidencial, Joe Golden, Kibo Ventures Partners, La Caixa Banking Foundation, Ramon Bernat, Ridgewood Capital</t>
        </is>
      </c>
      <c r="P603" s="24" t="inlineStr">
        <is>
          <t/>
        </is>
      </c>
      <c r="Q603" s="25" t="inlineStr">
        <is>
          <t>Social/Platform Software</t>
        </is>
      </c>
      <c r="R603" s="26" t="inlineStr">
        <is>
          <t>Developer of a video consumption and analytics tool. The company provides a platform that tracks, measures and analyzes consumer video performance to improve video content.</t>
        </is>
      </c>
      <c r="S603" s="27" t="inlineStr">
        <is>
          <t>Palo Alto, CA</t>
        </is>
      </c>
      <c r="T603" s="28" t="inlineStr">
        <is>
          <t>www.vilynx.com</t>
        </is>
      </c>
      <c r="U603" s="131">
        <f>HYPERLINK("https://my.pitchbook.com?c=63264-34", "View company online")</f>
      </c>
    </row>
    <row r="604">
      <c r="A604" s="30" t="inlineStr">
        <is>
          <t>61316-65</t>
        </is>
      </c>
      <c r="B604" s="31" t="inlineStr">
        <is>
          <t>Village Power Finance</t>
        </is>
      </c>
      <c r="C604" s="32" t="inlineStr">
        <is>
          <t/>
        </is>
      </c>
      <c r="D604" s="33" t="n">
        <v>0.006953118083790261</v>
      </c>
      <c r="E604" s="34" t="n">
        <v>0.7149997771221057</v>
      </c>
      <c r="F604" s="35" t="n">
        <v>41947.0</v>
      </c>
      <c r="G604" s="36" t="inlineStr">
        <is>
          <t>Grant</t>
        </is>
      </c>
      <c r="H604" s="37" t="inlineStr">
        <is>
          <t/>
        </is>
      </c>
      <c r="I604" s="38" t="n">
        <v>0.5</v>
      </c>
      <c r="J604" s="39" t="inlineStr">
        <is>
          <t/>
        </is>
      </c>
      <c r="K604" s="40" t="inlineStr">
        <is>
          <t>Completed</t>
        </is>
      </c>
      <c r="L604" s="41" t="inlineStr">
        <is>
          <t>Privately Held (backing)</t>
        </is>
      </c>
      <c r="M604" s="42" t="inlineStr">
        <is>
          <t>Venture Capital-Backed</t>
        </is>
      </c>
      <c r="N604" s="43" t="inlineStr">
        <is>
          <t>The company received $500,000 of grant funding from SunShot Initiative Incubator Program on November 4, 2014. The company intends to use the award to add features to its platform, and expand the scope of services supplied to its peer-to-peer investor base and community of energy customers. Previously, the company raised an undisclosed amount of seed funding from Sunshot Initiative Incubator Program and Madison Parker Capital in December 2013.</t>
        </is>
      </c>
      <c r="O604" s="44" t="inlineStr">
        <is>
          <t>Madison Parker Capital, Sunshot Initiative Incubator Program</t>
        </is>
      </c>
      <c r="P604" s="45" t="inlineStr">
        <is>
          <t/>
        </is>
      </c>
      <c r="Q604" s="46" t="inlineStr">
        <is>
          <t>Alternative Energy Equipment</t>
        </is>
      </c>
      <c r="R604" s="47" t="inlineStr">
        <is>
          <t>Operator of a platform which helps community-driven institutions to go solar. The company develops, finances, and manages clean energy assets for community organizations, primarily serveing churches, clubs, schools, universities and small and medium businesses in the United States.</t>
        </is>
      </c>
      <c r="S604" s="48" t="inlineStr">
        <is>
          <t>Palo Alto, CA</t>
        </is>
      </c>
      <c r="T604" s="49" t="inlineStr">
        <is>
          <t>www.villagepower.com</t>
        </is>
      </c>
      <c r="U604" s="132">
        <f>HYPERLINK("https://my.pitchbook.com?c=61316-65", "View company online")</f>
      </c>
    </row>
    <row r="605">
      <c r="A605" s="9" t="inlineStr">
        <is>
          <t>107902-00</t>
        </is>
      </c>
      <c r="B605" s="10" t="inlineStr">
        <is>
          <t>Vigyanlabs</t>
        </is>
      </c>
      <c r="C605" s="11" t="inlineStr">
        <is>
          <t/>
        </is>
      </c>
      <c r="D605" s="12" t="n">
        <v>0.7696307199370978</v>
      </c>
      <c r="E605" s="13" t="n">
        <v>25.15485167239036</v>
      </c>
      <c r="F605" s="14" t="n">
        <v>42263.0</v>
      </c>
      <c r="G605" s="15" t="inlineStr">
        <is>
          <t>Accelerator/Incubator</t>
        </is>
      </c>
      <c r="H605" s="16" t="inlineStr">
        <is>
          <t/>
        </is>
      </c>
      <c r="I605" s="17" t="inlineStr">
        <is>
          <t/>
        </is>
      </c>
      <c r="J605" s="18" t="inlineStr">
        <is>
          <t/>
        </is>
      </c>
      <c r="K605" s="19" t="inlineStr">
        <is>
          <t>Completed</t>
        </is>
      </c>
      <c r="L605" s="20" t="inlineStr">
        <is>
          <t>Privately Held (backing)</t>
        </is>
      </c>
      <c r="M605" s="21" t="inlineStr">
        <is>
          <t>Venture Capital-Backed</t>
        </is>
      </c>
      <c r="N605" s="22" t="inlineStr">
        <is>
          <t>The company joined Microsoft Ventures as a part of the Winter 2015 Class on September 16, 2015. Earlier on February 6, 2015, the company raised $3 million of Series A venture funding from Axilor Ventures, Shashidhar Pai and Madhusudhan Ranganathan.</t>
        </is>
      </c>
      <c r="O605" s="23" t="inlineStr">
        <is>
          <t>Axilor Ventures, Department of Science and Technology (Government of India), Microsoft Accelerator, Shashidhar Pai</t>
        </is>
      </c>
      <c r="P605" s="24" t="inlineStr">
        <is>
          <t/>
        </is>
      </c>
      <c r="Q605" s="25" t="inlineStr">
        <is>
          <t>Social/Platform Software</t>
        </is>
      </c>
      <c r="R605" s="26" t="inlineStr">
        <is>
          <t>Developer of power-management software. The company develops a platform designed to assess and reduce energy consumption across digital and analogue products such as laptops, desktops and smartphones, as well as large data centers and cloud providers.</t>
        </is>
      </c>
      <c r="S605" s="27" t="inlineStr">
        <is>
          <t>Mysore, India</t>
        </is>
      </c>
      <c r="T605" s="28" t="inlineStr">
        <is>
          <t>www.vigyanlabs.com</t>
        </is>
      </c>
      <c r="U605" s="131">
        <f>HYPERLINK("https://my.pitchbook.com?c=107902-00", "View company online")</f>
      </c>
    </row>
    <row r="606">
      <c r="A606" s="30" t="inlineStr">
        <is>
          <t>100286-65</t>
        </is>
      </c>
      <c r="B606" s="31" t="inlineStr">
        <is>
          <t>Vigo (Wearable Device)</t>
        </is>
      </c>
      <c r="C606" s="32" t="inlineStr">
        <is>
          <t/>
        </is>
      </c>
      <c r="D606" s="33" t="n">
        <v>0.011595179259805983</v>
      </c>
      <c r="E606" s="34" t="n">
        <v>1.8943720012253542</v>
      </c>
      <c r="F606" s="35" t="n">
        <v>42408.0</v>
      </c>
      <c r="G606" s="36" t="inlineStr">
        <is>
          <t>Early Stage VC</t>
        </is>
      </c>
      <c r="H606" s="37" t="inlineStr">
        <is>
          <t/>
        </is>
      </c>
      <c r="I606" s="38" t="inlineStr">
        <is>
          <t/>
        </is>
      </c>
      <c r="J606" s="39" t="inlineStr">
        <is>
          <t/>
        </is>
      </c>
      <c r="K606" s="40" t="inlineStr">
        <is>
          <t>Completed</t>
        </is>
      </c>
      <c r="L606" s="41" t="inlineStr">
        <is>
          <t>Privately Held (backing)</t>
        </is>
      </c>
      <c r="M606" s="42" t="inlineStr">
        <is>
          <t>Venture Capital-Backed</t>
        </is>
      </c>
      <c r="N606" s="43" t="inlineStr">
        <is>
          <t>The company raised an undisclosed amount of venture funding from SOSV on February 8, 2016.</t>
        </is>
      </c>
      <c r="O606" s="44" t="inlineStr">
        <is>
          <t>Geekdom SF, SOSV</t>
        </is>
      </c>
      <c r="P606" s="45" t="inlineStr">
        <is>
          <t/>
        </is>
      </c>
      <c r="Q606" s="46" t="inlineStr">
        <is>
          <t>Electronics (B2C)</t>
        </is>
      </c>
      <c r="R606" s="47" t="inlineStr">
        <is>
          <t>Developer of a Bluetooth device that helps users stay alert at the wheel. The company uses an infrared sensor, an accelerometer and advanced algorithm to track patterns in blinks and head motion of a person to see if they are getting drowsy.</t>
        </is>
      </c>
      <c r="S606" s="48" t="inlineStr">
        <is>
          <t>San Francisco, CA</t>
        </is>
      </c>
      <c r="T606" s="49" t="inlineStr">
        <is>
          <t>www.wearvigo.com</t>
        </is>
      </c>
      <c r="U606" s="132">
        <f>HYPERLINK("https://my.pitchbook.com?c=100286-65", "View company online")</f>
      </c>
    </row>
    <row r="607">
      <c r="A607" s="9" t="inlineStr">
        <is>
          <t>55110-97</t>
        </is>
      </c>
      <c r="B607" s="10" t="inlineStr">
        <is>
          <t>Vignette Wine Country Soda</t>
        </is>
      </c>
      <c r="C607" s="11" t="inlineStr">
        <is>
          <t/>
        </is>
      </c>
      <c r="D607" s="12" t="n">
        <v>0.04639709704335236</v>
      </c>
      <c r="E607" s="13" t="n">
        <v>2.1247961615684536</v>
      </c>
      <c r="F607" s="14" t="inlineStr">
        <is>
          <t/>
        </is>
      </c>
      <c r="G607" s="15" t="inlineStr">
        <is>
          <t>Early Stage VC</t>
        </is>
      </c>
      <c r="H607" s="16" t="inlineStr">
        <is>
          <t/>
        </is>
      </c>
      <c r="I607" s="17" t="inlineStr">
        <is>
          <t/>
        </is>
      </c>
      <c r="J607" s="18" t="inlineStr">
        <is>
          <t/>
        </is>
      </c>
      <c r="K607" s="19" t="inlineStr">
        <is>
          <t>Completed</t>
        </is>
      </c>
      <c r="L607" s="20" t="inlineStr">
        <is>
          <t>Privately Held (backing)</t>
        </is>
      </c>
      <c r="M607" s="21" t="inlineStr">
        <is>
          <t>Venture Capital-Backed</t>
        </is>
      </c>
      <c r="N607" s="22" t="inlineStr">
        <is>
          <t>The company raised venture funding from Kern Whelan Capital on an undisclosed date.</t>
        </is>
      </c>
      <c r="O607" s="23" t="inlineStr">
        <is>
          <t>Kern Whelan Capital</t>
        </is>
      </c>
      <c r="P607" s="24" t="inlineStr">
        <is>
          <t/>
        </is>
      </c>
      <c r="Q607" s="25" t="inlineStr">
        <is>
          <t>Beverages</t>
        </is>
      </c>
      <c r="R607" s="26" t="inlineStr">
        <is>
          <t>Producer of non-alcoholic beverages. The company manufactures non-alcoholic aerated drinks, using the juice of California varietal wine grapes to sweeten the beverages.</t>
        </is>
      </c>
      <c r="S607" s="27" t="inlineStr">
        <is>
          <t>Berkeley, CA</t>
        </is>
      </c>
      <c r="T607" s="28" t="inlineStr">
        <is>
          <t>www.winecountrysoda.com</t>
        </is>
      </c>
      <c r="U607" s="131">
        <f>HYPERLINK("https://my.pitchbook.com?c=55110-97", "View company online")</f>
      </c>
    </row>
    <row r="608">
      <c r="A608" s="30" t="inlineStr">
        <is>
          <t>48550-60</t>
        </is>
      </c>
      <c r="B608" s="31" t="inlineStr">
        <is>
          <t>VigLink</t>
        </is>
      </c>
      <c r="C608" s="32" t="inlineStr">
        <is>
          <t/>
        </is>
      </c>
      <c r="D608" s="33" t="n">
        <v>0.5117999352300826</v>
      </c>
      <c r="E608" s="34" t="n">
        <v>59.87670686530303</v>
      </c>
      <c r="F608" s="35" t="n">
        <v>41968.0</v>
      </c>
      <c r="G608" s="36" t="inlineStr">
        <is>
          <t>Later Stage VC</t>
        </is>
      </c>
      <c r="H608" s="37" t="inlineStr">
        <is>
          <t>Series C</t>
        </is>
      </c>
      <c r="I608" s="38" t="n">
        <v>20.0</v>
      </c>
      <c r="J608" s="39" t="inlineStr">
        <is>
          <t/>
        </is>
      </c>
      <c r="K608" s="40" t="inlineStr">
        <is>
          <t>Completed</t>
        </is>
      </c>
      <c r="L608" s="41" t="inlineStr">
        <is>
          <t>Privately Held (backing)</t>
        </is>
      </c>
      <c r="M608" s="42" t="inlineStr">
        <is>
          <t>Venture Capital-Backed</t>
        </is>
      </c>
      <c r="N608" s="43" t="inlineStr">
        <is>
          <t>The company raised $20 million of Series C venture funding from lead investor RRE Ventures on November 25, 2014. KBJ Capital, GV, Emergence Capital, First Round Capital, Correlation Ventures, Silicon Valley Bank, Foundry Group and Costanoa Venture Capital also participated.</t>
        </is>
      </c>
      <c r="O608" s="44" t="inlineStr">
        <is>
          <t>Ali Partovi, Ali Partovi, Auren Hoffman, Carlos Cashman, Correlation Ventures, Costanoa Venture Capital, Dipchand Nishar, Emergence Capital Partners, First Round Capital, Foundry Group, GV, Individual Investor, Jean-Francois Clavier, KBJ Capital, Micah Adler, Reid Hoffman, RRE Ventures, Silicon Valley Bank, SoftTech VC</t>
        </is>
      </c>
      <c r="P608" s="45" t="inlineStr">
        <is>
          <t/>
        </is>
      </c>
      <c r="Q608" s="46" t="inlineStr">
        <is>
          <t>Media and Information Services (B2B)</t>
        </is>
      </c>
      <c r="R608" s="47" t="inlineStr">
        <is>
          <t>Provider of a platform for affiliate marketing. The company enables merchants to identify consumers who want to purchase their products by expanding the number of publishers participating in their affiliate and advertising network.</t>
        </is>
      </c>
      <c r="S608" s="48" t="inlineStr">
        <is>
          <t>San Francisco, CA</t>
        </is>
      </c>
      <c r="T608" s="49" t="inlineStr">
        <is>
          <t>www.viglink.com</t>
        </is>
      </c>
      <c r="U608" s="132">
        <f>HYPERLINK("https://my.pitchbook.com?c=48550-60", "View company online")</f>
      </c>
    </row>
    <row r="609">
      <c r="A609" s="9" t="inlineStr">
        <is>
          <t>53920-72</t>
        </is>
      </c>
      <c r="B609" s="10" t="inlineStr">
        <is>
          <t>Vigilent</t>
        </is>
      </c>
      <c r="C609" s="11" t="inlineStr">
        <is>
          <t/>
        </is>
      </c>
      <c r="D609" s="12" t="n">
        <v>0.14221147662304198</v>
      </c>
      <c r="E609" s="13" t="n">
        <v>2.8152746519548284</v>
      </c>
      <c r="F609" s="14" t="n">
        <v>41208.0</v>
      </c>
      <c r="G609" s="15" t="inlineStr">
        <is>
          <t>Later Stage VC</t>
        </is>
      </c>
      <c r="H609" s="16" t="inlineStr">
        <is>
          <t>Series C</t>
        </is>
      </c>
      <c r="I609" s="17" t="inlineStr">
        <is>
          <t/>
        </is>
      </c>
      <c r="J609" s="18" t="inlineStr">
        <is>
          <t/>
        </is>
      </c>
      <c r="K609" s="19" t="inlineStr">
        <is>
          <t>Completed</t>
        </is>
      </c>
      <c r="L609" s="20" t="inlineStr">
        <is>
          <t>Privately Held (backing)</t>
        </is>
      </c>
      <c r="M609" s="21" t="inlineStr">
        <is>
          <t>Venture Capital-Backed</t>
        </is>
      </c>
      <c r="N609" s="22" t="inlineStr">
        <is>
          <t>The company raised an undisclosed amount of Series C funding from TELUS Ventures and Environmental Business Cluster on October 26, 2012. Previously, the company raised $6.7 million of venture funding from lead investor Accel Partners on March 26, 2012. Gaurav Garg, Peter Wagne and other undisclosed individual investors also participated in the round.</t>
        </is>
      </c>
      <c r="O609" s="23" t="inlineStr">
        <is>
          <t>Accel, Gaurav Garg, Individual Investor, Peter Wagner, TELUS Ventures, TiE Angels Silicon Valley</t>
        </is>
      </c>
      <c r="P609" s="24" t="inlineStr">
        <is>
          <t/>
        </is>
      </c>
      <c r="Q609" s="25" t="inlineStr">
        <is>
          <t>Other Energy Services</t>
        </is>
      </c>
      <c r="R609" s="26" t="inlineStr">
        <is>
          <t>Provider of energy management systems for data centers and commercial buildings. The company offers technology to deliver dynamic cooling management in mission critical environments.</t>
        </is>
      </c>
      <c r="S609" s="27" t="inlineStr">
        <is>
          <t>Oakland, CA</t>
        </is>
      </c>
      <c r="T609" s="28" t="inlineStr">
        <is>
          <t>www.vigilent.com</t>
        </is>
      </c>
      <c r="U609" s="131">
        <f>HYPERLINK("https://my.pitchbook.com?c=53920-72", "View company online")</f>
      </c>
    </row>
    <row r="610">
      <c r="A610" s="30" t="inlineStr">
        <is>
          <t>54990-46</t>
        </is>
      </c>
      <c r="B610" s="31" t="inlineStr">
        <is>
          <t>Vigilant Solutions</t>
        </is>
      </c>
      <c r="C610" s="32" t="inlineStr">
        <is>
          <t/>
        </is>
      </c>
      <c r="D610" s="33" t="n">
        <v>2.5503327404661658</v>
      </c>
      <c r="E610" s="34" t="n">
        <v>8.04781975627591</v>
      </c>
      <c r="F610" s="35" t="n">
        <v>42116.0</v>
      </c>
      <c r="G610" s="36" t="inlineStr">
        <is>
          <t>Later Stage VC</t>
        </is>
      </c>
      <c r="H610" s="37" t="inlineStr">
        <is>
          <t/>
        </is>
      </c>
      <c r="I610" s="38" t="n">
        <v>110.0</v>
      </c>
      <c r="J610" s="39" t="inlineStr">
        <is>
          <t/>
        </is>
      </c>
      <c r="K610" s="40" t="inlineStr">
        <is>
          <t>Completed</t>
        </is>
      </c>
      <c r="L610" s="41" t="inlineStr">
        <is>
          <t>Privately Held (backing)</t>
        </is>
      </c>
      <c r="M610" s="42" t="inlineStr">
        <is>
          <t>Venture Capital-Backed</t>
        </is>
      </c>
      <c r="N610" s="43" t="inlineStr">
        <is>
          <t>The company raised $110 million of venture funding from undisclosed investors on April 22, 2015.</t>
        </is>
      </c>
      <c r="O610" s="44" t="inlineStr">
        <is>
          <t>Corsa Ventures, Morgan Stanley Expansion Capital, Peter Chung</t>
        </is>
      </c>
      <c r="P610" s="45" t="inlineStr">
        <is>
          <t/>
        </is>
      </c>
      <c r="Q610" s="46" t="inlineStr">
        <is>
          <t>Other Information Technology</t>
        </is>
      </c>
      <c r="R610" s="47" t="inlineStr">
        <is>
          <t>Developer of imaging systems to support the microchip industry. The company develops products that can catalog license plates and human faces by time, data and location and compares that with various databases to help track sought out people and/or vehicles.</t>
        </is>
      </c>
      <c r="S610" s="48" t="inlineStr">
        <is>
          <t>Livermore, CA</t>
        </is>
      </c>
      <c r="T610" s="49" t="inlineStr">
        <is>
          <t>www.vigilantsolutions.com</t>
        </is>
      </c>
      <c r="U610" s="132">
        <f>HYPERLINK("https://my.pitchbook.com?c=54990-46", "View company online")</f>
      </c>
    </row>
    <row r="611">
      <c r="A611" s="9" t="inlineStr">
        <is>
          <t>56717-20</t>
        </is>
      </c>
      <c r="B611" s="10" t="inlineStr">
        <is>
          <t>Viewster</t>
        </is>
      </c>
      <c r="C611" s="11" t="inlineStr">
        <is>
          <t/>
        </is>
      </c>
      <c r="D611" s="12" t="n">
        <v>13.422807148044413</v>
      </c>
      <c r="E611" s="13" t="n">
        <v>253.98677520820115</v>
      </c>
      <c r="F611" s="14" t="n">
        <v>39722.0</v>
      </c>
      <c r="G611" s="15" t="inlineStr">
        <is>
          <t>Early Stage VC</t>
        </is>
      </c>
      <c r="H611" s="16" t="inlineStr">
        <is>
          <t/>
        </is>
      </c>
      <c r="I611" s="17" t="n">
        <v>3.0</v>
      </c>
      <c r="J611" s="18" t="inlineStr">
        <is>
          <t/>
        </is>
      </c>
      <c r="K611" s="19" t="inlineStr">
        <is>
          <t>Completed</t>
        </is>
      </c>
      <c r="L611" s="20" t="inlineStr">
        <is>
          <t>Privately Held (backing)</t>
        </is>
      </c>
      <c r="M611" s="21" t="inlineStr">
        <is>
          <t>Venture Capital-Backed</t>
        </is>
      </c>
      <c r="N611" s="22" t="inlineStr">
        <is>
          <t>The company raised $3 million of venture funding from Creathor Venture in October 2008. Lancelot Marx also participated in this round. Prior to that, the company raised $550,000 of angel funding from Brett Blundy and other undisclosed individual investors in April 2008.</t>
        </is>
      </c>
      <c r="O611" s="23" t="inlineStr">
        <is>
          <t>Brett Blundy, Creathor Venture, Individual Investor, Lancelot Marx</t>
        </is>
      </c>
      <c r="P611" s="24" t="inlineStr">
        <is>
          <t/>
        </is>
      </c>
      <c r="Q611" s="25" t="inlineStr">
        <is>
          <t>Movies, Music and Entertainment</t>
        </is>
      </c>
      <c r="R611" s="26" t="inlineStr">
        <is>
          <t>Provider of online video services designed to offer anime, web shorts and movies. The company's online video service offers up-to-date feature films, series and celebrity interviews which can be viewed any time, enabling viewers to watch free online movies over the internet.</t>
        </is>
      </c>
      <c r="S611" s="27" t="inlineStr">
        <is>
          <t>Zurich, Switzerland</t>
        </is>
      </c>
      <c r="T611" s="28" t="inlineStr">
        <is>
          <t>www.viewster.com</t>
        </is>
      </c>
      <c r="U611" s="131">
        <f>HYPERLINK("https://my.pitchbook.com?c=56717-20", "View company online")</f>
      </c>
    </row>
    <row r="612">
      <c r="A612" s="30" t="inlineStr">
        <is>
          <t>181622-89</t>
        </is>
      </c>
      <c r="B612" s="31" t="inlineStr">
        <is>
          <t>ViewSpark</t>
        </is>
      </c>
      <c r="C612" s="32" t="inlineStr">
        <is>
          <t/>
        </is>
      </c>
      <c r="D612" s="33" t="inlineStr">
        <is>
          <t/>
        </is>
      </c>
      <c r="E612" s="34" t="inlineStr">
        <is>
          <t/>
        </is>
      </c>
      <c r="F612" s="35" t="n">
        <v>42887.0</v>
      </c>
      <c r="G612" s="36" t="inlineStr">
        <is>
          <t>Early Stage VC</t>
        </is>
      </c>
      <c r="H612" s="37" t="inlineStr">
        <is>
          <t/>
        </is>
      </c>
      <c r="I612" s="38" t="n">
        <v>0.58</v>
      </c>
      <c r="J612" s="39" t="inlineStr">
        <is>
          <t/>
        </is>
      </c>
      <c r="K612" s="40" t="inlineStr">
        <is>
          <t>Completed</t>
        </is>
      </c>
      <c r="L612" s="41" t="inlineStr">
        <is>
          <t>Privately Held (backing)</t>
        </is>
      </c>
      <c r="M612" s="42" t="inlineStr">
        <is>
          <t>Venture Capital-Backed</t>
        </is>
      </c>
      <c r="N612" s="43" t="inlineStr">
        <is>
          <t>The company raised $1.11 million of venture funding from Westlake Ventures and other undisclosed investors on June 1, 2017.</t>
        </is>
      </c>
      <c r="O612" s="44" t="inlineStr">
        <is>
          <t>Westlake Ventures (St. Petersburg)</t>
        </is>
      </c>
      <c r="P612" s="45" t="inlineStr">
        <is>
          <t/>
        </is>
      </c>
      <c r="Q612" s="46" t="inlineStr">
        <is>
          <t>Other Financial Services</t>
        </is>
      </c>
      <c r="R612" s="47" t="inlineStr">
        <is>
          <t>Provider of an online platform intended to offer fundraising facilities for various non profit organizations. The company's online platform offers an application that can be used for the charity donation purpose, enabling various non profit organizations to raise funds for many developmental activities.</t>
        </is>
      </c>
      <c r="S612" s="48" t="inlineStr">
        <is>
          <t>Carlsbad, CA</t>
        </is>
      </c>
      <c r="T612" s="49" t="inlineStr">
        <is>
          <t>www.viewspark.org</t>
        </is>
      </c>
      <c r="U612" s="132">
        <f>HYPERLINK("https://my.pitchbook.com?c=181622-89", "View company online")</f>
      </c>
    </row>
    <row r="613">
      <c r="A613" s="9" t="inlineStr">
        <is>
          <t>41579-29</t>
        </is>
      </c>
      <c r="B613" s="10" t="inlineStr">
        <is>
          <t>ViewSonic</t>
        </is>
      </c>
      <c r="C613" s="11" t="n">
        <v>1590.0</v>
      </c>
      <c r="D613" s="12" t="n">
        <v>1.4790013437165954</v>
      </c>
      <c r="E613" s="13" t="n">
        <v>292.5550377517216</v>
      </c>
      <c r="F613" s="14" t="inlineStr">
        <is>
          <t/>
        </is>
      </c>
      <c r="G613" s="15" t="inlineStr">
        <is>
          <t>Debt - General</t>
        </is>
      </c>
      <c r="H613" s="16" t="inlineStr">
        <is>
          <t>Revolving Credit Line</t>
        </is>
      </c>
      <c r="I613" s="17" t="inlineStr">
        <is>
          <t/>
        </is>
      </c>
      <c r="J613" s="18" t="inlineStr">
        <is>
          <t/>
        </is>
      </c>
      <c r="K613" s="19" t="inlineStr">
        <is>
          <t>Completed</t>
        </is>
      </c>
      <c r="L613" s="20" t="inlineStr">
        <is>
          <t>Privately Held (backing)</t>
        </is>
      </c>
      <c r="M613" s="21" t="inlineStr">
        <is>
          <t>Venture Capital-Backed</t>
        </is>
      </c>
      <c r="N613" s="22" t="inlineStr">
        <is>
          <t>The company filed to go public on the NASDAQ stock exchange under the ticker symbol of VIEW on July 2, 2007. The expected offering amount is $143.75 million. Subsequently 
the offering was withdrawn on March 5, 2008. It also raised $6.6 million of Series C venture funding from Intel Capital on July 7, 2006, putting the company's pre-money valuation at $709.19 million.</t>
        </is>
      </c>
      <c r="O613" s="23" t="inlineStr">
        <is>
          <t>Intel Capital</t>
        </is>
      </c>
      <c r="P613" s="24" t="inlineStr">
        <is>
          <t/>
        </is>
      </c>
      <c r="Q613" s="25" t="inlineStr">
        <is>
          <t>Computers, Parts and Peripherals</t>
        </is>
      </c>
      <c r="R613" s="26" t="inlineStr">
        <is>
          <t>Provider of visual technology such as LCD and CRT displays and other mobile computing devices. The company also offers LED monitors, touch displays, projectors, large-format displays and virtual desktops.</t>
        </is>
      </c>
      <c r="S613" s="27" t="inlineStr">
        <is>
          <t>Brea, CA</t>
        </is>
      </c>
      <c r="T613" s="28" t="inlineStr">
        <is>
          <t>www.viewsonic.com</t>
        </is>
      </c>
      <c r="U613" s="131">
        <f>HYPERLINK("https://my.pitchbook.com?c=41579-29", "View company online")</f>
      </c>
    </row>
    <row r="614">
      <c r="A614" s="30" t="inlineStr">
        <is>
          <t>58611-97</t>
        </is>
      </c>
      <c r="B614" s="31" t="inlineStr">
        <is>
          <t>Viewpost</t>
        </is>
      </c>
      <c r="C614" s="32" t="inlineStr">
        <is>
          <t/>
        </is>
      </c>
      <c r="D614" s="33" t="n">
        <v>0.8686694102369241</v>
      </c>
      <c r="E614" s="34" t="n">
        <v>3.944961086468087</v>
      </c>
      <c r="F614" s="35" t="n">
        <v>42452.0</v>
      </c>
      <c r="G614" s="36" t="inlineStr">
        <is>
          <t>Early Stage VC</t>
        </is>
      </c>
      <c r="H614" s="37" t="inlineStr">
        <is>
          <t/>
        </is>
      </c>
      <c r="I614" s="38" t="n">
        <v>34.3</v>
      </c>
      <c r="J614" s="39" t="inlineStr">
        <is>
          <t/>
        </is>
      </c>
      <c r="K614" s="40" t="inlineStr">
        <is>
          <t>Announced/In Progress</t>
        </is>
      </c>
      <c r="L614" s="41" t="inlineStr">
        <is>
          <t>Privately Held (backing)</t>
        </is>
      </c>
      <c r="M614" s="42" t="inlineStr">
        <is>
          <t>Venture Capital-Backed</t>
        </is>
      </c>
      <c r="N614" s="43" t="inlineStr">
        <is>
          <t>The company closed on $34.3 million of convertible debt funding from undisclosed investors on April 10, 2017. It also raised $24.47 million of venture funding from Caretta Partners, Osceola Capital Management and Foley Ventures on August 20, 2014. Other undisclosed investors also participated in the round. The company is being actively tracked by PitchBook.</t>
        </is>
      </c>
      <c r="O614" s="44" t="inlineStr">
        <is>
          <t>Caretta Partners, Foley Ventures, Osceola Capital Management</t>
        </is>
      </c>
      <c r="P614" s="45" t="inlineStr">
        <is>
          <t/>
        </is>
      </c>
      <c r="Q614" s="46" t="inlineStr">
        <is>
          <t>Financial Software</t>
        </is>
      </c>
      <c r="R614" s="47" t="inlineStr">
        <is>
          <t>Provider of an online platform designed to provide electronic invoice and payment services to businesses. The company's online platform provides an open business-to-business network for empowering businesses of all sizes with electronic invoicing, payments and real-time cash management, enabling people and businesses to connect and exchange electronic invoices and payments.</t>
        </is>
      </c>
      <c r="S614" s="48" t="inlineStr">
        <is>
          <t>Maitland, FL</t>
        </is>
      </c>
      <c r="T614" s="49" t="inlineStr">
        <is>
          <t>www.viewpost.com</t>
        </is>
      </c>
      <c r="U614" s="132">
        <f>HYPERLINK("https://my.pitchbook.com?c=58611-97", "View company online")</f>
      </c>
    </row>
    <row r="615">
      <c r="A615" s="9" t="inlineStr">
        <is>
          <t>110542-06</t>
        </is>
      </c>
      <c r="B615" s="10" t="inlineStr">
        <is>
          <t>ViewPoint Therapeutics</t>
        </is>
      </c>
      <c r="C615" s="11" t="inlineStr">
        <is>
          <t/>
        </is>
      </c>
      <c r="D615" s="12" t="n">
        <v>0.0</v>
      </c>
      <c r="E615" s="13" t="n">
        <v>0.5405405405405406</v>
      </c>
      <c r="F615" s="14" t="n">
        <v>42492.0</v>
      </c>
      <c r="G615" s="15" t="inlineStr">
        <is>
          <t>Early Stage VC</t>
        </is>
      </c>
      <c r="H615" s="16" t="inlineStr">
        <is>
          <t>Series A</t>
        </is>
      </c>
      <c r="I615" s="17" t="n">
        <v>3.98</v>
      </c>
      <c r="J615" s="18" t="n">
        <v>10.58</v>
      </c>
      <c r="K615" s="19" t="inlineStr">
        <is>
          <t>Completed</t>
        </is>
      </c>
      <c r="L615" s="20" t="inlineStr">
        <is>
          <t>Privately Held (backing)</t>
        </is>
      </c>
      <c r="M615" s="21" t="inlineStr">
        <is>
          <t>Venture Capital-Backed</t>
        </is>
      </c>
      <c r="N615" s="22" t="inlineStr">
        <is>
          <t>The company raised $3.98 million of Series A Venture funding through lead investors Mission Bay Capital and Lagunita BioSciences on May 2, 2016, putting the company's pre-money valuation at $6.6 million. Asset Management Ventures, Biotechnology Value Fund partner and MINTS also participated. The company plans to use the proceeds of the financing to advance its lead candidate, VP1-001, a small molecule identified via a target-based screening and optimization effort, through preclinical proof of concept experiments. ViewPoint anticipates that the proceeds will also allow the Company to advance second-generation compounds from the Company's ongoing medicinal chemistry efforts.</t>
        </is>
      </c>
      <c r="O615" s="23" t="inlineStr">
        <is>
          <t>Asset Management Ventures, Biotechnology Value Fund Partners, California Institute for Quantitative Biosciences, Karl Handelsman, Lagunita BioSciences, Michigan Investment in New Technology Startups, Mission Bay Capital, National Eye Institute</t>
        </is>
      </c>
      <c r="P615" s="24" t="inlineStr">
        <is>
          <t/>
        </is>
      </c>
      <c r="Q615" s="25" t="inlineStr">
        <is>
          <t>Biotechnology</t>
        </is>
      </c>
      <c r="R615" s="26" t="inlineStr">
        <is>
          <t>Provider of medical services for diseases of protein mis-folding. The comapny provides medical services and operates a biotechnology firm dedicated to the development of treatments for diseases of protein mis-folding, including cataracts.</t>
        </is>
      </c>
      <c r="S615" s="27" t="inlineStr">
        <is>
          <t>San Francisco, CA</t>
        </is>
      </c>
      <c r="T615" s="28" t="inlineStr">
        <is>
          <t>www.viewpointtherapeutics.com</t>
        </is>
      </c>
      <c r="U615" s="131">
        <f>HYPERLINK("https://my.pitchbook.com?c=110542-06", "View company online")</f>
      </c>
    </row>
    <row r="616">
      <c r="A616" s="30" t="inlineStr">
        <is>
          <t>97268-68</t>
        </is>
      </c>
      <c r="B616" s="31" t="inlineStr">
        <is>
          <t>Viewics</t>
        </is>
      </c>
      <c r="C616" s="32" t="inlineStr">
        <is>
          <t/>
        </is>
      </c>
      <c r="D616" s="33" t="n">
        <v>0.05329646194470255</v>
      </c>
      <c r="E616" s="34" t="n">
        <v>1.0970909218514229</v>
      </c>
      <c r="F616" s="35" t="n">
        <v>42584.0</v>
      </c>
      <c r="G616" s="36" t="inlineStr">
        <is>
          <t>Later Stage VC</t>
        </is>
      </c>
      <c r="H616" s="37" t="inlineStr">
        <is>
          <t>Series B</t>
        </is>
      </c>
      <c r="I616" s="38" t="n">
        <v>10.5</v>
      </c>
      <c r="J616" s="39" t="n">
        <v>63.0</v>
      </c>
      <c r="K616" s="40" t="inlineStr">
        <is>
          <t>Completed</t>
        </is>
      </c>
      <c r="L616" s="41" t="inlineStr">
        <is>
          <t>Privately Held (backing)</t>
        </is>
      </c>
      <c r="M616" s="42" t="inlineStr">
        <is>
          <t>Venture Capital-Backed</t>
        </is>
      </c>
      <c r="N616" s="43" t="inlineStr">
        <is>
          <t>The company raised $10.5 million of Series B venture funding in a deal led by Canvas Venture Fund, GVA Capital and Roche Venture Fund on August 2, 2016, putting the pre-money valuation at $54.6 million. City National Bank and other undisclosed investors also participated. The company will use this financing to scale its business and continue to innovate in healthcare management solutions by driving data intelligence and collaboration across healthcare organizations. Of the total amount, $2.1 million was raised via debt financing.</t>
        </is>
      </c>
      <c r="O616" s="44" t="inlineStr">
        <is>
          <t>AME Cloud Ventures, Canvas Venture Fund, City National Bank, Farzad Nazem, GVA Capital, Morado Venture Partners, Morgenthaler, Murphree Venture Partners, Plug and Play Tech Center, Roche Venture Fund, Sanjaya Kumar</t>
        </is>
      </c>
      <c r="P616" s="45" t="inlineStr">
        <is>
          <t/>
        </is>
      </c>
      <c r="Q616" s="46" t="inlineStr">
        <is>
          <t>Business/Productivity Software</t>
        </is>
      </c>
      <c r="R616" s="47" t="inlineStr">
        <is>
          <t>Provider of an analytics platform for the healthcare industry. The company provides business intelligence and analytics services on a data platform that enables healthcare organizations to execute on their clinical and operational strategies.</t>
        </is>
      </c>
      <c r="S616" s="48" t="inlineStr">
        <is>
          <t>Sunnyvale, CA</t>
        </is>
      </c>
      <c r="T616" s="49" t="inlineStr">
        <is>
          <t>www.viewics.com</t>
        </is>
      </c>
      <c r="U616" s="132">
        <f>HYPERLINK("https://my.pitchbook.com?c=97268-68", "View company online")</f>
      </c>
    </row>
    <row r="617">
      <c r="A617" s="9" t="inlineStr">
        <is>
          <t>51389-56</t>
        </is>
      </c>
      <c r="B617" s="10" t="inlineStr">
        <is>
          <t>View</t>
        </is>
      </c>
      <c r="C617" s="11" t="inlineStr">
        <is>
          <t/>
        </is>
      </c>
      <c r="D617" s="12" t="n">
        <v>-0.16770587216689473</v>
      </c>
      <c r="E617" s="13" t="n">
        <v>5.555708898708161</v>
      </c>
      <c r="F617" s="14" t="n">
        <v>42684.0</v>
      </c>
      <c r="G617" s="15" t="inlineStr">
        <is>
          <t>Later Stage VC</t>
        </is>
      </c>
      <c r="H617" s="16" t="inlineStr">
        <is>
          <t>Series G</t>
        </is>
      </c>
      <c r="I617" s="17" t="n">
        <v>100.0</v>
      </c>
      <c r="J617" s="18" t="n">
        <v>1100.0</v>
      </c>
      <c r="K617" s="19" t="inlineStr">
        <is>
          <t>Announced/In Progress</t>
        </is>
      </c>
      <c r="L617" s="20" t="inlineStr">
        <is>
          <t>Privately Held (backing)</t>
        </is>
      </c>
      <c r="M617" s="21" t="inlineStr">
        <is>
          <t>Venture Capital-Backed</t>
        </is>
      </c>
      <c r="N617" s="22" t="inlineStr">
        <is>
          <t>The company has closed on $100 million of a planned $337.5 million of Series G venture funding from TIAA Investments and other undisclosed investors on February 7, 2017, putting the pre-money valuation at $1 billion. The funds will be used to expand its manufacturing capacity and to scale operations in order to meet rapidly growing demand. The company is being actively tracked by PitchBook.</t>
        </is>
      </c>
      <c r="O617" s="23" t="inlineStr">
        <is>
          <t>CIV, Corning, David Marcus, DBL Partners, Eastward Capital Partners, GE Energy Financial Services, GE Ventures, Industrial Investors Group, Khosla Ventures, Madrone Capital Partners, NanoDimension, Navitas Capital, New Zealand Superannuation Fund, Reinet Investments, Sigma Partners, Teachers Insurance and Annuity Association of America, The Westly Group, TriplePoint Capital, Union Grove Venture Partners, Vinod Khosla</t>
        </is>
      </c>
      <c r="P617" s="24" t="inlineStr">
        <is>
          <t/>
        </is>
      </c>
      <c r="Q617" s="25" t="inlineStr">
        <is>
          <t>Building Products</t>
        </is>
      </c>
      <c r="R617" s="26" t="inlineStr">
        <is>
          <t>Manufacturer of tint-adjusting architectural glass. The company designs, manufactures and sells architectural glass that intelligently adjusts in response to external conditions and user preferences.</t>
        </is>
      </c>
      <c r="S617" s="27" t="inlineStr">
        <is>
          <t>Milpitas, CA</t>
        </is>
      </c>
      <c r="T617" s="28" t="inlineStr">
        <is>
          <t>www.viewglass.com</t>
        </is>
      </c>
      <c r="U617" s="131">
        <f>HYPERLINK("https://my.pitchbook.com?c=51389-56", "View company online")</f>
      </c>
    </row>
    <row r="618">
      <c r="A618" s="30" t="inlineStr">
        <is>
          <t>42855-04</t>
        </is>
      </c>
      <c r="B618" s="31" t="inlineStr">
        <is>
          <t>Vidyo</t>
        </is>
      </c>
      <c r="C618" s="32" t="inlineStr">
        <is>
          <t/>
        </is>
      </c>
      <c r="D618" s="33" t="n">
        <v>0.03491122130805487</v>
      </c>
      <c r="E618" s="34" t="n">
        <v>56.09730431557992</v>
      </c>
      <c r="F618" s="35" t="n">
        <v>42352.0</v>
      </c>
      <c r="G618" s="36" t="inlineStr">
        <is>
          <t>Later Stage VC</t>
        </is>
      </c>
      <c r="H618" s="37" t="inlineStr">
        <is>
          <t>Series E</t>
        </is>
      </c>
      <c r="I618" s="38" t="n">
        <v>35.0</v>
      </c>
      <c r="J618" s="39" t="n">
        <v>199.18</v>
      </c>
      <c r="K618" s="40" t="inlineStr">
        <is>
          <t>Completed</t>
        </is>
      </c>
      <c r="L618" s="41" t="inlineStr">
        <is>
          <t>Privately Held (backing)</t>
        </is>
      </c>
      <c r="M618" s="42" t="inlineStr">
        <is>
          <t>Venture Capital-Backed</t>
        </is>
      </c>
      <c r="N618" s="43" t="inlineStr">
        <is>
          <t>The company raised $35 million of Series E venture funding from Menlo Ventures, Rho Ventures and Four Rivers Group on December 14, 2015, putting the company's pre-money valuation at $164.18 million. QuestMark Partners, Juniper Networks, Sevin Rosen Funds, Orr Partners, Luminari Capital, Blue Cloud Ventures, Kaiser Permanente Ventures, Saints Capital and Triangle Peak Partners also participated in the round. The company will use the funds to accelerate growth in vertical markets.</t>
        </is>
      </c>
      <c r="O618" s="44" t="inlineStr">
        <is>
          <t>Ashish Mistry, BLH Venture Partners, Blue Cloud Ventures, Daniel Leff, Eureka Ventures, Four Rivers Group, Juniper Networks, Kaiser Permanente Ventures, Leader Ventures, Luminari Capital, Menlo Ventures, Orr Partners, QuestMark Partners, Rho Ventures, Saints Capital, Sevin Rosen Funds, Star Ventures, Triangle Peak Partners, Western Technology Investment</t>
        </is>
      </c>
      <c r="P618" s="45" t="inlineStr">
        <is>
          <t/>
        </is>
      </c>
      <c r="Q618" s="46" t="inlineStr">
        <is>
          <t>Communication Software</t>
        </is>
      </c>
      <c r="R618" s="47" t="inlineStr">
        <is>
          <t>Provider of an Internet based video conferencing tool designed to visually connect to the world. The company's Internet based video conferencing tool provides a software communication and collaboration platform that can be customized for healthcare, government and educational needs, enabling users to connect to the world with the highest quality embedded video and enterprise video conferencing.</t>
        </is>
      </c>
      <c r="S618" s="48" t="inlineStr">
        <is>
          <t>Hackensack, NJ</t>
        </is>
      </c>
      <c r="T618" s="49" t="inlineStr">
        <is>
          <t>www.vidyo.com</t>
        </is>
      </c>
      <c r="U618" s="132">
        <f>HYPERLINK("https://my.pitchbook.com?c=42855-04", "View company online")</f>
      </c>
    </row>
    <row r="619">
      <c r="A619" s="9" t="inlineStr">
        <is>
          <t>60171-13</t>
        </is>
      </c>
      <c r="B619" s="10" t="inlineStr">
        <is>
          <t>Vidora</t>
        </is>
      </c>
      <c r="C619" s="11" t="inlineStr">
        <is>
          <t/>
        </is>
      </c>
      <c r="D619" s="12" t="n">
        <v>0.03640836276247809</v>
      </c>
      <c r="E619" s="13" t="n">
        <v>1.526436732553166</v>
      </c>
      <c r="F619" s="14" t="n">
        <v>42741.0</v>
      </c>
      <c r="G619" s="15" t="inlineStr">
        <is>
          <t>Seed Round</t>
        </is>
      </c>
      <c r="H619" s="16" t="inlineStr">
        <is>
          <t>Seed</t>
        </is>
      </c>
      <c r="I619" s="17" t="n">
        <v>2.3</v>
      </c>
      <c r="J619" s="18" t="inlineStr">
        <is>
          <t/>
        </is>
      </c>
      <c r="K619" s="19" t="inlineStr">
        <is>
          <t>Completed</t>
        </is>
      </c>
      <c r="L619" s="20" t="inlineStr">
        <is>
          <t>Privately Held (backing)</t>
        </is>
      </c>
      <c r="M619" s="21" t="inlineStr">
        <is>
          <t>Venture Capital-Backed</t>
        </is>
      </c>
      <c r="N619" s="22" t="inlineStr">
        <is>
          <t>The company raised $2.3 million seed funding from BootstrapLabs and other undisclosed investors on January 6, 2017.</t>
        </is>
      </c>
      <c r="O619" s="23" t="inlineStr">
        <is>
          <t>AllMobile Fund, BootstrapLabs, Christopher Grey, Core Ventures Group, Individual Investor, InterWest Partners, JFE Accelerator, Michael Liou, Plug and Play Tech Center, Shinya Akamine</t>
        </is>
      </c>
      <c r="P619" s="24" t="inlineStr">
        <is>
          <t/>
        </is>
      </c>
      <c r="Q619" s="25" t="inlineStr">
        <is>
          <t>Media and Information Services (B2B)</t>
        </is>
      </c>
      <c r="R619" s="26" t="inlineStr">
        <is>
          <t>Developer of a strategic artificial inteligence platform designed to optimize every unique customer's experience in line with strategic business goals such as reducing churn and maximizing customer lifetime value with the power of machines. The company's platform mines through behavioral data to predict behavior down to the individual customer, identify the key Strategic Touchpoints that drive engagement, and automatically optimize the customer experience with their Intelligence APIs, enabling companies improve their ROIs.</t>
        </is>
      </c>
      <c r="S619" s="27" t="inlineStr">
        <is>
          <t>San Francisco, CA</t>
        </is>
      </c>
      <c r="T619" s="28" t="inlineStr">
        <is>
          <t>www.vidora.com</t>
        </is>
      </c>
      <c r="U619" s="131">
        <f>HYPERLINK("https://my.pitchbook.com?c=60171-13", "View company online")</f>
      </c>
    </row>
    <row r="620">
      <c r="A620" s="30" t="inlineStr">
        <is>
          <t>111284-47</t>
        </is>
      </c>
      <c r="B620" s="31" t="inlineStr">
        <is>
          <t>Vidme</t>
        </is>
      </c>
      <c r="C620" s="32" t="inlineStr">
        <is>
          <t/>
        </is>
      </c>
      <c r="D620" s="33" t="n">
        <v>1.2410491829462358</v>
      </c>
      <c r="E620" s="34" t="n">
        <v>26.53694009042204</v>
      </c>
      <c r="F620" s="35" t="n">
        <v>42717.0</v>
      </c>
      <c r="G620" s="36" t="inlineStr">
        <is>
          <t>Early Stage VC</t>
        </is>
      </c>
      <c r="H620" s="37" t="inlineStr">
        <is>
          <t>Series A</t>
        </is>
      </c>
      <c r="I620" s="38" t="n">
        <v>6.0</v>
      </c>
      <c r="J620" s="39" t="inlineStr">
        <is>
          <t/>
        </is>
      </c>
      <c r="K620" s="40" t="inlineStr">
        <is>
          <t>Completed</t>
        </is>
      </c>
      <c r="L620" s="41" t="inlineStr">
        <is>
          <t>Privately Held (backing)</t>
        </is>
      </c>
      <c r="M620" s="42" t="inlineStr">
        <is>
          <t>Venture Capital-Backed</t>
        </is>
      </c>
      <c r="N620" s="43" t="inlineStr">
        <is>
          <t>The company raised $6 million of Series A venture funding in a deal led by New Enterprise Associates (NEA) on December 13, 2016. Follow on Upfront Ventures, First Round Capital, Lowercase Capital, SV Angel and Mucker Capital also participated in the round. The company intends to use the funds to grow its community and develop new ways for creators to build audience and earn money.</t>
        </is>
      </c>
      <c r="O620" s="44" t="inlineStr">
        <is>
          <t>First Round Capital, Initialized Capital, Launchpad Angels, Lowercase Capital, Mucker Capital, New Enterprise Associates, SV Angel, Upfront Ventures</t>
        </is>
      </c>
      <c r="P620" s="45" t="inlineStr">
        <is>
          <t/>
        </is>
      </c>
      <c r="Q620" s="46" t="inlineStr">
        <is>
          <t>Application Software</t>
        </is>
      </c>
      <c r="R620" s="47" t="inlineStr">
        <is>
          <t>Provider of a video-sharing platform and a mobile application. The company's application enables users to upload videos in various categories within the platform, such as gaming, animation, movies and entertainment, all of which are hosted and circulated on its site to relevant community sections.</t>
        </is>
      </c>
      <c r="S620" s="48" t="inlineStr">
        <is>
          <t>Sacramento, CA</t>
        </is>
      </c>
      <c r="T620" s="49" t="inlineStr">
        <is>
          <t>www.vid.me</t>
        </is>
      </c>
      <c r="U620" s="132">
        <f>HYPERLINK("https://my.pitchbook.com?c=111284-47", "View company online")</f>
      </c>
    </row>
    <row r="621">
      <c r="A621" s="9" t="inlineStr">
        <is>
          <t>54710-11</t>
        </is>
      </c>
      <c r="B621" s="10" t="inlineStr">
        <is>
          <t>vidIQ</t>
        </is>
      </c>
      <c r="C621" s="11" t="inlineStr">
        <is>
          <t/>
        </is>
      </c>
      <c r="D621" s="12" t="n">
        <v>0.8696355806831922</v>
      </c>
      <c r="E621" s="13" t="n">
        <v>36.34848637457333</v>
      </c>
      <c r="F621" s="14" t="n">
        <v>41331.0</v>
      </c>
      <c r="G621" s="15" t="inlineStr">
        <is>
          <t>Seed Round</t>
        </is>
      </c>
      <c r="H621" s="16" t="inlineStr">
        <is>
          <t>Seed</t>
        </is>
      </c>
      <c r="I621" s="17" t="n">
        <v>0.8</v>
      </c>
      <c r="J621" s="18" t="inlineStr">
        <is>
          <t/>
        </is>
      </c>
      <c r="K621" s="19" t="inlineStr">
        <is>
          <t>Completed</t>
        </is>
      </c>
      <c r="L621" s="20" t="inlineStr">
        <is>
          <t>Privately Held (backing)</t>
        </is>
      </c>
      <c r="M621" s="21" t="inlineStr">
        <is>
          <t>Venture Capital-Backed</t>
        </is>
      </c>
      <c r="N621" s="22" t="inlineStr">
        <is>
          <t>The company raised $800,000 of seed funding from i/o Ventures, Expansion Venture Capital and Lowercase Capital on February 26, 2013. Founders Den, Social Start and 14 individual investors also participated in this round. Previously, the company raised an undisclosed amount of seed funding from Social Starts on August 1, 2012.</t>
        </is>
      </c>
      <c r="O621" s="23" t="inlineStr">
        <is>
          <t>Dario Meli, David Cohen, Donald Hutchison, Expansion Venture Capital, Founders Den, Gary Vaynerchuk, i/o Ventures, Jared Kopf, Jason Seats, Joshua Baer, Lowercase Capital, Mark Cuban, Mike Edelhart, Peter Weck, Ryan Melohn, Scott Banister, Social Starts, Sumit Gupta, William Lohse</t>
        </is>
      </c>
      <c r="P621" s="24" t="inlineStr">
        <is>
          <t/>
        </is>
      </c>
      <c r="Q621" s="25" t="inlineStr">
        <is>
          <t>Application Software</t>
        </is>
      </c>
      <c r="R621" s="26" t="inlineStr">
        <is>
          <t>Provider of a suite of enterprise tools designed to grow YouTube audience. The company's enterprise tools provides an audience development suite which focuses on channel's views and subscriptions through collaborative tools, enabling brands to reach their video marketing goals.</t>
        </is>
      </c>
      <c r="S621" s="27" t="inlineStr">
        <is>
          <t>San Francisco, CA</t>
        </is>
      </c>
      <c r="T621" s="28" t="inlineStr">
        <is>
          <t>www.vidiq.com</t>
        </is>
      </c>
      <c r="U621" s="131">
        <f>HYPERLINK("https://my.pitchbook.com?c=54710-11", "View company online")</f>
      </c>
    </row>
    <row r="622">
      <c r="A622" s="30" t="inlineStr">
        <is>
          <t>166688-02</t>
        </is>
      </c>
      <c r="B622" s="31" t="inlineStr">
        <is>
          <t>Videxio</t>
        </is>
      </c>
      <c r="C622" s="32" t="inlineStr">
        <is>
          <t/>
        </is>
      </c>
      <c r="D622" s="33" t="n">
        <v>0.17041128834393837</v>
      </c>
      <c r="E622" s="34" t="n">
        <v>1.9424694064524575</v>
      </c>
      <c r="F622" s="35" t="n">
        <v>41275.0</v>
      </c>
      <c r="G622" s="36" t="inlineStr">
        <is>
          <t>Early Stage VC</t>
        </is>
      </c>
      <c r="H622" s="37" t="inlineStr">
        <is>
          <t/>
        </is>
      </c>
      <c r="I622" s="38" t="inlineStr">
        <is>
          <t/>
        </is>
      </c>
      <c r="J622" s="39" t="inlineStr">
        <is>
          <t/>
        </is>
      </c>
      <c r="K622" s="40" t="inlineStr">
        <is>
          <t>Completed</t>
        </is>
      </c>
      <c r="L622" s="41" t="inlineStr">
        <is>
          <t>Privately Held (backing)</t>
        </is>
      </c>
      <c r="M622" s="42" t="inlineStr">
        <is>
          <t>Venture Capital-Backed</t>
        </is>
      </c>
      <c r="N622" s="43" t="inlineStr">
        <is>
          <t>The company raised an undisclosed amount of venture funding from Stavanger Venture and TD Veen in 2013.</t>
        </is>
      </c>
      <c r="O622" s="44" t="inlineStr">
        <is>
          <t>Stavanger Venture, TD Veen</t>
        </is>
      </c>
      <c r="P622" s="45" t="inlineStr">
        <is>
          <t/>
        </is>
      </c>
      <c r="Q622" s="46" t="inlineStr">
        <is>
          <t>Communication Software</t>
        </is>
      </c>
      <c r="R622" s="47" t="inlineStr">
        <is>
          <t>Provider of cloud-based video service platform. The company offers international video deployment service that helps other organizations to receive video communication facility. It provides video services that makes it easy for organizations to use professional video conferencing.</t>
        </is>
      </c>
      <c r="S622" s="48" t="inlineStr">
        <is>
          <t>Oslo, Norway</t>
        </is>
      </c>
      <c r="T622" s="49" t="inlineStr">
        <is>
          <t>www.videxio.com</t>
        </is>
      </c>
      <c r="U622" s="132">
        <f>HYPERLINK("https://my.pitchbook.com?c=166688-02", "View company online")</f>
      </c>
    </row>
    <row r="623">
      <c r="A623" s="9" t="inlineStr">
        <is>
          <t>53903-71</t>
        </is>
      </c>
      <c r="B623" s="10" t="inlineStr">
        <is>
          <t>Videopixie</t>
        </is>
      </c>
      <c r="C623" s="11" t="inlineStr">
        <is>
          <t/>
        </is>
      </c>
      <c r="D623" s="12" t="n">
        <v>0.1589286405493992</v>
      </c>
      <c r="E623" s="13" t="n">
        <v>4.545770062092833</v>
      </c>
      <c r="F623" s="14" t="n">
        <v>42142.0</v>
      </c>
      <c r="G623" s="15" t="inlineStr">
        <is>
          <t>Seed Round</t>
        </is>
      </c>
      <c r="H623" s="16" t="inlineStr">
        <is>
          <t>Seed</t>
        </is>
      </c>
      <c r="I623" s="17" t="n">
        <v>1.1</v>
      </c>
      <c r="J623" s="18" t="inlineStr">
        <is>
          <t/>
        </is>
      </c>
      <c r="K623" s="19" t="inlineStr">
        <is>
          <t>Completed</t>
        </is>
      </c>
      <c r="L623" s="20" t="inlineStr">
        <is>
          <t>Privately Held (backing)</t>
        </is>
      </c>
      <c r="M623" s="21" t="inlineStr">
        <is>
          <t>Venture Capital-Backed</t>
        </is>
      </c>
      <c r="N623" s="22" t="inlineStr">
        <is>
          <t>The company raised $1.1 million of seed funding from 500 Startups and Ambition.vc May 18, 2015. 18 individual investors also participated in this round.</t>
        </is>
      </c>
      <c r="O623" s="23" t="inlineStr">
        <is>
          <t>500 Startups, Abhay Parekh, ACE &amp; Company, Ambition.vc, Andrew Crichton, Bodley Group, Craig Albrecht, Dan Bragiel, Dan Ellis, Edouard Tabet, FundersClub, Jag Singh, Jason Calacanis, Jason Raznick, Jawed Karim, John Hauck, Kane Miller, Laurent Bernardin, Marc Bell Capital Partners, Nick Gopalani, Orange Fab, Prashant Chaudhary, Rory Cameron, Saad AlSogair, Seth Ginns, Start Fund, SV Angel, Y Combinator</t>
        </is>
      </c>
      <c r="P623" s="24" t="inlineStr">
        <is>
          <t/>
        </is>
      </c>
      <c r="Q623" s="25" t="inlineStr">
        <is>
          <t>Media and Information Services (B2B)</t>
        </is>
      </c>
      <c r="R623" s="26" t="inlineStr">
        <is>
          <t>Developer of video platform for online retailers. The company's video platform utilizes the SaaS platform for adding videos online to communicate and sell via online product videos, enabling retailers, gaming companies and individuals to hire the video professionals at a range of price points, to fit any budget and make trailers, using in-game footage or product videos and air the same on national TV.</t>
        </is>
      </c>
      <c r="S623" s="27" t="inlineStr">
        <is>
          <t>San Francisco, CA</t>
        </is>
      </c>
      <c r="T623" s="28" t="inlineStr">
        <is>
          <t>www.videopixie.com</t>
        </is>
      </c>
      <c r="U623" s="131">
        <f>HYPERLINK("https://my.pitchbook.com?c=53903-71", "View company online")</f>
      </c>
    </row>
    <row r="624">
      <c r="A624" s="30" t="inlineStr">
        <is>
          <t>56304-46</t>
        </is>
      </c>
      <c r="B624" s="31" t="inlineStr">
        <is>
          <t>Videokits</t>
        </is>
      </c>
      <c r="C624" s="32" t="inlineStr">
        <is>
          <t/>
        </is>
      </c>
      <c r="D624" s="33" t="n">
        <v>-0.025786837135724813</v>
      </c>
      <c r="E624" s="34" t="n">
        <v>0.3901259639468925</v>
      </c>
      <c r="F624" s="35" t="inlineStr">
        <is>
          <t/>
        </is>
      </c>
      <c r="G624" s="36" t="inlineStr">
        <is>
          <t>Early Stage VC</t>
        </is>
      </c>
      <c r="H624" s="37" t="inlineStr">
        <is>
          <t/>
        </is>
      </c>
      <c r="I624" s="38" t="inlineStr">
        <is>
          <t/>
        </is>
      </c>
      <c r="J624" s="39" t="inlineStr">
        <is>
          <t/>
        </is>
      </c>
      <c r="K624" s="40" t="inlineStr">
        <is>
          <t>Completed</t>
        </is>
      </c>
      <c r="L624" s="41" t="inlineStr">
        <is>
          <t>Privately Held (backing)</t>
        </is>
      </c>
      <c r="M624" s="42" t="inlineStr">
        <is>
          <t>Venture Capital-Backed</t>
        </is>
      </c>
      <c r="N624" s="43" t="inlineStr">
        <is>
          <t>The company raised venture funding from Ulu Ventures, Stanford Angels and Entrepreneurs and 500 Startups on an undisclosed date. UJ Ventures and Eric Chen also participated in this round.</t>
        </is>
      </c>
      <c r="O624" s="44" t="inlineStr">
        <is>
          <t>500 Startups, Stanford Angels and Entrepreneurs, UJ Ventures, Ulu Ventures</t>
        </is>
      </c>
      <c r="P624" s="45" t="inlineStr">
        <is>
          <t/>
        </is>
      </c>
      <c r="Q624" s="46" t="inlineStr">
        <is>
          <t>Movies, Music and Entertainment</t>
        </is>
      </c>
      <c r="R624" s="47" t="inlineStr">
        <is>
          <t>Developer of Videokits, a line of social video applications. The company provides a line of social video apps that provides a guided creation experience for shooting, editing and sharing movies using iPhone, iPad, iPod Touch and Android devices.</t>
        </is>
      </c>
      <c r="S624" s="48" t="inlineStr">
        <is>
          <t>Mountain View, CA</t>
        </is>
      </c>
      <c r="T624" s="49" t="inlineStr">
        <is>
          <t>www.tapshot.com</t>
        </is>
      </c>
      <c r="U624" s="132">
        <f>HYPERLINK("https://my.pitchbook.com?c=56304-46", "View company online")</f>
      </c>
    </row>
    <row r="625">
      <c r="A625" s="9" t="inlineStr">
        <is>
          <t>54086-59</t>
        </is>
      </c>
      <c r="B625" s="10" t="inlineStr">
        <is>
          <t>Videogram (Japan)</t>
        </is>
      </c>
      <c r="C625" s="11" t="inlineStr">
        <is>
          <t/>
        </is>
      </c>
      <c r="D625" s="12" t="n">
        <v>13.085230624019996</v>
      </c>
      <c r="E625" s="13" t="n">
        <v>6.8173814408154865</v>
      </c>
      <c r="F625" s="14" t="n">
        <v>42430.0</v>
      </c>
      <c r="G625" s="15" t="inlineStr">
        <is>
          <t>Early Stage VC</t>
        </is>
      </c>
      <c r="H625" s="16" t="inlineStr">
        <is>
          <t>Series B</t>
        </is>
      </c>
      <c r="I625" s="17" t="n">
        <v>0.6</v>
      </c>
      <c r="J625" s="18" t="inlineStr">
        <is>
          <t/>
        </is>
      </c>
      <c r="K625" s="19" t="inlineStr">
        <is>
          <t>Completed</t>
        </is>
      </c>
      <c r="L625" s="20" t="inlineStr">
        <is>
          <t>Privately Held (backing)</t>
        </is>
      </c>
      <c r="M625" s="21" t="inlineStr">
        <is>
          <t>Venture Capital-Backed</t>
        </is>
      </c>
      <c r="N625" s="22" t="inlineStr">
        <is>
          <t>The company raised $600,00 of convertible debt financing in a deal led by ABC Dream Ventures on March 1, 2016. 500 Startups also participated in this round.</t>
        </is>
      </c>
      <c r="O625" s="23" t="inlineStr">
        <is>
          <t>500 Startups, ABC Dream Ventures, Fierce Capital Markets, Jun LI, Jungle Ventures, Media Camp, NTT Docomo Ventures, Samsung Venture Investment, Tyra Banks</t>
        </is>
      </c>
      <c r="P625" s="24" t="inlineStr">
        <is>
          <t/>
        </is>
      </c>
      <c r="Q625" s="25" t="inlineStr">
        <is>
          <t>Multimedia and Design Software</t>
        </is>
      </c>
      <c r="R625" s="26" t="inlineStr">
        <is>
          <t>Provider of a media monetization platform. The company offers a mobile-based platform which helps in converting video into a pictorial summaries with multiple entry points and allowing videos to be browsed and discovered in the same manner as photos.</t>
        </is>
      </c>
      <c r="S625" s="27" t="inlineStr">
        <is>
          <t>Tokyo, Japan</t>
        </is>
      </c>
      <c r="T625" s="28" t="inlineStr">
        <is>
          <t>www.cinemacraft.tv</t>
        </is>
      </c>
      <c r="U625" s="131">
        <f>HYPERLINK("https://my.pitchbook.com?c=54086-59", "View company online")</f>
      </c>
    </row>
    <row r="626">
      <c r="A626" s="30" t="inlineStr">
        <is>
          <t>57847-33</t>
        </is>
      </c>
      <c r="B626" s="31" t="inlineStr">
        <is>
          <t>VideoElephant</t>
        </is>
      </c>
      <c r="C626" s="32" t="inlineStr">
        <is>
          <t/>
        </is>
      </c>
      <c r="D626" s="33" t="n">
        <v>0.12091616498401488</v>
      </c>
      <c r="E626" s="34" t="n">
        <v>2.1433209422708317</v>
      </c>
      <c r="F626" s="35" t="n">
        <v>42339.0</v>
      </c>
      <c r="G626" s="36" t="inlineStr">
        <is>
          <t>Seed Round</t>
        </is>
      </c>
      <c r="H626" s="37" t="inlineStr">
        <is>
          <t>Seed</t>
        </is>
      </c>
      <c r="I626" s="38" t="n">
        <v>1.0</v>
      </c>
      <c r="J626" s="39" t="inlineStr">
        <is>
          <t/>
        </is>
      </c>
      <c r="K626" s="40" t="inlineStr">
        <is>
          <t>Completed</t>
        </is>
      </c>
      <c r="L626" s="41" t="inlineStr">
        <is>
          <t>Privately Held (backing)</t>
        </is>
      </c>
      <c r="M626" s="42" t="inlineStr">
        <is>
          <t>Venture Capital-Backed</t>
        </is>
      </c>
      <c r="N626" s="43" t="inlineStr">
        <is>
          <t>The company raised $1 million of seed funding from Peter O'Grady Walshe, Enterprise Ireland and Tom Kennedy on December 1 ,2015.</t>
        </is>
      </c>
      <c r="O626" s="44" t="inlineStr">
        <is>
          <t>ACT Venture Capital, Barry Pitcher, Dublin Business Innovation Centre, Enterprise Ireland, NDRC, Paddy Bolger, Peter O'Grady Walshe, Propeller Venture Accelerator, Tom Kennedy</t>
        </is>
      </c>
      <c r="P626" s="45" t="inlineStr">
        <is>
          <t/>
        </is>
      </c>
      <c r="Q626" s="46" t="inlineStr">
        <is>
          <t>Movies, Music and Entertainment</t>
        </is>
      </c>
      <c r="R626" s="47" t="inlineStr">
        <is>
          <t>Provider of an online business to business video marketplace for buying and selling long and short form video content. The company offers a platform that allows content providers to sell their content to web publishers and broadcasters.</t>
        </is>
      </c>
      <c r="S626" s="48" t="inlineStr">
        <is>
          <t>Dublin, Ireland</t>
        </is>
      </c>
      <c r="T626" s="49" t="inlineStr">
        <is>
          <t>www.videoelephant.com</t>
        </is>
      </c>
      <c r="U626" s="132">
        <f>HYPERLINK("https://my.pitchbook.com?c=57847-33", "View company online")</f>
      </c>
    </row>
    <row r="627">
      <c r="A627" s="9" t="inlineStr">
        <is>
          <t>100373-50</t>
        </is>
      </c>
      <c r="B627" s="10" t="inlineStr">
        <is>
          <t>VideoAmp</t>
        </is>
      </c>
      <c r="C627" s="11" t="inlineStr">
        <is>
          <t/>
        </is>
      </c>
      <c r="D627" s="12" t="n">
        <v>0.04037661473218767</v>
      </c>
      <c r="E627" s="13" t="n">
        <v>2.120284828464637</v>
      </c>
      <c r="F627" s="14" t="n">
        <v>42353.0</v>
      </c>
      <c r="G627" s="15" t="inlineStr">
        <is>
          <t>Early Stage VC</t>
        </is>
      </c>
      <c r="H627" s="16" t="inlineStr">
        <is>
          <t>Series A</t>
        </is>
      </c>
      <c r="I627" s="17" t="n">
        <v>15.0</v>
      </c>
      <c r="J627" s="18" t="n">
        <v>42.94</v>
      </c>
      <c r="K627" s="19" t="inlineStr">
        <is>
          <t>Completed</t>
        </is>
      </c>
      <c r="L627" s="20" t="inlineStr">
        <is>
          <t>Privately Held (backing)</t>
        </is>
      </c>
      <c r="M627" s="21" t="inlineStr">
        <is>
          <t>Venture Capital-Backed</t>
        </is>
      </c>
      <c r="N627" s="22" t="inlineStr">
        <is>
          <t>The company raised $15 million in Series A venture funding in a round led by RTL Group on December 15, 2015, putting the company's pre-money valuation at $27.94 million. Anthem Venture Partners, Simon Equity Partners, Third Wave Capital, Wavemaker Partners, ZenShin Capital, Third Wave Digital and Startup Capital Ventures also participated in this round. The funding will be used to accelerate the development and adoption of the company's platform.</t>
        </is>
      </c>
      <c r="O627" s="23" t="inlineStr">
        <is>
          <t>Anthem Venture Partners, GoAhead Ventures, RTL Group, Simon Equity Partners, Startup Capital Ventures, Third Wave Capital, Third Wave Digital, Third Wave Ventures, Wavemaker Partners</t>
        </is>
      </c>
      <c r="P627" s="24" t="inlineStr">
        <is>
          <t/>
        </is>
      </c>
      <c r="Q627" s="25" t="inlineStr">
        <is>
          <t>Media and Information Services (B2B)</t>
        </is>
      </c>
      <c r="R627" s="26" t="inlineStr">
        <is>
          <t>Provider of a video advertising platform. The company offers a video advertising platform to buy, optimize and measure video advertisement across television, mobile and desktop.</t>
        </is>
      </c>
      <c r="S627" s="27" t="inlineStr">
        <is>
          <t>Santa Monica, CA</t>
        </is>
      </c>
      <c r="T627" s="28" t="inlineStr">
        <is>
          <t>www.videoamp.com</t>
        </is>
      </c>
      <c r="U627" s="131">
        <f>HYPERLINK("https://my.pitchbook.com?c=100373-50", "View company online")</f>
      </c>
    </row>
    <row r="628">
      <c r="A628" s="30" t="inlineStr">
        <is>
          <t>162129-52</t>
        </is>
      </c>
      <c r="B628" s="31" t="inlineStr">
        <is>
          <t>Video Intelligence</t>
        </is>
      </c>
      <c r="C628" s="32" t="inlineStr">
        <is>
          <t/>
        </is>
      </c>
      <c r="D628" s="33" t="n">
        <v>1.7006382857051212</v>
      </c>
      <c r="E628" s="34" t="n">
        <v>0.5887695148564713</v>
      </c>
      <c r="F628" s="35" t="inlineStr">
        <is>
          <t/>
        </is>
      </c>
      <c r="G628" s="36" t="inlineStr">
        <is>
          <t>Early Stage VC</t>
        </is>
      </c>
      <c r="H628" s="37" t="inlineStr">
        <is>
          <t/>
        </is>
      </c>
      <c r="I628" s="38" t="inlineStr">
        <is>
          <t/>
        </is>
      </c>
      <c r="J628" s="39" t="inlineStr">
        <is>
          <t/>
        </is>
      </c>
      <c r="K628" s="40" t="inlineStr">
        <is>
          <t>Completed</t>
        </is>
      </c>
      <c r="L628" s="41" t="inlineStr">
        <is>
          <t>Privately Held (backing)</t>
        </is>
      </c>
      <c r="M628" s="42" t="inlineStr">
        <is>
          <t>Venture Capital-Backed</t>
        </is>
      </c>
      <c r="N628" s="43" t="inlineStr">
        <is>
          <t>The company raised an undisclosed amount of venture funding from Creathor Venture.</t>
        </is>
      </c>
      <c r="O628" s="44" t="inlineStr">
        <is>
          <t>Creathor Venture</t>
        </is>
      </c>
      <c r="P628" s="45" t="inlineStr">
        <is>
          <t/>
        </is>
      </c>
      <c r="Q628" s="46" t="inlineStr">
        <is>
          <t>Media and Information Services (B2B)</t>
        </is>
      </c>
      <c r="R628" s="47" t="inlineStr">
        <is>
          <t>Operator of a predictive mobile marketing platform. The company, through its deep machine learning and behavior-based targeting, helps brand and performance marketers to deliver mobile marketing content to its target users.</t>
        </is>
      </c>
      <c r="S628" s="48" t="inlineStr">
        <is>
          <t>Zurich, Switzerland</t>
        </is>
      </c>
      <c r="T628" s="49" t="inlineStr">
        <is>
          <t>www.vi.ai</t>
        </is>
      </c>
      <c r="U628" s="132">
        <f>HYPERLINK("https://my.pitchbook.com?c=162129-52", "View company online")</f>
      </c>
    </row>
    <row r="629">
      <c r="A629" s="9" t="inlineStr">
        <is>
          <t>89570-98</t>
        </is>
      </c>
      <c r="B629" s="10" t="inlineStr">
        <is>
          <t>Viddyad</t>
        </is>
      </c>
      <c r="C629" s="11" t="inlineStr">
        <is>
          <t/>
        </is>
      </c>
      <c r="D629" s="12" t="n">
        <v>-3.9521938419954363</v>
      </c>
      <c r="E629" s="13" t="n">
        <v>6.404152973902422</v>
      </c>
      <c r="F629" s="14" t="n">
        <v>41661.0</v>
      </c>
      <c r="G629" s="15" t="inlineStr">
        <is>
          <t>Accelerator/Incubator</t>
        </is>
      </c>
      <c r="H629" s="16" t="inlineStr">
        <is>
          <t/>
        </is>
      </c>
      <c r="I629" s="17" t="inlineStr">
        <is>
          <t/>
        </is>
      </c>
      <c r="J629" s="18" t="inlineStr">
        <is>
          <t/>
        </is>
      </c>
      <c r="K629" s="19" t="inlineStr">
        <is>
          <t>Completed</t>
        </is>
      </c>
      <c r="L629" s="20" t="inlineStr">
        <is>
          <t>Privately Held (backing)</t>
        </is>
      </c>
      <c r="M629" s="21" t="inlineStr">
        <is>
          <t>Venture Capital-Backed</t>
        </is>
      </c>
      <c r="N629" s="22" t="inlineStr">
        <is>
          <t>The company joined SXSW Accelerator as part of the 2014 Class on January 22, 2014. Earlier, the company raised EUR 700,000 of seed funding from Enterprise Ireland and other undisclosed investors in 2014 and EUR 1 million of angel funding from undisclosed investors on September 18, 2013.</t>
        </is>
      </c>
      <c r="O629" s="23" t="inlineStr">
        <is>
          <t>Enterprise Ireland, SXSW Accelerator</t>
        </is>
      </c>
      <c r="P629" s="24" t="inlineStr">
        <is>
          <t/>
        </is>
      </c>
      <c r="Q629" s="25" t="inlineStr">
        <is>
          <t>Media and Information Services (B2B)</t>
        </is>
      </c>
      <c r="R629" s="26" t="inlineStr">
        <is>
          <t>Provider of advertisement creation and distribution platform. The company offers a platform that enables businesses to create and publish their own video advertisements online.</t>
        </is>
      </c>
      <c r="S629" s="27" t="inlineStr">
        <is>
          <t>Dublin, Ireland</t>
        </is>
      </c>
      <c r="T629" s="28" t="inlineStr">
        <is>
          <t>www.viddyad.com</t>
        </is>
      </c>
      <c r="U629" s="131">
        <f>HYPERLINK("https://my.pitchbook.com?c=89570-98", "View company online")</f>
      </c>
    </row>
    <row r="630">
      <c r="A630" s="30" t="inlineStr">
        <is>
          <t>52915-69</t>
        </is>
      </c>
      <c r="B630" s="31" t="inlineStr">
        <is>
          <t>Vidder</t>
        </is>
      </c>
      <c r="C630" s="32" t="inlineStr">
        <is>
          <t/>
        </is>
      </c>
      <c r="D630" s="33" t="n">
        <v>0.2979680467582638</v>
      </c>
      <c r="E630" s="34" t="n">
        <v>2.1878912811116202</v>
      </c>
      <c r="F630" s="35" t="n">
        <v>42082.0</v>
      </c>
      <c r="G630" s="36" t="inlineStr">
        <is>
          <t>Later Stage VC</t>
        </is>
      </c>
      <c r="H630" s="37" t="inlineStr">
        <is>
          <t>Series B</t>
        </is>
      </c>
      <c r="I630" s="38" t="n">
        <v>12.0</v>
      </c>
      <c r="J630" s="39" t="n">
        <v>32.0</v>
      </c>
      <c r="K630" s="40" t="inlineStr">
        <is>
          <t>Completed</t>
        </is>
      </c>
      <c r="L630" s="41" t="inlineStr">
        <is>
          <t>Privately Held (backing)</t>
        </is>
      </c>
      <c r="M630" s="42" t="inlineStr">
        <is>
          <t>Venture Capital-Backed</t>
        </is>
      </c>
      <c r="N630" s="43" t="inlineStr">
        <is>
          <t>The company raised $12 million of Series B venture funding led by LDV Partners on March 19, 2015, putting the company's pre-money valuation at $20 million. Presidio Ventures, Envision Ventures, ONSET Ventures and Voyager Capital also participated in the round. The company will use the funding to expand global marketing, sales and customer service. Previously, the company raised $2.29 million of Series A venture funding from undisclosed investors on August 4, 2014, putting the company's pre-money valuation at $8.57 million.</t>
        </is>
      </c>
      <c r="O630" s="44" t="inlineStr">
        <is>
          <t>Envision Ventures, LDV Partners, ONSET Ventures, Presidio Ventures, Voyager Capital</t>
        </is>
      </c>
      <c r="P630" s="45" t="inlineStr">
        <is>
          <t/>
        </is>
      </c>
      <c r="Q630" s="46" t="inlineStr">
        <is>
          <t>Network Management Software</t>
        </is>
      </c>
      <c r="R630" s="47" t="inlineStr">
        <is>
          <t>Provider of a software for custom security services. The company designs and aids in the deployment of custom security software for enterprises, large industrial organizations and government agencies.</t>
        </is>
      </c>
      <c r="S630" s="48" t="inlineStr">
        <is>
          <t>Campbell, CA</t>
        </is>
      </c>
      <c r="T630" s="49" t="inlineStr">
        <is>
          <t>www.vidder.com</t>
        </is>
      </c>
      <c r="U630" s="132">
        <f>HYPERLINK("https://my.pitchbook.com?c=52915-69", "View company online")</f>
      </c>
    </row>
    <row r="631">
      <c r="A631" s="9" t="inlineStr">
        <is>
          <t>103387-06</t>
        </is>
      </c>
      <c r="B631" s="10" t="inlineStr">
        <is>
          <t>Vida Systems</t>
        </is>
      </c>
      <c r="C631" s="11" t="inlineStr">
        <is>
          <t/>
        </is>
      </c>
      <c r="D631" s="12" t="n">
        <v>0.15011456323551325</v>
      </c>
      <c r="E631" s="13" t="n">
        <v>0.24381857644569507</v>
      </c>
      <c r="F631" s="14" t="n">
        <v>41852.0</v>
      </c>
      <c r="G631" s="15" t="inlineStr">
        <is>
          <t>Grant</t>
        </is>
      </c>
      <c r="H631" s="16" t="inlineStr">
        <is>
          <t/>
        </is>
      </c>
      <c r="I631" s="17" t="n">
        <v>0.03</v>
      </c>
      <c r="J631" s="18" t="inlineStr">
        <is>
          <t/>
        </is>
      </c>
      <c r="K631" s="19" t="inlineStr">
        <is>
          <t>Completed</t>
        </is>
      </c>
      <c r="L631" s="20" t="inlineStr">
        <is>
          <t>Privately Held (backing)</t>
        </is>
      </c>
      <c r="M631" s="21" t="inlineStr">
        <is>
          <t>Venture Capital-Backed</t>
        </is>
      </c>
      <c r="N631" s="22" t="inlineStr">
        <is>
          <t>The company received $25,000 of grant funding from Fogarty Institute for Innovation on August 1, 2014. Previously, the company joined Tallwave Capital and received $350,000 in funding on June 9, 2014. J&amp;J COSAT, Lane Melchor and Randy Martin also participated in the transaction. Prior to this, the company raised $425,000 of seed funding from undisclosed investors on August 1, 2013.</t>
        </is>
      </c>
      <c r="O631" s="23" t="inlineStr">
        <is>
          <t>Fogarty Institute for Innovation, J&amp;J COSAT, Lane Melchor, Randy Martin, Tallwave Capital</t>
        </is>
      </c>
      <c r="P631" s="24" t="inlineStr">
        <is>
          <t/>
        </is>
      </c>
      <c r="Q631" s="25" t="inlineStr">
        <is>
          <t>Application Software</t>
        </is>
      </c>
      <c r="R631" s="26" t="inlineStr">
        <is>
          <t>Provider of an application for anatomy and physiology education. The company offers an online science-teaching platform that uses 3D graphics, social media integration and game-based learning to educate college students in human anatomy and physiology.</t>
        </is>
      </c>
      <c r="S631" s="27" t="inlineStr">
        <is>
          <t>Mountain View, CA</t>
        </is>
      </c>
      <c r="T631" s="28" t="inlineStr">
        <is>
          <t>www.vidasystems.com</t>
        </is>
      </c>
      <c r="U631" s="131">
        <f>HYPERLINK("https://my.pitchbook.com?c=103387-06", "View company online")</f>
      </c>
    </row>
    <row r="632">
      <c r="A632" s="30" t="inlineStr">
        <is>
          <t>98895-34</t>
        </is>
      </c>
      <c r="B632" s="31" t="inlineStr">
        <is>
          <t>Vida Health</t>
        </is>
      </c>
      <c r="C632" s="32" t="inlineStr">
        <is>
          <t/>
        </is>
      </c>
      <c r="D632" s="33" t="n">
        <v>0.12068539994439043</v>
      </c>
      <c r="E632" s="34" t="n">
        <v>11.557410500299225</v>
      </c>
      <c r="F632" s="35" t="n">
        <v>42712.0</v>
      </c>
      <c r="G632" s="36" t="inlineStr">
        <is>
          <t>Early Stage VC</t>
        </is>
      </c>
      <c r="H632" s="37" t="inlineStr">
        <is>
          <t>Series B3</t>
        </is>
      </c>
      <c r="I632" s="38" t="n">
        <v>18.0</v>
      </c>
      <c r="J632" s="39" t="n">
        <v>74.34</v>
      </c>
      <c r="K632" s="40" t="inlineStr">
        <is>
          <t>Completed</t>
        </is>
      </c>
      <c r="L632" s="41" t="inlineStr">
        <is>
          <t>Privately Held (backing)</t>
        </is>
      </c>
      <c r="M632" s="42" t="inlineStr">
        <is>
          <t>Venture Capital-Backed</t>
        </is>
      </c>
      <c r="N632" s="43" t="inlineStr">
        <is>
          <t>The company raised $18 million of Series B3 venture funding in a deal led by Canvas Ventures on December 8, 2016, putting the pre-money valuation at $56.34 million. Aspect Venture Partners and Nokia Growth Partners also participated in the round. The funds will be used to scale its mobile platform.</t>
        </is>
      </c>
      <c r="O632" s="44" t="inlineStr">
        <is>
          <t>AME Cloud Ventures, Aspect Venture Partners, Canvas Venture Fund, Individual Investor, Jerry Yang, Kevin Scott, Khosla Ventures, Lorrie Norrington, Maynard Webb, Nokia Growth Partners, Oxeon Partners, Plug and Play Tech Center, Signia Venture Partners, Skip Battle, StartX, The Valley Fund, Webb Investment Network</t>
        </is>
      </c>
      <c r="P632" s="45" t="inlineStr">
        <is>
          <t/>
        </is>
      </c>
      <c r="Q632" s="46" t="inlineStr">
        <is>
          <t>Application Software</t>
        </is>
      </c>
      <c r="R632" s="47" t="inlineStr">
        <is>
          <t>Developer of a mobile health coaching application. The company offers a healthcare application which pairs its users with health coaches to provide support and accountability, as well as addressing chronic health conditions.</t>
        </is>
      </c>
      <c r="S632" s="48" t="inlineStr">
        <is>
          <t>San Francisco, CA</t>
        </is>
      </c>
      <c r="T632" s="49" t="inlineStr">
        <is>
          <t>www.vida.com</t>
        </is>
      </c>
      <c r="U632" s="132">
        <f>HYPERLINK("https://my.pitchbook.com?c=98895-34", "View company online")</f>
      </c>
    </row>
    <row r="633">
      <c r="A633" s="9" t="inlineStr">
        <is>
          <t>99393-22</t>
        </is>
      </c>
      <c r="B633" s="10" t="inlineStr">
        <is>
          <t>VIDA</t>
        </is>
      </c>
      <c r="C633" s="11" t="inlineStr">
        <is>
          <t/>
        </is>
      </c>
      <c r="D633" s="12" t="n">
        <v>0.9371110808342064</v>
      </c>
      <c r="E633" s="13" t="n">
        <v>24.84667558652452</v>
      </c>
      <c r="F633" s="14" t="n">
        <v>42552.0</v>
      </c>
      <c r="G633" s="15" t="inlineStr">
        <is>
          <t>Seed Round</t>
        </is>
      </c>
      <c r="H633" s="16" t="inlineStr">
        <is>
          <t>Seed</t>
        </is>
      </c>
      <c r="I633" s="17" t="inlineStr">
        <is>
          <t/>
        </is>
      </c>
      <c r="J633" s="18" t="inlineStr">
        <is>
          <t/>
        </is>
      </c>
      <c r="K633" s="19" t="inlineStr">
        <is>
          <t>Completed</t>
        </is>
      </c>
      <c r="L633" s="20" t="inlineStr">
        <is>
          <t>Privately Held (backing)</t>
        </is>
      </c>
      <c r="M633" s="21" t="inlineStr">
        <is>
          <t>Venture Capital-Backed</t>
        </is>
      </c>
      <c r="N633" s="22" t="inlineStr">
        <is>
          <t>The company raised an undisclosed amount of seed funding from Azure Capital Partners, HOF Capital (New York), GV and The Valley Fund on July 1, 2016.</t>
        </is>
      </c>
      <c r="O633" s="23" t="inlineStr">
        <is>
          <t>Azure Capital Partners, Beehive Holdings, GV, HOF Capital (New York), Indicator Ventures, Individual Investor, Jesse Draper, Old City Investment Partners, Othman Laraki, Slow Ventures, The Angels' Forum, The Valley Fund, Universal Music Group, Zuhair Fayez Partnership Consultants</t>
        </is>
      </c>
      <c r="P633" s="24" t="inlineStr">
        <is>
          <t/>
        </is>
      </c>
      <c r="Q633" s="25" t="inlineStr">
        <is>
          <t>Internet Retail</t>
        </is>
      </c>
      <c r="R633" s="26" t="inlineStr">
        <is>
          <t>Developer of an e-commerce platform designed to bridge the gap between designers, artists, producers and consumers. The company provides a global e-commerce platform that unites socially responsible shopping with a manufacturing model, enabling shoppers to discover artists from all disciplines, including painters, photographers, graphic designers, sculptors, architects, textile artists, and print designers located across the globe.</t>
        </is>
      </c>
      <c r="S633" s="27" t="inlineStr">
        <is>
          <t>San Francisco, CA</t>
        </is>
      </c>
      <c r="T633" s="28" t="inlineStr">
        <is>
          <t>www.shopvida.com</t>
        </is>
      </c>
      <c r="U633" s="131">
        <f>HYPERLINK("https://my.pitchbook.com?c=99393-22", "View company online")</f>
      </c>
    </row>
    <row r="634">
      <c r="A634" s="30" t="inlineStr">
        <is>
          <t>58411-09</t>
        </is>
      </c>
      <c r="B634" s="31" t="inlineStr">
        <is>
          <t>Victorious</t>
        </is>
      </c>
      <c r="C634" s="32" t="inlineStr">
        <is>
          <t/>
        </is>
      </c>
      <c r="D634" s="33" t="n">
        <v>0.0746387216128685</v>
      </c>
      <c r="E634" s="34" t="n">
        <v>1.2332129318496303</v>
      </c>
      <c r="F634" s="35" t="n">
        <v>42514.0</v>
      </c>
      <c r="G634" s="36" t="inlineStr">
        <is>
          <t>Later Stage VC</t>
        </is>
      </c>
      <c r="H634" s="37" t="inlineStr">
        <is>
          <t>Series C</t>
        </is>
      </c>
      <c r="I634" s="38" t="n">
        <v>25.0</v>
      </c>
      <c r="J634" s="39" t="n">
        <v>213.77</v>
      </c>
      <c r="K634" s="40" t="inlineStr">
        <is>
          <t>Completed</t>
        </is>
      </c>
      <c r="L634" s="41" t="inlineStr">
        <is>
          <t>Privately Held (backing)</t>
        </is>
      </c>
      <c r="M634" s="42" t="inlineStr">
        <is>
          <t>Venture Capital-Backed</t>
        </is>
      </c>
      <c r="N634" s="43" t="inlineStr">
        <is>
          <t>The company raised $25 million of Series C venture funding from Marker, Dentsu Ventures and Redpoint Ventures on May 24, 2016, putting the company's pre-money valuation at $188.77 million. Kleiner Perkins Caufield &amp; Byers also participated in the round. The company will use the funding for the growth and development of the company.</t>
        </is>
      </c>
      <c r="O634" s="44" t="inlineStr">
        <is>
          <t>Advancit Capital, A-Grade Investments, Bertelsmann Digital Media Investments, Canaan Partners, Christopher Sacca, Dentsu Ventures, Freelands Ventures, InterWest Partners, Karlin Ventures, Kleiner Perkins Caufield &amp; Byers, Lowercase Capital, Marker, Mucker Capital, Redpoint Ventures, United Talent Agency, William Morris Endeavor Entertainment</t>
        </is>
      </c>
      <c r="P634" s="45" t="inlineStr">
        <is>
          <t/>
        </is>
      </c>
      <c r="Q634" s="46" t="inlineStr">
        <is>
          <t>Social/Platform Software</t>
        </is>
      </c>
      <c r="R634" s="47" t="inlineStr">
        <is>
          <t>Provider of a mobile platform that powers superfan apps for the world’s biggest creators. The company empowers creators to distribute all of their multimedia content in their own apps, interact more deeply and directly with their fan communities and unlock new revenue streams.</t>
        </is>
      </c>
      <c r="S634" s="48" t="inlineStr">
        <is>
          <t>Santa Monica, CA</t>
        </is>
      </c>
      <c r="T634" s="49" t="inlineStr">
        <is>
          <t>www.victorious.com</t>
        </is>
      </c>
      <c r="U634" s="132">
        <f>HYPERLINK("https://my.pitchbook.com?c=58411-09", "View company online")</f>
      </c>
    </row>
    <row r="635">
      <c r="A635" s="9" t="inlineStr">
        <is>
          <t>61175-80</t>
        </is>
      </c>
      <c r="B635" s="10" t="inlineStr">
        <is>
          <t>Victor</t>
        </is>
      </c>
      <c r="C635" s="11" t="inlineStr">
        <is>
          <t/>
        </is>
      </c>
      <c r="D635" s="12" t="n">
        <v>1.942525067752144</v>
      </c>
      <c r="E635" s="13" t="n">
        <v>27.84808242024528</v>
      </c>
      <c r="F635" s="14" t="inlineStr">
        <is>
          <t/>
        </is>
      </c>
      <c r="G635" s="15" t="inlineStr">
        <is>
          <t>Early Stage VC</t>
        </is>
      </c>
      <c r="H635" s="16" t="inlineStr">
        <is>
          <t/>
        </is>
      </c>
      <c r="I635" s="17" t="inlineStr">
        <is>
          <t/>
        </is>
      </c>
      <c r="J635" s="18" t="inlineStr">
        <is>
          <t/>
        </is>
      </c>
      <c r="K635" s="19" t="inlineStr">
        <is>
          <t>Completed</t>
        </is>
      </c>
      <c r="L635" s="20" t="inlineStr">
        <is>
          <t>Privately Held (backing)</t>
        </is>
      </c>
      <c r="M635" s="21" t="inlineStr">
        <is>
          <t>Venture Capital-Backed</t>
        </is>
      </c>
      <c r="N635" s="22" t="inlineStr">
        <is>
          <t>The company raised venture funding from GR Capital on an undisclosed date.</t>
        </is>
      </c>
      <c r="O635" s="23" t="inlineStr">
        <is>
          <t>Andrew Pisker, GR Capital, Tim Richards</t>
        </is>
      </c>
      <c r="P635" s="24" t="inlineStr">
        <is>
          <t/>
        </is>
      </c>
      <c r="Q635" s="25" t="inlineStr">
        <is>
          <t>Air</t>
        </is>
      </c>
      <c r="R635" s="26" t="inlineStr">
        <is>
          <t>Provider of an on-demand private jet charter service intended to make comparing, booking, and managing private jet charters easier than ever before. The company's service offers full transparency and information via its smartphone application, providing customers with safety information, aircraft photos, price estimates, and in-flight management at a tap of the finger.</t>
        </is>
      </c>
      <c r="S635" s="27" t="inlineStr">
        <is>
          <t>London, United Kingdom</t>
        </is>
      </c>
      <c r="T635" s="28" t="inlineStr">
        <is>
          <t>www.flyvictor.com</t>
        </is>
      </c>
      <c r="U635" s="131">
        <f>HYPERLINK("https://my.pitchbook.com?c=61175-80", "View company online")</f>
      </c>
    </row>
    <row r="636">
      <c r="A636" s="30" t="inlineStr">
        <is>
          <t>167335-57</t>
        </is>
      </c>
      <c r="B636" s="31" t="inlineStr">
        <is>
          <t>Vicarious VR</t>
        </is>
      </c>
      <c r="C636" s="32" t="inlineStr">
        <is>
          <t/>
        </is>
      </c>
      <c r="D636" s="33" t="n">
        <v>1.9559249476756195</v>
      </c>
      <c r="E636" s="34" t="n">
        <v>1.267788975416094</v>
      </c>
      <c r="F636" s="35" t="n">
        <v>42370.0</v>
      </c>
      <c r="G636" s="36" t="inlineStr">
        <is>
          <t>Early Stage VC</t>
        </is>
      </c>
      <c r="H636" s="37" t="inlineStr">
        <is>
          <t/>
        </is>
      </c>
      <c r="I636" s="38" t="inlineStr">
        <is>
          <t/>
        </is>
      </c>
      <c r="J636" s="39" t="inlineStr">
        <is>
          <t/>
        </is>
      </c>
      <c r="K636" s="40" t="inlineStr">
        <is>
          <t>Completed</t>
        </is>
      </c>
      <c r="L636" s="41" t="inlineStr">
        <is>
          <t>Privately Held (backing)</t>
        </is>
      </c>
      <c r="M636" s="42" t="inlineStr">
        <is>
          <t>Venture Capital-Backed</t>
        </is>
      </c>
      <c r="N636" s="43" t="inlineStr">
        <is>
          <t>The company raised an undisclosed amount of venture funding from Virtual Reality Investment in 2016.</t>
        </is>
      </c>
      <c r="O636" s="44" t="inlineStr">
        <is>
          <t>Maveron, Virtual Reality Investments</t>
        </is>
      </c>
      <c r="P636" s="45" t="inlineStr">
        <is>
          <t/>
        </is>
      </c>
      <c r="Q636" s="46" t="inlineStr">
        <is>
          <t>Social/Platform Software</t>
        </is>
      </c>
      <c r="R636" s="47" t="inlineStr">
        <is>
          <t>Provider of a social media platform for sharing virtual reality stories. The company's platform enables users to create and share snippets of their animated photos and videos on a social media through virtual reality platform.</t>
        </is>
      </c>
      <c r="S636" s="48" t="inlineStr">
        <is>
          <t>San Francisco, CA</t>
        </is>
      </c>
      <c r="T636" s="49" t="inlineStr">
        <is>
          <t>www.vicariousvr.com</t>
        </is>
      </c>
      <c r="U636" s="132">
        <f>HYPERLINK("https://my.pitchbook.com?c=167335-57", "View company online")</f>
      </c>
    </row>
    <row r="637">
      <c r="A637" s="9" t="inlineStr">
        <is>
          <t>51577-03</t>
        </is>
      </c>
      <c r="B637" s="10" t="inlineStr">
        <is>
          <t>Vicarious</t>
        </is>
      </c>
      <c r="C637" s="11" t="inlineStr">
        <is>
          <t/>
        </is>
      </c>
      <c r="D637" s="12" t="n">
        <v>0.19726353536129793</v>
      </c>
      <c r="E637" s="13" t="n">
        <v>5.331488591971274</v>
      </c>
      <c r="F637" s="14" t="n">
        <v>42503.0</v>
      </c>
      <c r="G637" s="15" t="inlineStr">
        <is>
          <t>Convertible Debt</t>
        </is>
      </c>
      <c r="H637" s="16" t="inlineStr">
        <is>
          <t/>
        </is>
      </c>
      <c r="I637" s="17" t="n">
        <v>1.02</v>
      </c>
      <c r="J637" s="18" t="inlineStr">
        <is>
          <t/>
        </is>
      </c>
      <c r="K637" s="19" t="inlineStr">
        <is>
          <t>Completed</t>
        </is>
      </c>
      <c r="L637" s="20" t="inlineStr">
        <is>
          <t>Privately Held (backing)</t>
        </is>
      </c>
      <c r="M637" s="21" t="inlineStr">
        <is>
          <t>Venture Capital-Backed</t>
        </is>
      </c>
      <c r="N637" s="22" t="inlineStr">
        <is>
          <t>The company raised $1.03 million of convertible debt financing from undisclosed investors on May 13, 2016. It also received an undisclosed amount of venture funding from Wipro Ventures, Samsung Venture Investment and Jeffrey Bezos on August 19, 2015. Janus Friis, Marc Benioff, Adam D'Angelo, A-Grade Investments, Presence Capital and Derek Collison also participated in the round. The company is being actively tracked by PitchBook.</t>
        </is>
      </c>
      <c r="O637" s="23" t="inlineStr">
        <is>
          <t>Aaron Levie, ABB Technology Ventures, Adam D'Angelo, A-Grade Investments, AME Cloud Ventures, Anduin Ventures, Ashton Kutcher, Bezos Expeditions, Bryan Johnson, Data Collective, Derek Collison, Dustin Moskovitz, Elon Musk, Felicis Ventures, Formation 8, Founders Fund, Good Ventures, Individual Investor, Initialized Capital, Janus Friis, Jeffrey Bezos, Jerry Yang, Khosla Ventures, Marc Benioff, Mark Zuckerberg, Metaplanet Holdings, Open Field Capital, Orfin Ventures, OS Fund, Peter Diamandis, Peter Thiel, Presence Capital, Sam Altman, Samsung Venture Investment, Steve Brown, Vinod Khosla, Wipro Ventures, Y Combinator, Zarco Investment Group</t>
        </is>
      </c>
      <c r="P637" s="24" t="inlineStr">
        <is>
          <t/>
        </is>
      </c>
      <c r="Q637" s="25" t="inlineStr">
        <is>
          <t>Application Software</t>
        </is>
      </c>
      <c r="R637" s="26" t="inlineStr">
        <is>
          <t>Developer of artificial intelligence (AI) algorithms designed to mimic the function of the human brain. The company's artificial intelligence (AI) algorithms is developing a unified algorithmic architecture to achieve human-level intelligence in vision, language and motor control and focuses on visual perception problems, such as recognition, segmentation and scene parsing, enabling businesses to use computers that have achieved human-level intelligence to work efficiently.</t>
        </is>
      </c>
      <c r="S637" s="27" t="inlineStr">
        <is>
          <t>Palo Alto, CA</t>
        </is>
      </c>
      <c r="T637" s="28" t="inlineStr">
        <is>
          <t>www.vicarious.com</t>
        </is>
      </c>
      <c r="U637" s="131">
        <f>HYPERLINK("https://my.pitchbook.com?c=51577-03", "View company online")</f>
      </c>
    </row>
    <row r="638">
      <c r="A638" s="30" t="inlineStr">
        <is>
          <t>13172-14</t>
        </is>
      </c>
      <c r="B638" s="31" t="inlineStr">
        <is>
          <t>Vibrant (Media)</t>
        </is>
      </c>
      <c r="C638" s="32" t="n">
        <v>87.76</v>
      </c>
      <c r="D638" s="33" t="n">
        <v>0.7292292176284573</v>
      </c>
      <c r="E638" s="34" t="n">
        <v>39.64122726526927</v>
      </c>
      <c r="F638" s="35" t="n">
        <v>42181.0</v>
      </c>
      <c r="G638" s="36" t="inlineStr">
        <is>
          <t>Secondary Transaction - Private</t>
        </is>
      </c>
      <c r="H638" s="37" t="inlineStr">
        <is>
          <t/>
        </is>
      </c>
      <c r="I638" s="38" t="n">
        <v>1.9</v>
      </c>
      <c r="J638" s="39" t="inlineStr">
        <is>
          <t/>
        </is>
      </c>
      <c r="K638" s="40" t="inlineStr">
        <is>
          <t>Completed</t>
        </is>
      </c>
      <c r="L638" s="41" t="inlineStr">
        <is>
          <t>Privately Held (backing)</t>
        </is>
      </c>
      <c r="M638" s="42" t="inlineStr">
        <is>
          <t>Venture Capital-Backed</t>
        </is>
      </c>
      <c r="N638" s="43" t="inlineStr">
        <is>
          <t>ABS Capital Partners sold it's stake in the company for $1.9 million on June 26, 2015.</t>
        </is>
      </c>
      <c r="O638" s="44" t="inlineStr">
        <is>
          <t>BNP Paribas Fortis</t>
        </is>
      </c>
      <c r="P638" s="45" t="inlineStr">
        <is>
          <t/>
        </is>
      </c>
      <c r="Q638" s="46" t="inlineStr">
        <is>
          <t>Business/Productivity Software</t>
        </is>
      </c>
      <c r="R638" s="47" t="inlineStr">
        <is>
          <t>Provider of contextual and in-text advertising service designed to change advertising on the web by placing brand messaging within the content of the page. The company's contextual and in-text advertising platform offers services such as contextual online advertising, raising brand awareness, brand engagement, and driving qualified traffic, enabling advertisers and publishers to engage consumers with the content and connect with the brand.</t>
        </is>
      </c>
      <c r="S638" s="48" t="inlineStr">
        <is>
          <t>New York, NY</t>
        </is>
      </c>
      <c r="T638" s="49" t="inlineStr">
        <is>
          <t>www.vibrantmedia.com</t>
        </is>
      </c>
      <c r="U638" s="132">
        <f>HYPERLINK("https://my.pitchbook.com?c=13172-14", "View company online")</f>
      </c>
    </row>
    <row r="639">
      <c r="A639" s="9" t="inlineStr">
        <is>
          <t>66035-98</t>
        </is>
      </c>
      <c r="B639" s="10" t="inlineStr">
        <is>
          <t>Vibrado Technologies</t>
        </is>
      </c>
      <c r="C639" s="11" t="inlineStr">
        <is>
          <t/>
        </is>
      </c>
      <c r="D639" s="12" t="n">
        <v>-0.0026519553525579612</v>
      </c>
      <c r="E639" s="13" t="n">
        <v>0.4836782487298331</v>
      </c>
      <c r="F639" s="14" t="n">
        <v>41864.0</v>
      </c>
      <c r="G639" s="15" t="inlineStr">
        <is>
          <t>Early Stage VC</t>
        </is>
      </c>
      <c r="H639" s="16" t="inlineStr">
        <is>
          <t/>
        </is>
      </c>
      <c r="I639" s="17" t="n">
        <v>1.36</v>
      </c>
      <c r="J639" s="18" t="n">
        <v>5.28</v>
      </c>
      <c r="K639" s="19" t="inlineStr">
        <is>
          <t>Completed</t>
        </is>
      </c>
      <c r="L639" s="20" t="inlineStr">
        <is>
          <t>Privately Held (backing)</t>
        </is>
      </c>
      <c r="M639" s="21" t="inlineStr">
        <is>
          <t>Venture Capital-Backed</t>
        </is>
      </c>
      <c r="N639" s="22" t="inlineStr">
        <is>
          <t>The company raised $1.36 million of Series Seed venture funding from Khosla Ventures, Raja Bose and other undisclosed investors on August 13, 2014, putting the pre-money valuation at $3.93 million.</t>
        </is>
      </c>
      <c r="O639" s="23" t="inlineStr">
        <is>
          <t>Khosla Ventures, Raja Bose</t>
        </is>
      </c>
      <c r="P639" s="24" t="inlineStr">
        <is>
          <t/>
        </is>
      </c>
      <c r="Q639" s="25" t="inlineStr">
        <is>
          <t>Recreational Goods</t>
        </is>
      </c>
      <c r="R639" s="26" t="inlineStr">
        <is>
          <t>Developer of sensor-embedded sports arm sleeves. The company develops a wearable technology arm sleeve that analyzes the shot performance of the basketball players to provide performance feedback.</t>
        </is>
      </c>
      <c r="S639" s="27" t="inlineStr">
        <is>
          <t>Sunnyvale, CA</t>
        </is>
      </c>
      <c r="T639" s="28" t="inlineStr">
        <is>
          <t>www.vibradotech.com</t>
        </is>
      </c>
      <c r="U639" s="131">
        <f>HYPERLINK("https://my.pitchbook.com?c=66035-98", "View company online")</f>
      </c>
    </row>
    <row r="640">
      <c r="A640" s="30" t="inlineStr">
        <is>
          <t>163662-58</t>
        </is>
      </c>
      <c r="B640" s="31" t="inlineStr">
        <is>
          <t>Vibes</t>
        </is>
      </c>
      <c r="C640" s="32" t="inlineStr">
        <is>
          <t/>
        </is>
      </c>
      <c r="D640" s="33" t="n">
        <v>0.0</v>
      </c>
      <c r="E640" s="34" t="n">
        <v>0.8918918918918919</v>
      </c>
      <c r="F640" s="35" t="n">
        <v>42446.0</v>
      </c>
      <c r="G640" s="36" t="inlineStr">
        <is>
          <t>Seed Round</t>
        </is>
      </c>
      <c r="H640" s="37" t="inlineStr">
        <is>
          <t>Seed</t>
        </is>
      </c>
      <c r="I640" s="38" t="n">
        <v>1.5</v>
      </c>
      <c r="J640" s="39" t="n">
        <v>7.5</v>
      </c>
      <c r="K640" s="40" t="inlineStr">
        <is>
          <t>Completed</t>
        </is>
      </c>
      <c r="L640" s="41" t="inlineStr">
        <is>
          <t>Privately Held (backing)</t>
        </is>
      </c>
      <c r="M640" s="42" t="inlineStr">
        <is>
          <t>Venture Capital-Backed</t>
        </is>
      </c>
      <c r="N640" s="43" t="inlineStr">
        <is>
          <t>The company raised an estimated $1.5 million of seed funding from Designer Fund on March 17, 2016, putting the estimated pre-money valuation at $6 million.</t>
        </is>
      </c>
      <c r="O640" s="44" t="inlineStr">
        <is>
          <t>Designer Fund</t>
        </is>
      </c>
      <c r="P640" s="45" t="inlineStr">
        <is>
          <t/>
        </is>
      </c>
      <c r="Q640" s="46" t="inlineStr">
        <is>
          <t>Communication Software</t>
        </is>
      </c>
      <c r="R640" s="47" t="inlineStr">
        <is>
          <t>Developer of a video messaging mobile application designed to offer a a friendly virtual place to meet new people. The company's video messaging mobile application offers an online platform, an anonymous way to meet new people online and video messaging facilities, enabling users to chat, share and meet with new people.</t>
        </is>
      </c>
      <c r="S640" s="48" t="inlineStr">
        <is>
          <t>San Francisco, CA</t>
        </is>
      </c>
      <c r="T640" s="49" t="inlineStr">
        <is>
          <t>www.vibes.af</t>
        </is>
      </c>
      <c r="U640" s="132">
        <f>HYPERLINK("https://my.pitchbook.com?c=163662-58", "View company online")</f>
      </c>
    </row>
    <row r="641">
      <c r="A641" s="9" t="inlineStr">
        <is>
          <t>124946-65</t>
        </is>
      </c>
      <c r="B641" s="10" t="inlineStr">
        <is>
          <t>Viba Therapeutics</t>
        </is>
      </c>
      <c r="C641" s="11" t="inlineStr">
        <is>
          <t/>
        </is>
      </c>
      <c r="D641" s="12" t="inlineStr">
        <is>
          <t/>
        </is>
      </c>
      <c r="E641" s="13" t="inlineStr">
        <is>
          <t/>
        </is>
      </c>
      <c r="F641" s="14" t="inlineStr">
        <is>
          <t/>
        </is>
      </c>
      <c r="G641" s="15" t="inlineStr">
        <is>
          <t>Early Stage VC</t>
        </is>
      </c>
      <c r="H641" s="16" t="inlineStr">
        <is>
          <t/>
        </is>
      </c>
      <c r="I641" s="17" t="inlineStr">
        <is>
          <t/>
        </is>
      </c>
      <c r="J641" s="18" t="inlineStr">
        <is>
          <t/>
        </is>
      </c>
      <c r="K641" s="19" t="inlineStr">
        <is>
          <t>Completed</t>
        </is>
      </c>
      <c r="L641" s="20" t="inlineStr">
        <is>
          <t>Privately Held (backing)</t>
        </is>
      </c>
      <c r="M641" s="21" t="inlineStr">
        <is>
          <t>Venture Capital-Backed</t>
        </is>
      </c>
      <c r="N641" s="22" t="inlineStr">
        <is>
          <t>The company raised venture funding from Potrero Hill Therapeutics and RiverVest Venture Partners on an undisclosed date.</t>
        </is>
      </c>
      <c r="O641" s="23" t="inlineStr">
        <is>
          <t>Potrero Hill Therapeutics, RiverVest Venture Partners</t>
        </is>
      </c>
      <c r="P641" s="24" t="inlineStr">
        <is>
          <t/>
        </is>
      </c>
      <c r="Q641" s="25" t="inlineStr">
        <is>
          <t>Other Healthcare Services</t>
        </is>
      </c>
      <c r="R641" s="26" t="inlineStr">
        <is>
          <t>Developer of monoclonal antibodies created to treat solid tumors. The company's monoclonal antibody, Viba mAbs, target a validated pathway which initiates and drives the progression and metastasis of numerous malignancies and effect substantial increases in overall survival and tumor regression as single-agent therapy in highly-stringent animal models of advanced cancer which is refractory to standard-of-care treatment.</t>
        </is>
      </c>
      <c r="S641" s="27" t="inlineStr">
        <is>
          <t>San Francisco, CA</t>
        </is>
      </c>
      <c r="T641" s="28" t="inlineStr">
        <is>
          <t/>
        </is>
      </c>
      <c r="U641" s="131">
        <f>HYPERLINK("https://my.pitchbook.com?c=124946-65", "View company online")</f>
      </c>
    </row>
    <row r="642">
      <c r="A642" s="30" t="inlineStr">
        <is>
          <t>108688-60</t>
        </is>
      </c>
      <c r="B642" s="31" t="inlineStr">
        <is>
          <t>Viakoo</t>
        </is>
      </c>
      <c r="C642" s="32" t="inlineStr">
        <is>
          <t/>
        </is>
      </c>
      <c r="D642" s="33" t="n">
        <v>0.19149483333048334</v>
      </c>
      <c r="E642" s="34" t="n">
        <v>0.8627496825175528</v>
      </c>
      <c r="F642" s="35" t="n">
        <v>42781.0</v>
      </c>
      <c r="G642" s="36" t="inlineStr">
        <is>
          <t>Seed Round</t>
        </is>
      </c>
      <c r="H642" s="37" t="inlineStr">
        <is>
          <t>Seed</t>
        </is>
      </c>
      <c r="I642" s="38" t="n">
        <v>3.0</v>
      </c>
      <c r="J642" s="39" t="n">
        <v>15.45</v>
      </c>
      <c r="K642" s="40" t="inlineStr">
        <is>
          <t>Completed</t>
        </is>
      </c>
      <c r="L642" s="41" t="inlineStr">
        <is>
          <t>Privately Held (backing)</t>
        </is>
      </c>
      <c r="M642" s="42" t="inlineStr">
        <is>
          <t>Venture Capital-Backed</t>
        </is>
      </c>
      <c r="N642" s="43" t="inlineStr">
        <is>
          <t>The company raised $3 million of seed funding from Keiretsu Forum, Keiretsu Capital and other undisclosed investors on February 15, 2017, putting the pre-money valuation at $12.45 million.</t>
        </is>
      </c>
      <c r="O642" s="44" t="inlineStr">
        <is>
          <t>Keiretsu Capital, Keiretsu Forum, PivotNorth Capital</t>
        </is>
      </c>
      <c r="P642" s="45" t="inlineStr">
        <is>
          <t/>
        </is>
      </c>
      <c r="Q642" s="46" t="inlineStr">
        <is>
          <t>Network Management Software</t>
        </is>
      </c>
      <c r="R642" s="47" t="inlineStr">
        <is>
          <t>Developer of a service assurance software application for IoT applications. The company provides software and services for management of internet protocol video network infrastructure and provides facilities such as remote sensing, dashboard status and to discover maps and instruments. The company's software focuses on physical security systems including video surveillance and building access control. The company features an SaaS business model hosted on user sites from the cloud.</t>
        </is>
      </c>
      <c r="S642" s="48" t="inlineStr">
        <is>
          <t>Mountain View, CA</t>
        </is>
      </c>
      <c r="T642" s="49" t="inlineStr">
        <is>
          <t>www.viakoo.com</t>
        </is>
      </c>
      <c r="U642" s="132">
        <f>HYPERLINK("https://my.pitchbook.com?c=108688-60", "View company online")</f>
      </c>
    </row>
    <row r="643">
      <c r="A643" s="9" t="inlineStr">
        <is>
          <t>53785-27</t>
        </is>
      </c>
      <c r="B643" s="10" t="inlineStr">
        <is>
          <t>ViaCyte</t>
        </is>
      </c>
      <c r="C643" s="11" t="inlineStr">
        <is>
          <t/>
        </is>
      </c>
      <c r="D643" s="12" t="n">
        <v>0.5524394241623088</v>
      </c>
      <c r="E643" s="13" t="n">
        <v>3.9424322285228697</v>
      </c>
      <c r="F643" s="14" t="n">
        <v>42877.0</v>
      </c>
      <c r="G643" s="15" t="inlineStr">
        <is>
          <t>Later Stage VC</t>
        </is>
      </c>
      <c r="H643" s="16" t="inlineStr">
        <is>
          <t/>
        </is>
      </c>
      <c r="I643" s="17" t="n">
        <v>10.0</v>
      </c>
      <c r="J643" s="18" t="inlineStr">
        <is>
          <t/>
        </is>
      </c>
      <c r="K643" s="19" t="inlineStr">
        <is>
          <t>Completed</t>
        </is>
      </c>
      <c r="L643" s="20" t="inlineStr">
        <is>
          <t>Privately Held (backing)</t>
        </is>
      </c>
      <c r="M643" s="21" t="inlineStr">
        <is>
          <t>Venture Capital-Backed</t>
        </is>
      </c>
      <c r="N643" s="22" t="inlineStr">
        <is>
          <t>The company raised $10 million of venture funding from Asset Management Ventures, Gore and other undisclosed investors on May 22, 2017. The capital will be used to fund the initiation of clinical development for ViaCyte's PEC-Direct™ product candidate, which holds the promise of becoming a functional cure for type 1 diabetes patients at high risk for acute complications. Previously, the company received $22.1 million of grant funding from Juvenile Diabetes Research Foundation, California Institute for Regenerative Medicine and Beyond Type 1 on May 22, 2017.</t>
        </is>
      </c>
      <c r="O643" s="23" t="inlineStr">
        <is>
          <t>Alloy Ventures, AMA98 ventures, Asset Management Ventures, BD Ventures, Beyond Type 1, Bresa Gen 1, Business Development Bank of Canada, California Institute for Regenerative Medicine, Community Investment, Draper Fisher Jurvetson Portage, Gore, Hospira, Johnson &amp; Johnson Innovation - JJDC, Juvenile Diabetes Research Foundation, Oakwood Medical Investors, Pacific Horizon Ventures, Sanderling Ventures, Surmodics, The Clayton Foundation, The Vertical Group, Western Technology Investment</t>
        </is>
      </c>
      <c r="P643" s="24" t="inlineStr">
        <is>
          <t/>
        </is>
      </c>
      <c r="Q643" s="25" t="inlineStr">
        <is>
          <t>Drug Discovery</t>
        </is>
      </c>
      <c r="R643" s="26" t="inlineStr">
        <is>
          <t>Developer of cell and drug therapies intended to treat diabetes and other chronic diseases. The company's cell and drug therapies are based on the differentiation of stem cells into pancreatic beta cell precursors, with subcutaneous implantation in a retrievable and immune-protective encapsulation medical device, enabling patients to control type 1 and type 2 blood glucose levels.</t>
        </is>
      </c>
      <c r="S643" s="27" t="inlineStr">
        <is>
          <t>San Diego, CA</t>
        </is>
      </c>
      <c r="T643" s="28" t="inlineStr">
        <is>
          <t>www.viacyte.com</t>
        </is>
      </c>
      <c r="U643" s="131">
        <f>HYPERLINK("https://my.pitchbook.com?c=53785-27", "View company online")</f>
      </c>
    </row>
    <row r="644">
      <c r="A644" s="30" t="inlineStr">
        <is>
          <t>173817-19</t>
        </is>
      </c>
      <c r="B644" s="31" t="inlineStr">
        <is>
          <t>ViaChange.com</t>
        </is>
      </c>
      <c r="C644" s="98">
        <f>HYPERLINK("https://my.pitchbook.com?rrp=173817-19&amp;type=c", "This Company's information is not available to download. Need this Company? Request availability")</f>
      </c>
      <c r="D644" s="33" t="inlineStr">
        <is>
          <t/>
        </is>
      </c>
      <c r="E644" s="34" t="inlineStr">
        <is>
          <t/>
        </is>
      </c>
      <c r="F644" s="35" t="inlineStr">
        <is>
          <t/>
        </is>
      </c>
      <c r="G644" s="36" t="inlineStr">
        <is>
          <t/>
        </is>
      </c>
      <c r="H644" s="37" t="inlineStr">
        <is>
          <t/>
        </is>
      </c>
      <c r="I644" s="38" t="inlineStr">
        <is>
          <t/>
        </is>
      </c>
      <c r="J644" s="39" t="inlineStr">
        <is>
          <t/>
        </is>
      </c>
      <c r="K644" s="40" t="inlineStr">
        <is>
          <t/>
        </is>
      </c>
      <c r="L644" s="41" t="inlineStr">
        <is>
          <t/>
        </is>
      </c>
      <c r="M644" s="42" t="inlineStr">
        <is>
          <t/>
        </is>
      </c>
      <c r="N644" s="43" t="inlineStr">
        <is>
          <t/>
        </is>
      </c>
      <c r="O644" s="44" t="inlineStr">
        <is>
          <t/>
        </is>
      </c>
      <c r="P644" s="45" t="inlineStr">
        <is>
          <t/>
        </is>
      </c>
      <c r="Q644" s="46" t="inlineStr">
        <is>
          <t/>
        </is>
      </c>
      <c r="R644" s="47" t="inlineStr">
        <is>
          <t/>
        </is>
      </c>
      <c r="S644" s="48" t="inlineStr">
        <is>
          <t/>
        </is>
      </c>
      <c r="T644" s="49" t="inlineStr">
        <is>
          <t/>
        </is>
      </c>
      <c r="U644" s="50" t="inlineStr">
        <is>
          <t/>
        </is>
      </c>
    </row>
    <row r="645">
      <c r="A645" s="9" t="inlineStr">
        <is>
          <t>104765-50</t>
        </is>
      </c>
      <c r="B645" s="10" t="inlineStr">
        <is>
          <t>V-Grid Energy Systems</t>
        </is>
      </c>
      <c r="C645" s="11" t="inlineStr">
        <is>
          <t/>
        </is>
      </c>
      <c r="D645" s="12" t="n">
        <v>0.0</v>
      </c>
      <c r="E645" s="13" t="n">
        <v>0.2702702702702703</v>
      </c>
      <c r="F645" s="14" t="inlineStr">
        <is>
          <t/>
        </is>
      </c>
      <c r="G645" s="15" t="inlineStr">
        <is>
          <t>Early Stage VC</t>
        </is>
      </c>
      <c r="H645" s="16" t="inlineStr">
        <is>
          <t/>
        </is>
      </c>
      <c r="I645" s="17" t="inlineStr">
        <is>
          <t/>
        </is>
      </c>
      <c r="J645" s="18" t="inlineStr">
        <is>
          <t/>
        </is>
      </c>
      <c r="K645" s="19" t="inlineStr">
        <is>
          <t>Completed</t>
        </is>
      </c>
      <c r="L645" s="20" t="inlineStr">
        <is>
          <t>Privately Held (backing)</t>
        </is>
      </c>
      <c r="M645" s="21" t="inlineStr">
        <is>
          <t>Venture Capital-Backed</t>
        </is>
      </c>
      <c r="N645" s="22" t="inlineStr">
        <is>
          <t>The company raised venture funding from Constellation Technology Ventures on an undisclosed date.</t>
        </is>
      </c>
      <c r="O645" s="23" t="inlineStr">
        <is>
          <t>Constellation Technology Ventures, Cool Planet</t>
        </is>
      </c>
      <c r="P645" s="24" t="inlineStr">
        <is>
          <t/>
        </is>
      </c>
      <c r="Q645" s="25" t="inlineStr">
        <is>
          <t>Energy Production</t>
        </is>
      </c>
      <c r="R645" s="26" t="inlineStr">
        <is>
          <t>Developer of equipment to produce low cost electricity. The company is focused on developing a distributed energy system, combining an automated micro-gasifier and a high compression genset.</t>
        </is>
      </c>
      <c r="S645" s="27" t="inlineStr">
        <is>
          <t>Camarillo, CA</t>
        </is>
      </c>
      <c r="T645" s="28" t="inlineStr">
        <is>
          <t>www.vgridenergy.com</t>
        </is>
      </c>
      <c r="U645" s="131">
        <f>HYPERLINK("https://my.pitchbook.com?c=104765-50", "View company online")</f>
      </c>
    </row>
    <row r="646">
      <c r="A646" s="30" t="inlineStr">
        <is>
          <t>122869-81</t>
        </is>
      </c>
      <c r="B646" s="31" t="inlineStr">
        <is>
          <t>Vexata</t>
        </is>
      </c>
      <c r="C646" s="32" t="inlineStr">
        <is>
          <t/>
        </is>
      </c>
      <c r="D646" s="33" t="n">
        <v>0.0</v>
      </c>
      <c r="E646" s="34" t="n">
        <v>0.27089138828269266</v>
      </c>
      <c r="F646" s="35" t="n">
        <v>42566.0</v>
      </c>
      <c r="G646" s="36" t="inlineStr">
        <is>
          <t>Early Stage VC</t>
        </is>
      </c>
      <c r="H646" s="37" t="inlineStr">
        <is>
          <t>Series B1</t>
        </is>
      </c>
      <c r="I646" s="38" t="n">
        <v>22.0</v>
      </c>
      <c r="J646" s="39" t="n">
        <v>101.89</v>
      </c>
      <c r="K646" s="40" t="inlineStr">
        <is>
          <t>Completed</t>
        </is>
      </c>
      <c r="L646" s="41" t="inlineStr">
        <is>
          <t>Privately Held (backing)</t>
        </is>
      </c>
      <c r="M646" s="42" t="inlineStr">
        <is>
          <t>Venture Capital-Backed</t>
        </is>
      </c>
      <c r="N646" s="43" t="inlineStr">
        <is>
          <t>The company raised $22 million of Series B1 funding from Redline Capital Management on July 15, 2016, putting the pre-money valuation at $79.89 million.</t>
        </is>
      </c>
      <c r="O646" s="44" t="inlineStr">
        <is>
          <t>Intel Capital, Lightspeed Venture Partners, Mayfield Fund, Redline Capital Management</t>
        </is>
      </c>
      <c r="P646" s="45" t="inlineStr">
        <is>
          <t/>
        </is>
      </c>
      <c r="Q646" s="46" t="inlineStr">
        <is>
          <t>Database Software</t>
        </is>
      </c>
      <c r="R646" s="47" t="inlineStr">
        <is>
          <t>Developer of transformational data systems designed to help businesses to operate faster and smarter. The company's data systems eliminates the need to rewrite applications, adjust provisioning and performance knobs, add caching or memory grids or deal with complex monitoring and troubleshooting, enabling businesses to have unprecedented data velocity at massive scale.</t>
        </is>
      </c>
      <c r="S646" s="48" t="inlineStr">
        <is>
          <t>San Jose, CA</t>
        </is>
      </c>
      <c r="T646" s="49" t="inlineStr">
        <is>
          <t>www.vexata.com</t>
        </is>
      </c>
      <c r="U646" s="132">
        <f>HYPERLINK("https://my.pitchbook.com?c=122869-81", "View company online")</f>
      </c>
    </row>
    <row r="647">
      <c r="A647" s="9" t="inlineStr">
        <is>
          <t>58285-54</t>
        </is>
      </c>
      <c r="B647" s="10" t="inlineStr">
        <is>
          <t>Vetted</t>
        </is>
      </c>
      <c r="C647" s="11" t="inlineStr">
        <is>
          <t/>
        </is>
      </c>
      <c r="D647" s="12" t="n">
        <v>0.0</v>
      </c>
      <c r="E647" s="13" t="n">
        <v>0.1256680409222782</v>
      </c>
      <c r="F647" s="14" t="n">
        <v>42705.0</v>
      </c>
      <c r="G647" s="15" t="inlineStr">
        <is>
          <t>Seed Round</t>
        </is>
      </c>
      <c r="H647" s="16" t="inlineStr">
        <is>
          <t>Seed</t>
        </is>
      </c>
      <c r="I647" s="17" t="n">
        <v>0.5</v>
      </c>
      <c r="J647" s="18" t="inlineStr">
        <is>
          <t/>
        </is>
      </c>
      <c r="K647" s="19" t="inlineStr">
        <is>
          <t>Completed</t>
        </is>
      </c>
      <c r="L647" s="20" t="inlineStr">
        <is>
          <t>Privately Held (backing)</t>
        </is>
      </c>
      <c r="M647" s="21" t="inlineStr">
        <is>
          <t>Venture Capital-Backed</t>
        </is>
      </c>
      <c r="N647" s="22" t="inlineStr">
        <is>
          <t>The company raised $500,000 of seed funding from Kae Capital, Rudy Gadre and other undisclosed investors on December 1, 2016.</t>
        </is>
      </c>
      <c r="O647" s="23" t="inlineStr">
        <is>
          <t>Kae Capital, Right Side Capital Management, Rudy Gadre, Techstars</t>
        </is>
      </c>
      <c r="P647" s="24" t="inlineStr">
        <is>
          <t/>
        </is>
      </c>
      <c r="Q647" s="25" t="inlineStr">
        <is>
          <t>Social/Platform Software</t>
        </is>
      </c>
      <c r="R647" s="26" t="inlineStr">
        <is>
          <t>Provider of a vendor collaboration platform. The company provides a vendor collaboration platform that automates supplier management for large enterprises, enabling faster vendor onboarding with configurable workflows, automation of risk and compliance via integrations with business data sources and vendor discovery and competition via a searchable knowledge base.</t>
        </is>
      </c>
      <c r="S647" s="27" t="inlineStr">
        <is>
          <t>Palo Alto, CA</t>
        </is>
      </c>
      <c r="T647" s="28" t="inlineStr">
        <is>
          <t>www.thevetted.com</t>
        </is>
      </c>
      <c r="U647" s="131">
        <f>HYPERLINK("https://my.pitchbook.com?c=58285-54", "View company online")</f>
      </c>
    </row>
    <row r="648">
      <c r="A648" s="30" t="inlineStr">
        <is>
          <t>55590-49</t>
        </is>
      </c>
      <c r="B648" s="31" t="inlineStr">
        <is>
          <t>VetsinTech</t>
        </is>
      </c>
      <c r="C648" s="32" t="inlineStr">
        <is>
          <t/>
        </is>
      </c>
      <c r="D648" s="33" t="n">
        <v>0.42614432108625544</v>
      </c>
      <c r="E648" s="34" t="n">
        <v>5.770116650496164</v>
      </c>
      <c r="F648" s="35" t="inlineStr">
        <is>
          <t/>
        </is>
      </c>
      <c r="G648" s="36" t="inlineStr">
        <is>
          <t>Seed Round</t>
        </is>
      </c>
      <c r="H648" s="37" t="inlineStr">
        <is>
          <t>Seed</t>
        </is>
      </c>
      <c r="I648" s="38" t="inlineStr">
        <is>
          <t/>
        </is>
      </c>
      <c r="J648" s="39" t="inlineStr">
        <is>
          <t/>
        </is>
      </c>
      <c r="K648" s="40" t="inlineStr">
        <is>
          <t>Completed</t>
        </is>
      </c>
      <c r="L648" s="41" t="inlineStr">
        <is>
          <t>Privately Held (backing)</t>
        </is>
      </c>
      <c r="M648" s="42" t="inlineStr">
        <is>
          <t>Venture Capital-Backed</t>
        </is>
      </c>
      <c r="N648" s="43" t="inlineStr">
        <is>
          <t>The company raised seed funding from Andreessen Horowitz, Cisco Investments and Hewlett-Packard on an undisclosed date. Intuit and Salesforce Investments also participated in the transaction.</t>
        </is>
      </c>
      <c r="O648" s="44" t="inlineStr">
        <is>
          <t>Andreessen Horowitz, Cisco Investments, Hewlett-Packard, Intuit, Salesforce Ventures</t>
        </is>
      </c>
      <c r="P648" s="45" t="inlineStr">
        <is>
          <t/>
        </is>
      </c>
      <c r="Q648" s="46" t="inlineStr">
        <is>
          <t>Information Services (B2C)</t>
        </is>
      </c>
      <c r="R648" s="47" t="inlineStr">
        <is>
          <t>Provider of a platform to connect veterans returning from Iraq and Afghanistan with the technology ecosystem. The company provides a tech-specific network, resources and programs for veterans interested in education, entrepreneurship and employment.</t>
        </is>
      </c>
      <c r="S648" s="48" t="inlineStr">
        <is>
          <t>San Francisco, CA</t>
        </is>
      </c>
      <c r="T648" s="49" t="inlineStr">
        <is>
          <t>www.vetsintech.co</t>
        </is>
      </c>
      <c r="U648" s="132">
        <f>HYPERLINK("https://my.pitchbook.com?c=55590-49", "View company online")</f>
      </c>
    </row>
    <row r="649">
      <c r="A649" s="9" t="inlineStr">
        <is>
          <t>102992-68</t>
        </is>
      </c>
      <c r="B649" s="10" t="inlineStr">
        <is>
          <t>VetPronto</t>
        </is>
      </c>
      <c r="C649" s="11" t="inlineStr">
        <is>
          <t/>
        </is>
      </c>
      <c r="D649" s="12" t="n">
        <v>-0.19497133556783536</v>
      </c>
      <c r="E649" s="13" t="n">
        <v>3.2074477256496414</v>
      </c>
      <c r="F649" s="14" t="n">
        <v>42390.0</v>
      </c>
      <c r="G649" s="15" t="inlineStr">
        <is>
          <t>Early Stage VC</t>
        </is>
      </c>
      <c r="H649" s="16" t="inlineStr">
        <is>
          <t/>
        </is>
      </c>
      <c r="I649" s="17" t="inlineStr">
        <is>
          <t/>
        </is>
      </c>
      <c r="J649" s="18" t="inlineStr">
        <is>
          <t/>
        </is>
      </c>
      <c r="K649" s="19" t="inlineStr">
        <is>
          <t>Completed</t>
        </is>
      </c>
      <c r="L649" s="20" t="inlineStr">
        <is>
          <t>Privately Held (backing)</t>
        </is>
      </c>
      <c r="M649" s="21" t="inlineStr">
        <is>
          <t>Venture Capital-Backed</t>
        </is>
      </c>
      <c r="N649" s="22" t="inlineStr">
        <is>
          <t>The company raised an undisclosed amount of venture funding from FundersClub on January 21, 2016.</t>
        </is>
      </c>
      <c r="O649" s="23" t="inlineStr">
        <is>
          <t>Benny Joseph, Catherine Chang, Cliff Hinrichs, Daniel Curran, FundersClub, Justin Darcy, MD Pham, Saad AlSogair, Shu Duan, Sohin Shah, Wei Guo, Y Combinator, Yusuke Asakura</t>
        </is>
      </c>
      <c r="P649" s="24" t="inlineStr">
        <is>
          <t/>
        </is>
      </c>
      <c r="Q649" s="25" t="inlineStr">
        <is>
          <t>Other Services (B2C Non-Financial)</t>
        </is>
      </c>
      <c r="R649" s="26" t="inlineStr">
        <is>
          <t>Provider of an on-demand house call veterinary service. The company provides veterinary care at the owner's home, get them the treatments that they need, come up with comprehensive prevention plans, and provide access to their medical records.</t>
        </is>
      </c>
      <c r="S649" s="27" t="inlineStr">
        <is>
          <t>San Francisco, CA</t>
        </is>
      </c>
      <c r="T649" s="28" t="inlineStr">
        <is>
          <t>www.vetpronto.com</t>
        </is>
      </c>
      <c r="U649" s="131">
        <f>HYPERLINK("https://my.pitchbook.com?c=102992-68", "View company online")</f>
      </c>
    </row>
    <row r="650">
      <c r="A650" s="30" t="inlineStr">
        <is>
          <t>162123-85</t>
        </is>
      </c>
      <c r="B650" s="31" t="inlineStr">
        <is>
          <t>Vetica Labs</t>
        </is>
      </c>
      <c r="C650" s="32" t="inlineStr">
        <is>
          <t/>
        </is>
      </c>
      <c r="D650" s="33" t="inlineStr">
        <is>
          <t/>
        </is>
      </c>
      <c r="E650" s="34" t="inlineStr">
        <is>
          <t/>
        </is>
      </c>
      <c r="F650" s="35" t="n">
        <v>42080.0</v>
      </c>
      <c r="G650" s="36" t="inlineStr">
        <is>
          <t>Early Stage VC</t>
        </is>
      </c>
      <c r="H650" s="37" t="inlineStr">
        <is>
          <t>Series A</t>
        </is>
      </c>
      <c r="I650" s="38" t="n">
        <v>0.6</v>
      </c>
      <c r="J650" s="39" t="n">
        <v>2.22</v>
      </c>
      <c r="K650" s="40" t="inlineStr">
        <is>
          <t>Completed</t>
        </is>
      </c>
      <c r="L650" s="41" t="inlineStr">
        <is>
          <t>Privately Held (backing)</t>
        </is>
      </c>
      <c r="M650" s="42" t="inlineStr">
        <is>
          <t>Venture Capital-Backed</t>
        </is>
      </c>
      <c r="N650" s="43" t="inlineStr">
        <is>
          <t>The company raised $600,000 of Series A venture funding from Biobrit and three other undisclosed investors on March 17, 2015, putting the company's pre-money valuation at $1.62 million.</t>
        </is>
      </c>
      <c r="O650" s="44" t="inlineStr">
        <is>
          <t>Biobrit</t>
        </is>
      </c>
      <c r="P650" s="45" t="inlineStr">
        <is>
          <t/>
        </is>
      </c>
      <c r="Q650" s="46" t="inlineStr">
        <is>
          <t>Biotechnology</t>
        </is>
      </c>
      <c r="R650" s="47" t="inlineStr">
        <is>
          <t>Provider of biotechnology solutions. The company operates in the healthcare industry with a primary focus on biotechnology.</t>
        </is>
      </c>
      <c r="S650" s="48" t="inlineStr">
        <is>
          <t>San Diego, CA</t>
        </is>
      </c>
      <c r="T650" s="49" t="inlineStr">
        <is>
          <t/>
        </is>
      </c>
      <c r="U650" s="132">
        <f>HYPERLINK("https://my.pitchbook.com?c=162123-85", "View company online")</f>
      </c>
    </row>
    <row r="651">
      <c r="A651" s="9" t="inlineStr">
        <is>
          <t>59214-07</t>
        </is>
      </c>
      <c r="B651" s="10" t="inlineStr">
        <is>
          <t>Veterinary Diagnostics Institute</t>
        </is>
      </c>
      <c r="C651" s="11" t="inlineStr">
        <is>
          <t/>
        </is>
      </c>
      <c r="D651" s="12" t="n">
        <v>0.031187507266227005</v>
      </c>
      <c r="E651" s="13" t="n">
        <v>0.45490824543882763</v>
      </c>
      <c r="F651" s="14" t="n">
        <v>41806.0</v>
      </c>
      <c r="G651" s="15" t="inlineStr">
        <is>
          <t>Angel (individual)</t>
        </is>
      </c>
      <c r="H651" s="16" t="inlineStr">
        <is>
          <t>Angel</t>
        </is>
      </c>
      <c r="I651" s="17" t="inlineStr">
        <is>
          <t/>
        </is>
      </c>
      <c r="J651" s="18" t="inlineStr">
        <is>
          <t/>
        </is>
      </c>
      <c r="K651" s="19" t="inlineStr">
        <is>
          <t>Completed</t>
        </is>
      </c>
      <c r="L651" s="20" t="inlineStr">
        <is>
          <t>Privately Held (backing)</t>
        </is>
      </c>
      <c r="M651" s="21" t="inlineStr">
        <is>
          <t>Venture Capital-Backed</t>
        </is>
      </c>
      <c r="N651" s="22" t="inlineStr">
        <is>
          <t>The company raised an undisclosed amount of angel funding via crowdfunding platform EquityNet on June 16, 2014.</t>
        </is>
      </c>
      <c r="O651" s="23" t="inlineStr">
        <is>
          <t>Hunza Ventures</t>
        </is>
      </c>
      <c r="P651" s="24" t="inlineStr">
        <is>
          <t/>
        </is>
      </c>
      <c r="Q651" s="25" t="inlineStr">
        <is>
          <t>Laboratory Services (Healthcare)</t>
        </is>
      </c>
      <c r="R651" s="26" t="inlineStr">
        <is>
          <t>Provider of veterinary reference laboratory services and in-house diagnostic products. The company focuses on research and development of biomarkers to assist veterinarians in the diagnostic workup of companion animals to detect and manage cancer and other infections in animals.</t>
        </is>
      </c>
      <c r="S651" s="27" t="inlineStr">
        <is>
          <t>Simi Valley, CA</t>
        </is>
      </c>
      <c r="T651" s="28" t="inlineStr">
        <is>
          <t>www.vdilab.com</t>
        </is>
      </c>
      <c r="U651" s="131">
        <f>HYPERLINK("https://my.pitchbook.com?c=59214-07", "View company online")</f>
      </c>
    </row>
    <row r="652">
      <c r="A652" s="30" t="inlineStr">
        <is>
          <t>175317-22</t>
        </is>
      </c>
      <c r="B652" s="31" t="inlineStr">
        <is>
          <t>Very Good Security</t>
        </is>
      </c>
      <c r="C652" s="32" t="inlineStr">
        <is>
          <t/>
        </is>
      </c>
      <c r="D652" s="33" t="n">
        <v>0.0</v>
      </c>
      <c r="E652" s="34" t="n">
        <v>0.05405405405405406</v>
      </c>
      <c r="F652" s="35" t="n">
        <v>42598.0</v>
      </c>
      <c r="G652" s="36" t="inlineStr">
        <is>
          <t>Seed Round</t>
        </is>
      </c>
      <c r="H652" s="37" t="inlineStr">
        <is>
          <t>Seed</t>
        </is>
      </c>
      <c r="I652" s="38" t="inlineStr">
        <is>
          <t/>
        </is>
      </c>
      <c r="J652" s="39" t="inlineStr">
        <is>
          <t/>
        </is>
      </c>
      <c r="K652" s="40" t="inlineStr">
        <is>
          <t>Completed</t>
        </is>
      </c>
      <c r="L652" s="41" t="inlineStr">
        <is>
          <t>Privately Held (backing)</t>
        </is>
      </c>
      <c r="M652" s="42" t="inlineStr">
        <is>
          <t>Venture Capital-Backed</t>
        </is>
      </c>
      <c r="N652" s="43" t="inlineStr">
        <is>
          <t>The company received an undisclosed amount of seed funding from Vertex Ventures US, Graph Ventures and Social Capital on August 16, 2016.</t>
        </is>
      </c>
      <c r="O652" s="44" t="inlineStr">
        <is>
          <t>Graph Ventures, Social Capital, Vertex Ventures US</t>
        </is>
      </c>
      <c r="P652" s="45" t="inlineStr">
        <is>
          <t/>
        </is>
      </c>
      <c r="Q652" s="46" t="inlineStr">
        <is>
          <t>Application Software</t>
        </is>
      </c>
      <c r="R652" s="47" t="inlineStr">
        <is>
          <t>Provider of a data security platform intended to transfer data without any security breach. The company's data security platform offers services to payment platforms, medical records, big data, communication and secured forms by keeping the data safe without making any changes in the system, enabling the users to store their sensitive data and not worry about vendor data lock.</t>
        </is>
      </c>
      <c r="S652" s="48" t="inlineStr">
        <is>
          <t>San Francisco, CA</t>
        </is>
      </c>
      <c r="T652" s="49" t="inlineStr">
        <is>
          <t>www.verygoodsecurity.com</t>
        </is>
      </c>
      <c r="U652" s="132">
        <f>HYPERLINK("https://my.pitchbook.com?c=175317-22", "View company online")</f>
      </c>
    </row>
    <row r="653">
      <c r="A653" s="9" t="inlineStr">
        <is>
          <t>51037-57</t>
        </is>
      </c>
      <c r="B653" s="10" t="inlineStr">
        <is>
          <t>Verve Wireless</t>
        </is>
      </c>
      <c r="C653" s="11" t="n">
        <v>100.0</v>
      </c>
      <c r="D653" s="12" t="n">
        <v>0.4192582605925835</v>
      </c>
      <c r="E653" s="13" t="n">
        <v>3.2493367722918203</v>
      </c>
      <c r="F653" s="14" t="n">
        <v>42552.0</v>
      </c>
      <c r="G653" s="15" t="inlineStr">
        <is>
          <t>Later Stage VC</t>
        </is>
      </c>
      <c r="H653" s="16" t="inlineStr">
        <is>
          <t/>
        </is>
      </c>
      <c r="I653" s="17" t="inlineStr">
        <is>
          <t/>
        </is>
      </c>
      <c r="J653" s="18" t="inlineStr">
        <is>
          <t/>
        </is>
      </c>
      <c r="K653" s="19" t="inlineStr">
        <is>
          <t>Completed</t>
        </is>
      </c>
      <c r="L653" s="20" t="inlineStr">
        <is>
          <t>Privately Held (backing)</t>
        </is>
      </c>
      <c r="M653" s="21" t="inlineStr">
        <is>
          <t>Venture Capital-Backed</t>
        </is>
      </c>
      <c r="N653" s="22" t="inlineStr">
        <is>
          <t>The company raised an undisclosed amount of venture funding from Plug and Play in July 2016.</t>
        </is>
      </c>
      <c r="O653" s="23" t="inlineStr">
        <is>
          <t>Associated Press, BlueRun Ventures, Crosscut Ventures, Elevate Innovation Partners, Fenox Venture Capital, Fraser McCombs Capital, Iron Capital Partners, Ludlow Ventures, Nokia Growth Partners, Plug and Play Tech Center, Qualcomm Ventures</t>
        </is>
      </c>
      <c r="P653" s="24" t="inlineStr">
        <is>
          <t/>
        </is>
      </c>
      <c r="Q653" s="25" t="inlineStr">
        <is>
          <t>Media and Information Services (B2B)</t>
        </is>
      </c>
      <c r="R653" s="26" t="inlineStr">
        <is>
          <t>provider of location-powered mobile marketing technology designed to connect advertisers with consumers to deliver successful business outcomes. The company's mobile marketing platform's proprietary location intelligence, patented technology, premium inventory, and analytics capabilities empower marketers to identify, reach and engage consumers with compelling advertising experiences enabling advertisers, large and small, utilize the power of connecting with consumers on their devices in real time.</t>
        </is>
      </c>
      <c r="S653" s="27" t="inlineStr">
        <is>
          <t>New York, NY</t>
        </is>
      </c>
      <c r="T653" s="28" t="inlineStr">
        <is>
          <t>www.verve.com</t>
        </is>
      </c>
      <c r="U653" s="131">
        <f>HYPERLINK("https://my.pitchbook.com?c=51037-57", "View company online")</f>
      </c>
    </row>
    <row r="654">
      <c r="A654" s="30" t="inlineStr">
        <is>
          <t>53954-20</t>
        </is>
      </c>
      <c r="B654" s="31" t="inlineStr">
        <is>
          <t>Vertos Medical</t>
        </is>
      </c>
      <c r="C654" s="32" t="inlineStr">
        <is>
          <t/>
        </is>
      </c>
      <c r="D654" s="33" t="n">
        <v>0.05872595181988494</v>
      </c>
      <c r="E654" s="34" t="n">
        <v>4.54054054054054</v>
      </c>
      <c r="F654" s="35" t="n">
        <v>42517.0</v>
      </c>
      <c r="G654" s="36" t="inlineStr">
        <is>
          <t>Later Stage VC</t>
        </is>
      </c>
      <c r="H654" s="37" t="inlineStr">
        <is>
          <t>Series 2</t>
        </is>
      </c>
      <c r="I654" s="38" t="inlineStr">
        <is>
          <t/>
        </is>
      </c>
      <c r="J654" s="39" t="inlineStr">
        <is>
          <t/>
        </is>
      </c>
      <c r="K654" s="40" t="inlineStr">
        <is>
          <t>Completed</t>
        </is>
      </c>
      <c r="L654" s="41" t="inlineStr">
        <is>
          <t>Privately Held (backing)</t>
        </is>
      </c>
      <c r="M654" s="42" t="inlineStr">
        <is>
          <t>Venture Capital-Backed</t>
        </is>
      </c>
      <c r="N654" s="43" t="inlineStr">
        <is>
          <t>The company raised an undisclosed amount of Series 2 venture funding from Mercury Fund and other undisclosed investors on May 27, 2016. Previously, the company raised $5.97 million of Series 2 venture funding from undisclosed investors on March 11, 2015, putting the pre-money valuation at $10.85 million. The company underwent a stock reclassification as a part of this round.</t>
        </is>
      </c>
      <c r="O654" s="44" t="inlineStr">
        <is>
          <t>Aweida Venture Partners, CHL Medical Partners, Foundation Medical Management, Mercury Fund, ONSET Ventures, Pitango Venture Capital, Revelation Partners</t>
        </is>
      </c>
      <c r="P654" s="45" t="inlineStr">
        <is>
          <t/>
        </is>
      </c>
      <c r="Q654" s="46" t="inlineStr">
        <is>
          <t>Therapeutic Devices</t>
        </is>
      </c>
      <c r="R654" s="47" t="inlineStr">
        <is>
          <t>Developer of medical devices used for the treatment of common spinal diseases. The company provides mild surgical instruments that are used to perform lumbar decompressive procedures for the treatment of various spinal conditions and interventional devices that are used in the treatment of lumbar spinal stenosis.</t>
        </is>
      </c>
      <c r="S654" s="48" t="inlineStr">
        <is>
          <t>Aliso Viejo, CA</t>
        </is>
      </c>
      <c r="T654" s="49" t="inlineStr">
        <is>
          <t>www.vertosmed.com</t>
        </is>
      </c>
      <c r="U654" s="132">
        <f>HYPERLINK("https://my.pitchbook.com?c=53954-20", "View company online")</f>
      </c>
    </row>
    <row r="655">
      <c r="A655" s="9" t="inlineStr">
        <is>
          <t>109240-39</t>
        </is>
      </c>
      <c r="B655" s="10" t="inlineStr">
        <is>
          <t>Vertigo (San Fransisco)</t>
        </is>
      </c>
      <c r="C655" s="11" t="inlineStr">
        <is>
          <t/>
        </is>
      </c>
      <c r="D655" s="12" t="inlineStr">
        <is>
          <t/>
        </is>
      </c>
      <c r="E655" s="13" t="inlineStr">
        <is>
          <t/>
        </is>
      </c>
      <c r="F655" s="14" t="inlineStr">
        <is>
          <t/>
        </is>
      </c>
      <c r="G655" s="15" t="inlineStr">
        <is>
          <t>Early Stage VC</t>
        </is>
      </c>
      <c r="H655" s="16" t="inlineStr">
        <is>
          <t/>
        </is>
      </c>
      <c r="I655" s="17" t="inlineStr">
        <is>
          <t/>
        </is>
      </c>
      <c r="J655" s="18" t="inlineStr">
        <is>
          <t/>
        </is>
      </c>
      <c r="K655" s="19" t="inlineStr">
        <is>
          <t>Completed</t>
        </is>
      </c>
      <c r="L655" s="20" t="inlineStr">
        <is>
          <t>Privately Held (backing)</t>
        </is>
      </c>
      <c r="M655" s="21" t="inlineStr">
        <is>
          <t>Venture Capital-Backed</t>
        </is>
      </c>
      <c r="N655" s="22" t="inlineStr">
        <is>
          <t>The company raised venture funding from VoiVoda Ventures on an undisclosed date.</t>
        </is>
      </c>
      <c r="O655" s="23" t="inlineStr">
        <is>
          <t>VoiVoda Ventures</t>
        </is>
      </c>
      <c r="P655" s="24" t="inlineStr">
        <is>
          <t/>
        </is>
      </c>
      <c r="Q655" s="25" t="inlineStr">
        <is>
          <t>Other Business Products and Services</t>
        </is>
      </c>
      <c r="R655" s="26" t="inlineStr">
        <is>
          <t>The company is currently operating in Stealth mode.</t>
        </is>
      </c>
      <c r="S655" s="27" t="inlineStr">
        <is>
          <t>San Francisco, CA</t>
        </is>
      </c>
      <c r="T655" s="28" t="inlineStr">
        <is>
          <t/>
        </is>
      </c>
      <c r="U655" s="131">
        <f>HYPERLINK("https://my.pitchbook.com?c=109240-39", "View company online")</f>
      </c>
    </row>
    <row r="656">
      <c r="A656" s="30" t="inlineStr">
        <is>
          <t>42159-97</t>
        </is>
      </c>
      <c r="B656" s="31" t="inlineStr">
        <is>
          <t>Vertiflex</t>
        </is>
      </c>
      <c r="C656" s="32" t="inlineStr">
        <is>
          <t/>
        </is>
      </c>
      <c r="D656" s="33" t="n">
        <v>0.8405724052698375</v>
      </c>
      <c r="E656" s="34" t="n">
        <v>0.1285468645822367</v>
      </c>
      <c r="F656" s="35" t="n">
        <v>42802.0</v>
      </c>
      <c r="G656" s="36" t="inlineStr">
        <is>
          <t>Later Stage VC</t>
        </is>
      </c>
      <c r="H656" s="37" t="inlineStr">
        <is>
          <t/>
        </is>
      </c>
      <c r="I656" s="38" t="n">
        <v>40.0</v>
      </c>
      <c r="J656" s="39" t="inlineStr">
        <is>
          <t/>
        </is>
      </c>
      <c r="K656" s="40" t="inlineStr">
        <is>
          <t>Completed</t>
        </is>
      </c>
      <c r="L656" s="41" t="inlineStr">
        <is>
          <t>Privately Held (backing)</t>
        </is>
      </c>
      <c r="M656" s="42" t="inlineStr">
        <is>
          <t>Venture Capital-Backed</t>
        </is>
      </c>
      <c r="N656" s="43" t="inlineStr">
        <is>
          <t>The company raised $40 million of venture funding in a deal led by Endeavour Vision and H.I.G. BioVentures on March 8, 2017. New Enterprise Associates, Thomas McNerney &amp; Partners and Alta Partners also participated in the round. The funds will be used for the U.S. commercial expansion of the company's Superion Indirect Decompression System.</t>
        </is>
      </c>
      <c r="O656" s="44" t="inlineStr">
        <is>
          <t>Aberdare Ventures, Alta Partners, Endeavour Vision, H.I.G. BioVentures, Morgenthaler, New Enterprise Associates, Thomas McNerney &amp; Partners</t>
        </is>
      </c>
      <c r="P656" s="45" t="inlineStr">
        <is>
          <t/>
        </is>
      </c>
      <c r="Q656" s="46" t="inlineStr">
        <is>
          <t>Surgical Devices</t>
        </is>
      </c>
      <c r="R656" s="47" t="inlineStr">
        <is>
          <t>Developer of minimally invasive spinal surgery technologies designed to treat lumbar stenosis. The company's Superion technology offers an indirect decompression system for treating lumbar stenosis, whereas Totalis technology offers a direct decompression system, enabling patients to get access improved treatment for lumbar stenosis through minimal tissue trauma.</t>
        </is>
      </c>
      <c r="S656" s="48" t="inlineStr">
        <is>
          <t>Carlsbad, CA</t>
        </is>
      </c>
      <c r="T656" s="49" t="inlineStr">
        <is>
          <t>www.vertiflexspine.com</t>
        </is>
      </c>
      <c r="U656" s="132">
        <f>HYPERLINK("https://my.pitchbook.com?c=42159-97", "View company online")</f>
      </c>
    </row>
    <row r="657">
      <c r="A657" s="9" t="inlineStr">
        <is>
          <t>104365-54</t>
        </is>
      </c>
      <c r="B657" s="10" t="inlineStr">
        <is>
          <t>Vertical(Electronic Equipment)</t>
        </is>
      </c>
      <c r="C657" s="11" t="inlineStr">
        <is>
          <t/>
        </is>
      </c>
      <c r="D657" s="12" t="n">
        <v>0.013512439684871598</v>
      </c>
      <c r="E657" s="13" t="n">
        <v>1.0033974652618718</v>
      </c>
      <c r="F657" s="14" t="n">
        <v>42059.0</v>
      </c>
      <c r="G657" s="15" t="inlineStr">
        <is>
          <t>Seed Round</t>
        </is>
      </c>
      <c r="H657" s="16" t="inlineStr">
        <is>
          <t>Seed</t>
        </is>
      </c>
      <c r="I657" s="17" t="n">
        <v>0.5</v>
      </c>
      <c r="J657" s="18" t="inlineStr">
        <is>
          <t/>
        </is>
      </c>
      <c r="K657" s="19" t="inlineStr">
        <is>
          <t>Completed</t>
        </is>
      </c>
      <c r="L657" s="20" t="inlineStr">
        <is>
          <t>Privately Held (backing)</t>
        </is>
      </c>
      <c r="M657" s="21" t="inlineStr">
        <is>
          <t>Venture Capital-Backed</t>
        </is>
      </c>
      <c r="N657" s="22" t="inlineStr">
        <is>
          <t>The company raised $500,000 of seed funding in a deal led by Version One Ventures on February 24, 2015. Eleven Two Capital, Devon Galloway Eric Kwan, Shelley Zhuang, Ray Chan, John Francis and other undisclosed investors also participated in the round. It also joined Y Combinator as part of the Winter 2015 Class and received $120,000 in funding. Creative Destruction Lab, FundersClub and Communitech (Waterloo) also participated in the round.</t>
        </is>
      </c>
      <c r="O657" s="23" t="inlineStr">
        <is>
          <t>Communitech (Waterloo), Creative Destruction Lab, Devon Galloway, Eleven Two Capital, Eric Kwan, FundersClub, ideaBOOST, John Francis, Raymond Chan, Shelley Zhuang, Version One Ventures, Y Combinator</t>
        </is>
      </c>
      <c r="P657" s="24" t="inlineStr">
        <is>
          <t/>
        </is>
      </c>
      <c r="Q657" s="25" t="inlineStr">
        <is>
          <t>Electronic Equipment and Instruments</t>
        </is>
      </c>
      <c r="R657" s="26" t="inlineStr">
        <is>
          <t>Provider of robotic motion control platforms for cinematic cameras designed to capture aerial shots. The company's robotic motion control platform offers computer vision guided robotics technology that can integrate with any drone and turn it into filming tools for film-makers and journalists, enabling budding photographers and videographers to capture aerial shots.</t>
        </is>
      </c>
      <c r="S657" s="27" t="inlineStr">
        <is>
          <t>Kitchener, Canada</t>
        </is>
      </c>
      <c r="T657" s="28" t="inlineStr">
        <is>
          <t>www.vertical.ai</t>
        </is>
      </c>
      <c r="U657" s="131">
        <f>HYPERLINK("https://my.pitchbook.com?c=104365-54", "View company online")</f>
      </c>
    </row>
    <row r="658">
      <c r="A658" s="30" t="inlineStr">
        <is>
          <t>122794-66</t>
        </is>
      </c>
      <c r="B658" s="31" t="inlineStr">
        <is>
          <t>Vertical Tank</t>
        </is>
      </c>
      <c r="C658" s="32" t="inlineStr">
        <is>
          <t/>
        </is>
      </c>
      <c r="D658" s="33" t="inlineStr">
        <is>
          <t/>
        </is>
      </c>
      <c r="E658" s="34" t="inlineStr">
        <is>
          <t/>
        </is>
      </c>
      <c r="F658" s="35" t="inlineStr">
        <is>
          <t/>
        </is>
      </c>
      <c r="G658" s="36" t="inlineStr">
        <is>
          <t>Seed Round</t>
        </is>
      </c>
      <c r="H658" s="37" t="inlineStr">
        <is>
          <t>Seed</t>
        </is>
      </c>
      <c r="I658" s="38" t="inlineStr">
        <is>
          <t/>
        </is>
      </c>
      <c r="J658" s="39" t="inlineStr">
        <is>
          <t/>
        </is>
      </c>
      <c r="K658" s="40" t="inlineStr">
        <is>
          <t>Completed</t>
        </is>
      </c>
      <c r="L658" s="41" t="inlineStr">
        <is>
          <t>Privately Held (backing)</t>
        </is>
      </c>
      <c r="M658" s="42" t="inlineStr">
        <is>
          <t>Venture Capital-Backed</t>
        </is>
      </c>
      <c r="N658" s="43" t="inlineStr">
        <is>
          <t>The company raised seed funding from Ellis Energy Investments on an undisclosed date.</t>
        </is>
      </c>
      <c r="O658" s="44" t="inlineStr">
        <is>
          <t>Ellis Energy Investments</t>
        </is>
      </c>
      <c r="P658" s="45" t="inlineStr">
        <is>
          <t/>
        </is>
      </c>
      <c r="Q658" s="46" t="inlineStr">
        <is>
          <t>Other Commercial Products</t>
        </is>
      </c>
      <c r="R658" s="47" t="inlineStr">
        <is>
          <t>Manufacturer of vertical, steel, portable storage rental tanks designed to provide better process and circulation efficiency as well as very little cleaning efforts. The company's storage rental tanks are designed to provide reliable storage and process capabilities while eliminating the short comings of traditional horizontal storage tanks, enabling customers to use the portable storage rental tanks and experience its advantages.</t>
        </is>
      </c>
      <c r="S658" s="48" t="inlineStr">
        <is>
          <t>Bakersfield, CA</t>
        </is>
      </c>
      <c r="T658" s="49" t="inlineStr">
        <is>
          <t>www.vertical-tanks.com</t>
        </is>
      </c>
      <c r="U658" s="132">
        <f>HYPERLINK("https://my.pitchbook.com?c=122794-66", "View company online")</f>
      </c>
    </row>
    <row r="659">
      <c r="A659" s="9" t="inlineStr">
        <is>
          <t>113232-16</t>
        </is>
      </c>
      <c r="B659" s="10" t="inlineStr">
        <is>
          <t>Vertical Mass</t>
        </is>
      </c>
      <c r="C659" s="11" t="inlineStr">
        <is>
          <t/>
        </is>
      </c>
      <c r="D659" s="12" t="n">
        <v>0.18611670020120724</v>
      </c>
      <c r="E659" s="13" t="n">
        <v>0.1506193634417658</v>
      </c>
      <c r="F659" s="14" t="n">
        <v>42661.0</v>
      </c>
      <c r="G659" s="15" t="inlineStr">
        <is>
          <t>Early Stage VC</t>
        </is>
      </c>
      <c r="H659" s="16" t="inlineStr">
        <is>
          <t>Series A</t>
        </is>
      </c>
      <c r="I659" s="17" t="n">
        <v>5.0</v>
      </c>
      <c r="J659" s="18" t="n">
        <v>18.0</v>
      </c>
      <c r="K659" s="19" t="inlineStr">
        <is>
          <t>Completed</t>
        </is>
      </c>
      <c r="L659" s="20" t="inlineStr">
        <is>
          <t>Privately Held (backing)</t>
        </is>
      </c>
      <c r="M659" s="21" t="inlineStr">
        <is>
          <t>Venture Capital-Backed</t>
        </is>
      </c>
      <c r="N659" s="22" t="inlineStr">
        <is>
          <t>The company raised $5 million of Series A venture funding from Sierra Wasatch Capital, Formation 8 and Canyon Creek Capital on October 18, 2016, putting the company's pre-money valuation at $13 million. Greycroft Partners, Magnetar Capital and The San Francisco 49ers also participated in the round. The company plans to use the funds to grow the engineering and data science teams, scale business development and sales efforts and launch a new enterprise marketing operating system (OS) specific to the needs of the customer categories it serves.</t>
        </is>
      </c>
      <c r="O659" s="23" t="inlineStr">
        <is>
          <t>Canyon Creek Capital, Demarest Media, Formation 8, Greycroft Partners, Ken Hertz, Magnetar Capital, Michael Kassan, Sierra Wasatch Capital, Structure Fund, SV Angel, The San Francisco 49ers, Yello Mobile</t>
        </is>
      </c>
      <c r="P659" s="24" t="inlineStr">
        <is>
          <t/>
        </is>
      </c>
      <c r="Q659" s="25" t="inlineStr">
        <is>
          <t>Business/Productivity Software</t>
        </is>
      </c>
      <c r="R659" s="26" t="inlineStr">
        <is>
          <t>Owner and operator of a digital data management platform that enables companies to collect and store information of their users. The company's software allows marketers to target their fans for their endorsements and sponsorships across social media websites, mobile applications, e-commerce and content streaming websites.</t>
        </is>
      </c>
      <c r="S659" s="27" t="inlineStr">
        <is>
          <t>Los Angeles, CA</t>
        </is>
      </c>
      <c r="T659" s="28" t="inlineStr">
        <is>
          <t>site.verticalmass.com</t>
        </is>
      </c>
      <c r="U659" s="131">
        <f>HYPERLINK("https://my.pitchbook.com?c=113232-16", "View company online")</f>
      </c>
    </row>
    <row r="660">
      <c r="A660" s="30" t="inlineStr">
        <is>
          <t>126228-43</t>
        </is>
      </c>
      <c r="B660" s="31" t="inlineStr">
        <is>
          <t>Verse</t>
        </is>
      </c>
      <c r="C660" s="32" t="inlineStr">
        <is>
          <t/>
        </is>
      </c>
      <c r="D660" s="33" t="n">
        <v>0.2122581379856965</v>
      </c>
      <c r="E660" s="34" t="n">
        <v>8.16363237382029</v>
      </c>
      <c r="F660" s="35" t="n">
        <v>42871.0</v>
      </c>
      <c r="G660" s="36" t="inlineStr">
        <is>
          <t>Early Stage VC</t>
        </is>
      </c>
      <c r="H660" s="37" t="inlineStr">
        <is>
          <t>Series B</t>
        </is>
      </c>
      <c r="I660" s="38" t="n">
        <v>20.06</v>
      </c>
      <c r="J660" s="39" t="n">
        <v>95.06</v>
      </c>
      <c r="K660" s="40" t="inlineStr">
        <is>
          <t>Completed</t>
        </is>
      </c>
      <c r="L660" s="41" t="inlineStr">
        <is>
          <t>Privately Held (backing)</t>
        </is>
      </c>
      <c r="M660" s="42" t="inlineStr">
        <is>
          <t>Venture Capital-Backed</t>
        </is>
      </c>
      <c r="N660" s="43" t="inlineStr">
        <is>
          <t>The company raised $20.06 million of Series B venture funding in a deal led by Spark Capital on May 16, 2017, putting the pre-money valuation at $75 million. Greycroft Partners and e.ventures also participated in the round. The company will use the fund to launch their product outside Europe.</t>
        </is>
      </c>
      <c r="O660" s="44" t="inlineStr">
        <is>
          <t>Adam Draper, Antonio García-Urgelés, Bernardo Hernandez, Boost VC, DFJ DragonFund China, Draper Fisher Jurvetson, e.ventures, Gonzalo de la Peña Cifuentes, Greg Kidd, Greycroft Partners, Menorca Millennials, Michael Liou, Peter Pastewka, Spark Capital</t>
        </is>
      </c>
      <c r="P660" s="45" t="inlineStr">
        <is>
          <t/>
        </is>
      </c>
      <c r="Q660" s="46" t="inlineStr">
        <is>
          <t>Financial Software</t>
        </is>
      </c>
      <c r="R660" s="47" t="inlineStr">
        <is>
          <t>Developer of a mobile payment application designed to make mobile payments easy. The company's mobile payment application helps to pay and request money from friends using phone contacts, enabling users to transfer money to anyone across the world via their phone instantly.</t>
        </is>
      </c>
      <c r="S660" s="48" t="inlineStr">
        <is>
          <t>San Mateo, CA</t>
        </is>
      </c>
      <c r="T660" s="49" t="inlineStr">
        <is>
          <t>www.joinverse.com</t>
        </is>
      </c>
      <c r="U660" s="132">
        <f>HYPERLINK("https://my.pitchbook.com?c=126228-43", "View company online")</f>
      </c>
    </row>
    <row r="661">
      <c r="A661" s="9" t="inlineStr">
        <is>
          <t>115487-47</t>
        </is>
      </c>
      <c r="B661" s="10" t="inlineStr">
        <is>
          <t>Versame</t>
        </is>
      </c>
      <c r="C661" s="11" t="inlineStr">
        <is>
          <t/>
        </is>
      </c>
      <c r="D661" s="12" t="n">
        <v>0.06830014282392381</v>
      </c>
      <c r="E661" s="13" t="n">
        <v>8.931420163715668</v>
      </c>
      <c r="F661" s="14" t="n">
        <v>42509.0</v>
      </c>
      <c r="G661" s="15" t="inlineStr">
        <is>
          <t>Early Stage VC</t>
        </is>
      </c>
      <c r="H661" s="16" t="inlineStr">
        <is>
          <t>Series A</t>
        </is>
      </c>
      <c r="I661" s="17" t="n">
        <v>9.27</v>
      </c>
      <c r="J661" s="18" t="n">
        <v>36.0</v>
      </c>
      <c r="K661" s="19" t="inlineStr">
        <is>
          <t>Completed</t>
        </is>
      </c>
      <c r="L661" s="20" t="inlineStr">
        <is>
          <t>Privately Held (backing)</t>
        </is>
      </c>
      <c r="M661" s="21" t="inlineStr">
        <is>
          <t>Venture Capital-Backed</t>
        </is>
      </c>
      <c r="N661" s="22" t="inlineStr">
        <is>
          <t>The company raised $9.27 million of Series A venture funding from Learn Capital and StartX on May 19, 2016, putting the pre-money valuation at $26.73 million. Vincent Viola, Doug Cifu, Richard Dai and other undisclosed investors also participated in the round.</t>
        </is>
      </c>
      <c r="O661" s="23" t="inlineStr">
        <is>
          <t>Doug Cifu, Learn Capital, Richard Dai, StartX, Vincent Viola</t>
        </is>
      </c>
      <c r="P661" s="24" t="inlineStr">
        <is>
          <t/>
        </is>
      </c>
      <c r="Q661" s="25" t="inlineStr">
        <is>
          <t>Application Software</t>
        </is>
      </c>
      <c r="R661" s="26" t="inlineStr">
        <is>
          <t>Developer of technology for early childhood education and language development. The company has developed Starling, a word-tracking system and smart device that tracks the number of words a baby hears and says each day.</t>
        </is>
      </c>
      <c r="S661" s="27" t="inlineStr">
        <is>
          <t>Palo Alto, CA</t>
        </is>
      </c>
      <c r="T661" s="28" t="inlineStr">
        <is>
          <t>www.versame.com</t>
        </is>
      </c>
      <c r="U661" s="131">
        <f>HYPERLINK("https://my.pitchbook.com?c=115487-47", "View company online")</f>
      </c>
    </row>
    <row r="662">
      <c r="A662" s="30" t="inlineStr">
        <is>
          <t>55680-76</t>
        </is>
      </c>
      <c r="B662" s="31" t="inlineStr">
        <is>
          <t>Versa Networks</t>
        </is>
      </c>
      <c r="C662" s="32" t="inlineStr">
        <is>
          <t/>
        </is>
      </c>
      <c r="D662" s="33" t="n">
        <v>4.245506338540764</v>
      </c>
      <c r="E662" s="34" t="n">
        <v>9.529753250460693</v>
      </c>
      <c r="F662" s="35" t="n">
        <v>41953.0</v>
      </c>
      <c r="G662" s="36" t="inlineStr">
        <is>
          <t>Early Stage VC</t>
        </is>
      </c>
      <c r="H662" s="37" t="inlineStr">
        <is>
          <t>Series B</t>
        </is>
      </c>
      <c r="I662" s="38" t="n">
        <v>43.0</v>
      </c>
      <c r="J662" s="39" t="n">
        <v>116.0</v>
      </c>
      <c r="K662" s="40" t="inlineStr">
        <is>
          <t>Completed</t>
        </is>
      </c>
      <c r="L662" s="41" t="inlineStr">
        <is>
          <t>Privately Held (backing)</t>
        </is>
      </c>
      <c r="M662" s="42" t="inlineStr">
        <is>
          <t>Venture Capital-Backed</t>
        </is>
      </c>
      <c r="N662" s="43" t="inlineStr">
        <is>
          <t>The company raised $43 million of Series B venture funding from Sequoia Capital, Verizon Ventures and Mayfield on November 10, 2014, putting the company's pre-money valuation at $87 million. The round also included a $14 million debt portion.</t>
        </is>
      </c>
      <c r="O662" s="44" t="inlineStr">
        <is>
          <t>ARTIS Ventures, Mayfield Fund, Sequoia Capital, Stuart Peterson, Verizon Ventures</t>
        </is>
      </c>
      <c r="P662" s="45" t="inlineStr">
        <is>
          <t/>
        </is>
      </c>
      <c r="Q662" s="46" t="inlineStr">
        <is>
          <t>Other Communications and Networking</t>
        </is>
      </c>
      <c r="R662" s="47" t="inlineStr">
        <is>
          <t>Provider of software-defined networking (SDN) services. The company develops an architecture that leverages virtualization and distributed systems technology.</t>
        </is>
      </c>
      <c r="S662" s="48" t="inlineStr">
        <is>
          <t>San Jose, CA</t>
        </is>
      </c>
      <c r="T662" s="49" t="inlineStr">
        <is>
          <t>www.versa-networks.com</t>
        </is>
      </c>
      <c r="U662" s="132">
        <f>HYPERLINK("https://my.pitchbook.com?c=55680-76", "View company online")</f>
      </c>
    </row>
    <row r="663">
      <c r="A663" s="9" t="inlineStr">
        <is>
          <t>127704-25</t>
        </is>
      </c>
      <c r="B663" s="10" t="inlineStr">
        <is>
          <t>Verrica Pharmaceuticals</t>
        </is>
      </c>
      <c r="C663" s="11" t="inlineStr">
        <is>
          <t/>
        </is>
      </c>
      <c r="D663" s="12" t="inlineStr">
        <is>
          <t/>
        </is>
      </c>
      <c r="E663" s="13" t="inlineStr">
        <is>
          <t/>
        </is>
      </c>
      <c r="F663" s="14" t="n">
        <v>42354.0</v>
      </c>
      <c r="G663" s="15" t="inlineStr">
        <is>
          <t>Early Stage VC</t>
        </is>
      </c>
      <c r="H663" s="16" t="inlineStr">
        <is>
          <t>Series A</t>
        </is>
      </c>
      <c r="I663" s="17" t="n">
        <v>2.43</v>
      </c>
      <c r="J663" s="18" t="n">
        <v>6.48</v>
      </c>
      <c r="K663" s="19" t="inlineStr">
        <is>
          <t>Completed</t>
        </is>
      </c>
      <c r="L663" s="20" t="inlineStr">
        <is>
          <t>Privately Held (backing)</t>
        </is>
      </c>
      <c r="M663" s="21" t="inlineStr">
        <is>
          <t>Venture Capital-Backed</t>
        </is>
      </c>
      <c r="N663" s="22" t="inlineStr">
        <is>
          <t>The company raised $2.43 million of Series A venture funding from PBM Capital Group and other undisclosed investors on December 16, 2015, putting the company's pre-money valuation at $4.05 million.</t>
        </is>
      </c>
      <c r="O663" s="23" t="inlineStr">
        <is>
          <t>PBM Capital Group</t>
        </is>
      </c>
      <c r="P663" s="24" t="inlineStr">
        <is>
          <t/>
        </is>
      </c>
      <c r="Q663" s="25" t="inlineStr">
        <is>
          <t>Drug Discovery</t>
        </is>
      </c>
      <c r="R663" s="26" t="inlineStr">
        <is>
          <t>Developer of topical therapies intended to provide treatment for lesional skin diseases. The company's topical therapies provide relief from common warts, plantar warts and Molluscum contagiosum enabling users to have less painful and less time consuming treatment.</t>
        </is>
      </c>
      <c r="S663" s="27" t="inlineStr">
        <is>
          <t>San Francisco, CA</t>
        </is>
      </c>
      <c r="T663" s="28" t="inlineStr">
        <is>
          <t>www.verricapharmaceuticals.com</t>
        </is>
      </c>
      <c r="U663" s="131">
        <f>HYPERLINK("https://my.pitchbook.com?c=127704-25", "View company online")</f>
      </c>
    </row>
    <row r="664">
      <c r="A664" s="30" t="inlineStr">
        <is>
          <t>103448-53</t>
        </is>
      </c>
      <c r="B664" s="31" t="inlineStr">
        <is>
          <t>Verlocal</t>
        </is>
      </c>
      <c r="C664" s="32" t="n">
        <v>0.04</v>
      </c>
      <c r="D664" s="33" t="n">
        <v>0.4113100289266729</v>
      </c>
      <c r="E664" s="34" t="n">
        <v>23.765477091471933</v>
      </c>
      <c r="F664" s="35" t="n">
        <v>42353.0</v>
      </c>
      <c r="G664" s="36" t="inlineStr">
        <is>
          <t>Seed Round</t>
        </is>
      </c>
      <c r="H664" s="37" t="inlineStr">
        <is>
          <t>Seed</t>
        </is>
      </c>
      <c r="I664" s="38" t="n">
        <v>2.65</v>
      </c>
      <c r="J664" s="39" t="inlineStr">
        <is>
          <t/>
        </is>
      </c>
      <c r="K664" s="40" t="inlineStr">
        <is>
          <t>Completed</t>
        </is>
      </c>
      <c r="L664" s="41" t="inlineStr">
        <is>
          <t>Privately Held (backing)</t>
        </is>
      </c>
      <c r="M664" s="42" t="inlineStr">
        <is>
          <t>Venture Capital-Backed</t>
        </is>
      </c>
      <c r="N664" s="43" t="inlineStr">
        <is>
          <t>The company raised $2.65 million of seed funding in a deal led by VenturesLab and Seven Seas Partners on December 15, 2015. Big Basin Capital, Amidzad Partners, D3 Jubilee, Gang Mai, Min Bang and Terry Li also participated in the round. The company intends to use the funds to ramp up its growth and traction.</t>
        </is>
      </c>
      <c r="O664" s="44" t="inlineStr">
        <is>
          <t>Amidzad Partners, Big Basin Capital, D3 Jubilee, Gang Mai, Min Bang, Plug and Play Tech Center, Seven Seas Partners, Terry Li, VenturesLab</t>
        </is>
      </c>
      <c r="P664" s="45" t="inlineStr">
        <is>
          <t/>
        </is>
      </c>
      <c r="Q664" s="46" t="inlineStr">
        <is>
          <t>Social/Platform Software</t>
        </is>
      </c>
      <c r="R664" s="47" t="inlineStr">
        <is>
          <t>Provider of an online social networking platform designed to help people to become a host and share exciting adventures with others. The company's online social networking platform connects people having similar passions and help in monetizing skills by sharing experiences, enabling users to discover local businesses.</t>
        </is>
      </c>
      <c r="S664" s="48" t="inlineStr">
        <is>
          <t>San Francisco, CA</t>
        </is>
      </c>
      <c r="T664" s="49" t="inlineStr">
        <is>
          <t>www.verlocal.com</t>
        </is>
      </c>
      <c r="U664" s="132">
        <f>HYPERLINK("https://my.pitchbook.com?c=103448-53", "View company online")</f>
      </c>
    </row>
    <row r="665">
      <c r="A665" s="9" t="inlineStr">
        <is>
          <t>167981-95</t>
        </is>
      </c>
      <c r="B665" s="10" t="inlineStr">
        <is>
          <t>Verkada</t>
        </is>
      </c>
      <c r="C665" s="11" t="inlineStr">
        <is>
          <t/>
        </is>
      </c>
      <c r="D665" s="12" t="inlineStr">
        <is>
          <t/>
        </is>
      </c>
      <c r="E665" s="13" t="inlineStr">
        <is>
          <t/>
        </is>
      </c>
      <c r="F665" s="14" t="n">
        <v>42842.0</v>
      </c>
      <c r="G665" s="15" t="inlineStr">
        <is>
          <t>Seed Round</t>
        </is>
      </c>
      <c r="H665" s="16" t="inlineStr">
        <is>
          <t>Seed</t>
        </is>
      </c>
      <c r="I665" s="17" t="n">
        <v>2.24</v>
      </c>
      <c r="J665" s="18" t="n">
        <v>26.24</v>
      </c>
      <c r="K665" s="19" t="inlineStr">
        <is>
          <t>Completed</t>
        </is>
      </c>
      <c r="L665" s="20" t="inlineStr">
        <is>
          <t>Privately Held (backing)</t>
        </is>
      </c>
      <c r="M665" s="21" t="inlineStr">
        <is>
          <t>Venture Capital-Backed</t>
        </is>
      </c>
      <c r="N665" s="22" t="inlineStr">
        <is>
          <t>The company raised $2.24 million of seed funding from undisclosed investors on April 17, 2017, putting the pre-money valuation at $24 million.</t>
        </is>
      </c>
      <c r="O665" s="23" t="inlineStr">
        <is>
          <t/>
        </is>
      </c>
      <c r="P665" s="24" t="inlineStr">
        <is>
          <t/>
        </is>
      </c>
      <c r="Q665" s="25" t="inlineStr">
        <is>
          <t>Application Software</t>
        </is>
      </c>
      <c r="R665" s="26" t="inlineStr">
        <is>
          <t>Developer of a mobile application.</t>
        </is>
      </c>
      <c r="S665" s="27" t="inlineStr">
        <is>
          <t>San Mateo, CA</t>
        </is>
      </c>
      <c r="T665" s="28" t="inlineStr">
        <is>
          <t>www.verkada.com</t>
        </is>
      </c>
      <c r="U665" s="131">
        <f>HYPERLINK("https://my.pitchbook.com?c=167981-95", "View company online")</f>
      </c>
    </row>
    <row r="666">
      <c r="A666" s="30" t="inlineStr">
        <is>
          <t>54421-84</t>
        </is>
      </c>
      <c r="B666" s="31" t="inlineStr">
        <is>
          <t>Verix</t>
        </is>
      </c>
      <c r="C666" s="32" t="inlineStr">
        <is>
          <t/>
        </is>
      </c>
      <c r="D666" s="33" t="n">
        <v>-0.0468819854126805</v>
      </c>
      <c r="E666" s="34" t="n">
        <v>0.8262113887758692</v>
      </c>
      <c r="F666" s="35" t="n">
        <v>38760.0</v>
      </c>
      <c r="G666" s="36" t="inlineStr">
        <is>
          <t>Early Stage VC</t>
        </is>
      </c>
      <c r="H666" s="37" t="inlineStr">
        <is>
          <t>Series B</t>
        </is>
      </c>
      <c r="I666" s="38" t="n">
        <v>12.7</v>
      </c>
      <c r="J666" s="39" t="inlineStr">
        <is>
          <t/>
        </is>
      </c>
      <c r="K666" s="40" t="inlineStr">
        <is>
          <t>Completed</t>
        </is>
      </c>
      <c r="L666" s="41" t="inlineStr">
        <is>
          <t>Privately Held (backing)</t>
        </is>
      </c>
      <c r="M666" s="42" t="inlineStr">
        <is>
          <t>Venture Capital-Backed</t>
        </is>
      </c>
      <c r="N666" s="43" t="inlineStr">
        <is>
          <t>The company raised $12.7 million of Series B venture funding from Carmel Ventures, Gemini Israel Ventures and HillsVen Capital on February 12, 2006.</t>
        </is>
      </c>
      <c r="O666" s="44" t="inlineStr">
        <is>
          <t>Carmel Ventures, Gemini Israel Ventures, HillsVen Capital, Western Technology Investment</t>
        </is>
      </c>
      <c r="P666" s="45" t="inlineStr">
        <is>
          <t/>
        </is>
      </c>
      <c r="Q666" s="46" t="inlineStr">
        <is>
          <t>Business/Productivity Software</t>
        </is>
      </c>
      <c r="R666" s="47" t="inlineStr">
        <is>
          <t>Developer of business intelligence and analytics software. The company develops cloud-based business analytical applications specifically for Pharma commercial operations.</t>
        </is>
      </c>
      <c r="S666" s="48" t="inlineStr">
        <is>
          <t>Los Altos, CA</t>
        </is>
      </c>
      <c r="T666" s="49" t="inlineStr">
        <is>
          <t>www.verix.com</t>
        </is>
      </c>
      <c r="U666" s="132">
        <f>HYPERLINK("https://my.pitchbook.com?c=54421-84", "View company online")</f>
      </c>
    </row>
    <row r="667">
      <c r="A667" s="9" t="inlineStr">
        <is>
          <t>100342-81</t>
        </is>
      </c>
      <c r="B667" s="10" t="inlineStr">
        <is>
          <t>Veritas Investments</t>
        </is>
      </c>
      <c r="C667" s="11" t="inlineStr">
        <is>
          <t/>
        </is>
      </c>
      <c r="D667" s="12" t="n">
        <v>0.0</v>
      </c>
      <c r="E667" s="13" t="n">
        <v>0.3943763639415813</v>
      </c>
      <c r="F667" s="14" t="n">
        <v>42409.0</v>
      </c>
      <c r="G667" s="15" t="inlineStr">
        <is>
          <t>Debt Refinancing</t>
        </is>
      </c>
      <c r="H667" s="16" t="inlineStr">
        <is>
          <t/>
        </is>
      </c>
      <c r="I667" s="17" t="n">
        <v>815.0</v>
      </c>
      <c r="J667" s="18" t="inlineStr">
        <is>
          <t/>
        </is>
      </c>
      <c r="K667" s="19" t="inlineStr">
        <is>
          <t>Completed</t>
        </is>
      </c>
      <c r="L667" s="20" t="inlineStr">
        <is>
          <t>Privately Held (backing)</t>
        </is>
      </c>
      <c r="M667" s="21" t="inlineStr">
        <is>
          <t>Venture Capital-Backed</t>
        </is>
      </c>
      <c r="N667" s="22" t="inlineStr">
        <is>
          <t>The company completed a $815 million of debt refinancing round from Goldman Sachs on February 9, 2016.</t>
        </is>
      </c>
      <c r="O667" s="23" t="inlineStr">
        <is>
          <t>Fifth Era</t>
        </is>
      </c>
      <c r="P667" s="24" t="inlineStr">
        <is>
          <t/>
        </is>
      </c>
      <c r="Q667" s="25" t="inlineStr">
        <is>
          <t>Real Estate Services (B2C)</t>
        </is>
      </c>
      <c r="R667" s="26" t="inlineStr">
        <is>
          <t>Provider of real estate investment management services for mixed-use multifamily and retail properties. The company offers investors a vertically integrated platform that includes property acquisitions, finance, asset management and reporting, project management, leasing and property management.</t>
        </is>
      </c>
      <c r="S667" s="27" t="inlineStr">
        <is>
          <t>San Francisco, CA</t>
        </is>
      </c>
      <c r="T667" s="28" t="inlineStr">
        <is>
          <t>www.veritasinvestments.com</t>
        </is>
      </c>
      <c r="U667" s="131">
        <f>HYPERLINK("https://my.pitchbook.com?c=100342-81", "View company online")</f>
      </c>
    </row>
    <row r="668">
      <c r="A668" s="30" t="inlineStr">
        <is>
          <t>99119-89</t>
        </is>
      </c>
      <c r="B668" s="31" t="inlineStr">
        <is>
          <t>Veritamo</t>
        </is>
      </c>
      <c r="C668" s="32" t="inlineStr">
        <is>
          <t/>
        </is>
      </c>
      <c r="D668" s="33" t="n">
        <v>0.17003913630169537</v>
      </c>
      <c r="E668" s="34" t="n">
        <v>0.5752392143696492</v>
      </c>
      <c r="F668" s="35" t="inlineStr">
        <is>
          <t/>
        </is>
      </c>
      <c r="G668" s="36" t="inlineStr">
        <is>
          <t>Early Stage VC</t>
        </is>
      </c>
      <c r="H668" s="37" t="inlineStr">
        <is>
          <t/>
        </is>
      </c>
      <c r="I668" s="38" t="inlineStr">
        <is>
          <t/>
        </is>
      </c>
      <c r="J668" s="39" t="inlineStr">
        <is>
          <t/>
        </is>
      </c>
      <c r="K668" s="40" t="inlineStr">
        <is>
          <t>Completed</t>
        </is>
      </c>
      <c r="L668" s="41" t="inlineStr">
        <is>
          <t>Privately Held (backing)</t>
        </is>
      </c>
      <c r="M668" s="42" t="inlineStr">
        <is>
          <t>Venture Capital-Backed</t>
        </is>
      </c>
      <c r="N668" s="43" t="inlineStr">
        <is>
          <t>The company raised venture funding from IMI.VC on an undisclosed date.</t>
        </is>
      </c>
      <c r="O668" s="44" t="inlineStr">
        <is>
          <t>IMI.VC, Startup Monthly</t>
        </is>
      </c>
      <c r="P668" s="45" t="inlineStr">
        <is>
          <t/>
        </is>
      </c>
      <c r="Q668" s="46" t="inlineStr">
        <is>
          <t>Social/Platform Software</t>
        </is>
      </c>
      <c r="R668" s="47" t="inlineStr">
        <is>
          <t>Provider of a marketplace for high-end services. The company provides a marketplace for service providers offering luxury services to communicate and transact with clients through a mobile application.</t>
        </is>
      </c>
      <c r="S668" s="48" t="inlineStr">
        <is>
          <t>San Francisco, CA</t>
        </is>
      </c>
      <c r="T668" s="49" t="inlineStr">
        <is>
          <t>www.veritamo.com</t>
        </is>
      </c>
      <c r="U668" s="132">
        <f>HYPERLINK("https://my.pitchbook.com?c=99119-89", "View company online")</f>
      </c>
    </row>
    <row r="669">
      <c r="A669" s="9" t="inlineStr">
        <is>
          <t>102991-33</t>
        </is>
      </c>
      <c r="B669" s="10" t="inlineStr">
        <is>
          <t>Veristorm</t>
        </is>
      </c>
      <c r="C669" s="11" t="inlineStr">
        <is>
          <t/>
        </is>
      </c>
      <c r="D669" s="12" t="n">
        <v>-0.05132103436794756</v>
      </c>
      <c r="E669" s="13" t="n">
        <v>2.633711111364022</v>
      </c>
      <c r="F669" s="14" t="n">
        <v>41532.0</v>
      </c>
      <c r="G669" s="15" t="inlineStr">
        <is>
          <t>Seed Round</t>
        </is>
      </c>
      <c r="H669" s="16" t="inlineStr">
        <is>
          <t>Seed</t>
        </is>
      </c>
      <c r="I669" s="17" t="n">
        <v>1.5</v>
      </c>
      <c r="J669" s="18" t="n">
        <v>5.5</v>
      </c>
      <c r="K669" s="19" t="inlineStr">
        <is>
          <t>Completed</t>
        </is>
      </c>
      <c r="L669" s="20" t="inlineStr">
        <is>
          <t>Privately Held (backing)</t>
        </is>
      </c>
      <c r="M669" s="21" t="inlineStr">
        <is>
          <t>Venture Capital-Backed</t>
        </is>
      </c>
      <c r="N669" s="22" t="inlineStr">
        <is>
          <t>The company raised $1.5 million of Class A funding from undisclosed investors on September 15, 2013, putting the pre-money valuation at $4 million.</t>
        </is>
      </c>
      <c r="O669" s="23" t="inlineStr">
        <is>
          <t/>
        </is>
      </c>
      <c r="P669" s="24" t="inlineStr">
        <is>
          <t/>
        </is>
      </c>
      <c r="Q669" s="25" t="inlineStr">
        <is>
          <t>Database Software</t>
        </is>
      </c>
      <c r="R669" s="26" t="inlineStr">
        <is>
          <t>Provider of a big data management platform. The company enables clients to leverage all of their data, including mainframe and unstructured, and allows them to utilize the analytics platform of their choice.</t>
        </is>
      </c>
      <c r="S669" s="27" t="inlineStr">
        <is>
          <t>Santa Clara, CA</t>
        </is>
      </c>
      <c r="T669" s="28" t="inlineStr">
        <is>
          <t>www.veristorm.com</t>
        </is>
      </c>
      <c r="U669" s="131">
        <f>HYPERLINK("https://my.pitchbook.com?c=102991-33", "View company online")</f>
      </c>
    </row>
    <row r="670">
      <c r="A670" s="30" t="inlineStr">
        <is>
          <t>51275-53</t>
        </is>
      </c>
      <c r="B670" s="31" t="inlineStr">
        <is>
          <t>Verismo Networks</t>
        </is>
      </c>
      <c r="C670" s="32" t="inlineStr">
        <is>
          <t/>
        </is>
      </c>
      <c r="D670" s="33" t="n">
        <v>-0.1041405226284298</v>
      </c>
      <c r="E670" s="34" t="n">
        <v>1.5407472716426291</v>
      </c>
      <c r="F670" s="35" t="n">
        <v>40498.0</v>
      </c>
      <c r="G670" s="36" t="inlineStr">
        <is>
          <t>Early Stage VC</t>
        </is>
      </c>
      <c r="H670" s="37" t="inlineStr">
        <is>
          <t/>
        </is>
      </c>
      <c r="I670" s="38" t="n">
        <v>17.0</v>
      </c>
      <c r="J670" s="39" t="n">
        <v>37.31</v>
      </c>
      <c r="K670" s="40" t="inlineStr">
        <is>
          <t>Completed</t>
        </is>
      </c>
      <c r="L670" s="41" t="inlineStr">
        <is>
          <t>Privately Held (backing)</t>
        </is>
      </c>
      <c r="M670" s="42" t="inlineStr">
        <is>
          <t>Venture Capital-Backed</t>
        </is>
      </c>
      <c r="N670" s="43" t="inlineStr">
        <is>
          <t>The company raised $17 million of venture funding from lead investor Intel Capital on November 16, 2010, putting the pre-money valuation at $20.3 million. Follow on undisclosed individual investors also participated.</t>
        </is>
      </c>
      <c r="O670" s="44" t="inlineStr">
        <is>
          <t>Individual Investor, Intel Capital</t>
        </is>
      </c>
      <c r="P670" s="45" t="inlineStr">
        <is>
          <t/>
        </is>
      </c>
      <c r="Q670" s="46" t="inlineStr">
        <is>
          <t>Internet Software</t>
        </is>
      </c>
      <c r="R670" s="47" t="inlineStr">
        <is>
          <t>Operator of an Internet media company. The company provides a platform that facilitates content distribution over the Internet for television consumption. Its platform enables multi system operators, Internet service providers, content providers, and telecommunication companies to offer linear channels, over the top Internet videos, video-on-demand, and live channels; and various social networking applications, as well as to stream their content directly to the television.</t>
        </is>
      </c>
      <c r="S670" s="48" t="inlineStr">
        <is>
          <t>Santa Clara, CA</t>
        </is>
      </c>
      <c r="T670" s="49" t="inlineStr">
        <is>
          <t>www.verismonetworks.com</t>
        </is>
      </c>
      <c r="U670" s="132">
        <f>HYPERLINK("https://my.pitchbook.com?c=51275-53", "View company online")</f>
      </c>
    </row>
    <row r="671">
      <c r="A671" s="9" t="inlineStr">
        <is>
          <t>55915-84</t>
        </is>
      </c>
      <c r="B671" s="10" t="inlineStr">
        <is>
          <t>Verismic Software</t>
        </is>
      </c>
      <c r="C671" s="11" t="inlineStr">
        <is>
          <t/>
        </is>
      </c>
      <c r="D671" s="12" t="n">
        <v>0.328244112615083</v>
      </c>
      <c r="E671" s="13" t="n">
        <v>2.659967763320748</v>
      </c>
      <c r="F671" s="14" t="inlineStr">
        <is>
          <t/>
        </is>
      </c>
      <c r="G671" s="15" t="inlineStr">
        <is>
          <t>Early Stage VC</t>
        </is>
      </c>
      <c r="H671" s="16" t="inlineStr">
        <is>
          <t/>
        </is>
      </c>
      <c r="I671" s="17" t="inlineStr">
        <is>
          <t/>
        </is>
      </c>
      <c r="J671" s="18" t="inlineStr">
        <is>
          <t/>
        </is>
      </c>
      <c r="K671" s="19" t="inlineStr">
        <is>
          <t>Completed</t>
        </is>
      </c>
      <c r="L671" s="20" t="inlineStr">
        <is>
          <t>Privately Held (backing)</t>
        </is>
      </c>
      <c r="M671" s="21" t="inlineStr">
        <is>
          <t>Venture Capital-Backed</t>
        </is>
      </c>
      <c r="N671" s="22" t="inlineStr">
        <is>
          <t>The company raised venture funding from Signal Peak Ventures on an undisclosed date.</t>
        </is>
      </c>
      <c r="O671" s="23" t="inlineStr">
        <is>
          <t>Signal Peak Ventures</t>
        </is>
      </c>
      <c r="P671" s="24" t="inlineStr">
        <is>
          <t/>
        </is>
      </c>
      <c r="Q671" s="25" t="inlineStr">
        <is>
          <t>Application Software</t>
        </is>
      </c>
      <c r="R671" s="26" t="inlineStr">
        <is>
          <t>Provider of cloud-based IT endpoint management and green technology services. The company develops products which allows organizations to reduce their energy costs and helps in managing IT infrastructure from the cloud.</t>
        </is>
      </c>
      <c r="S671" s="27" t="inlineStr">
        <is>
          <t>Aliso Viejo, CA</t>
        </is>
      </c>
      <c r="T671" s="28" t="inlineStr">
        <is>
          <t>www.verismic.com</t>
        </is>
      </c>
      <c r="U671" s="131">
        <f>HYPERLINK("https://my.pitchbook.com?c=55915-84", "View company online")</f>
      </c>
    </row>
    <row r="672">
      <c r="A672" s="30" t="inlineStr">
        <is>
          <t>117698-59</t>
        </is>
      </c>
      <c r="B672" s="31" t="inlineStr">
        <is>
          <t>Verisart</t>
        </is>
      </c>
      <c r="C672" s="32" t="inlineStr">
        <is>
          <t/>
        </is>
      </c>
      <c r="D672" s="33" t="n">
        <v>1.5969114497350105</v>
      </c>
      <c r="E672" s="34" t="n">
        <v>1.8731754836213201</v>
      </c>
      <c r="F672" s="35" t="n">
        <v>42193.0</v>
      </c>
      <c r="G672" s="36" t="inlineStr">
        <is>
          <t>Seed Round</t>
        </is>
      </c>
      <c r="H672" s="37" t="inlineStr">
        <is>
          <t>Seed</t>
        </is>
      </c>
      <c r="I672" s="38" t="n">
        <v>2.0</v>
      </c>
      <c r="J672" s="39" t="inlineStr">
        <is>
          <t/>
        </is>
      </c>
      <c r="K672" s="40" t="inlineStr">
        <is>
          <t>Completed</t>
        </is>
      </c>
      <c r="L672" s="41" t="inlineStr">
        <is>
          <t>Privately Held (backing)</t>
        </is>
      </c>
      <c r="M672" s="42" t="inlineStr">
        <is>
          <t>Venture Capital-Backed</t>
        </is>
      </c>
      <c r="N672" s="43" t="inlineStr">
        <is>
          <t>The company raised $2 million of seed funding from Earlybird Venture Capital, Freelands Ventures and Rhodium on July 8, 2015.</t>
        </is>
      </c>
      <c r="O672" s="44" t="inlineStr">
        <is>
          <t>Earlybird Venture Capital, Freelands Ventures, Rhodium</t>
        </is>
      </c>
      <c r="P672" s="45" t="inlineStr">
        <is>
          <t/>
        </is>
      </c>
      <c r="Q672" s="46" t="inlineStr">
        <is>
          <t>Application Software</t>
        </is>
      </c>
      <c r="R672" s="47" t="inlineStr">
        <is>
          <t>Provider of a mobile application designed to certify and verify artworks and collectables in real time. The company's distributed ledger technology provided by the blockchain aims to build a permanent, decentralized and anonymous ledger for the world's art and collectables, enabling artists and collectors to generate certificates of authenticity.</t>
        </is>
      </c>
      <c r="S672" s="48" t="inlineStr">
        <is>
          <t>Burbank, CA</t>
        </is>
      </c>
      <c r="T672" s="49" t="inlineStr">
        <is>
          <t>www.verisart.com</t>
        </is>
      </c>
      <c r="U672" s="132">
        <f>HYPERLINK("https://my.pitchbook.com?c=117698-59", "View company online")</f>
      </c>
    </row>
    <row r="673">
      <c r="A673" s="9" t="inlineStr">
        <is>
          <t>53365-60</t>
        </is>
      </c>
      <c r="B673" s="10" t="inlineStr">
        <is>
          <t>Verimatrix</t>
        </is>
      </c>
      <c r="C673" s="11" t="inlineStr">
        <is>
          <t/>
        </is>
      </c>
      <c r="D673" s="12" t="n">
        <v>0.5031206974769096</v>
      </c>
      <c r="E673" s="13" t="n">
        <v>18.47891475537017</v>
      </c>
      <c r="F673" s="14" t="n">
        <v>40646.0</v>
      </c>
      <c r="G673" s="15" t="inlineStr">
        <is>
          <t>Later Stage VC</t>
        </is>
      </c>
      <c r="H673" s="16" t="inlineStr">
        <is>
          <t/>
        </is>
      </c>
      <c r="I673" s="17" t="n">
        <v>7.5</v>
      </c>
      <c r="J673" s="18" t="inlineStr">
        <is>
          <t/>
        </is>
      </c>
      <c r="K673" s="19" t="inlineStr">
        <is>
          <t>Completed</t>
        </is>
      </c>
      <c r="L673" s="20" t="inlineStr">
        <is>
          <t>Privately Held (backing)</t>
        </is>
      </c>
      <c r="M673" s="21" t="inlineStr">
        <is>
          <t>Venture Capital-Backed</t>
        </is>
      </c>
      <c r="N673" s="22" t="inlineStr">
        <is>
          <t>The company raised $7.5 million of venture funding from undisclosed investors on April 13, 2011.</t>
        </is>
      </c>
      <c r="O673" s="23" t="inlineStr">
        <is>
          <t>Cipio Partners, Crescendo Ventures Management, Industry Ventures, JAIC America, JK&amp;B Capital, Serome Ventures, Solborn Venture Investment, SunAmerica Ventures, The Goldman Sachs Group</t>
        </is>
      </c>
      <c r="P673" s="24" t="inlineStr">
        <is>
          <t/>
        </is>
      </c>
      <c r="Q673" s="25" t="inlineStr">
        <is>
          <t>Business/Productivity Software</t>
        </is>
      </c>
      <c r="R673" s="26" t="inlineStr">
        <is>
          <t>Provider of revenue security services for connected video devices. The company secures revenue for multi-network, multi-screen video services and pay-TV operators through automated system optimization and data analytic.</t>
        </is>
      </c>
      <c r="S673" s="27" t="inlineStr">
        <is>
          <t>San Diego, CA</t>
        </is>
      </c>
      <c r="T673" s="28" t="inlineStr">
        <is>
          <t>www.verimatrix.com</t>
        </is>
      </c>
      <c r="U673" s="131">
        <f>HYPERLINK("https://my.pitchbook.com?c=53365-60", "View company online")</f>
      </c>
    </row>
    <row r="674">
      <c r="A674" s="30" t="inlineStr">
        <is>
          <t>100395-55</t>
        </is>
      </c>
      <c r="B674" s="31" t="inlineStr">
        <is>
          <t>Verifyter</t>
        </is>
      </c>
      <c r="C674" s="32" t="n">
        <v>0.2</v>
      </c>
      <c r="D674" s="33" t="n">
        <v>0.09138002210749678</v>
      </c>
      <c r="E674" s="34" t="n">
        <v>0.49935104596121543</v>
      </c>
      <c r="F674" s="35" t="n">
        <v>41443.0</v>
      </c>
      <c r="G674" s="36" t="inlineStr">
        <is>
          <t>Early Stage VC</t>
        </is>
      </c>
      <c r="H674" s="37" t="inlineStr">
        <is>
          <t/>
        </is>
      </c>
      <c r="I674" s="38" t="inlineStr">
        <is>
          <t/>
        </is>
      </c>
      <c r="J674" s="39" t="inlineStr">
        <is>
          <t/>
        </is>
      </c>
      <c r="K674" s="40" t="inlineStr">
        <is>
          <t>Completed</t>
        </is>
      </c>
      <c r="L674" s="41" t="inlineStr">
        <is>
          <t>Privately Held (backing)</t>
        </is>
      </c>
      <c r="M674" s="42" t="inlineStr">
        <is>
          <t>Venture Capital-Backed</t>
        </is>
      </c>
      <c r="N674" s="43" t="inlineStr">
        <is>
          <t>The company raised an undisclosed amount of venture funding from Spintop Ventures, Almi Invest and Lars-Eric Lundgren on June 18, 2013.</t>
        </is>
      </c>
      <c r="O674" s="44" t="inlineStr">
        <is>
          <t>Almi Invest, Ideon Innovation, Lars-Eric Lundgren, Mobile Heights Business Center, Spintop Ventures</t>
        </is>
      </c>
      <c r="P674" s="45" t="inlineStr">
        <is>
          <t/>
        </is>
      </c>
      <c r="Q674" s="46" t="inlineStr">
        <is>
          <t>Application Software</t>
        </is>
      </c>
      <c r="R674" s="47" t="inlineStr">
        <is>
          <t>Developer of software diagnosis automation technologies. The company offers an automatic de-bugging tool for the detection and analysis of software and hardware failures.</t>
        </is>
      </c>
      <c r="S674" s="48" t="inlineStr">
        <is>
          <t>Lund, Sweden</t>
        </is>
      </c>
      <c r="T674" s="49" t="inlineStr">
        <is>
          <t>www.verifyter.com</t>
        </is>
      </c>
      <c r="U674" s="132">
        <f>HYPERLINK("https://my.pitchbook.com?c=100395-55", "View company online")</f>
      </c>
    </row>
    <row r="675">
      <c r="A675" s="9" t="inlineStr">
        <is>
          <t>98938-27</t>
        </is>
      </c>
      <c r="B675" s="10" t="inlineStr">
        <is>
          <t>Veriflow</t>
        </is>
      </c>
      <c r="C675" s="11" t="inlineStr">
        <is>
          <t/>
        </is>
      </c>
      <c r="D675" s="12" t="n">
        <v>0.7652019056786725</v>
      </c>
      <c r="E675" s="13" t="n">
        <v>0.40796304779355635</v>
      </c>
      <c r="F675" s="14" t="n">
        <v>42557.0</v>
      </c>
      <c r="G675" s="15" t="inlineStr">
        <is>
          <t>Early Stage VC</t>
        </is>
      </c>
      <c r="H675" s="16" t="inlineStr">
        <is>
          <t>Series A1</t>
        </is>
      </c>
      <c r="I675" s="17" t="n">
        <v>8.18</v>
      </c>
      <c r="J675" s="18" t="n">
        <v>23.72</v>
      </c>
      <c r="K675" s="19" t="inlineStr">
        <is>
          <t>Completed</t>
        </is>
      </c>
      <c r="L675" s="20" t="inlineStr">
        <is>
          <t>Privately Held (backing)</t>
        </is>
      </c>
      <c r="M675" s="21" t="inlineStr">
        <is>
          <t>Venture Capital-Backed</t>
        </is>
      </c>
      <c r="N675" s="22" t="inlineStr">
        <is>
          <t>The company raised $8.18 million of Series A1 venture funding from lead investor Menlo Ventures in July 07, 2016, putting the company's pre-money valuation at $15.53 million. New Enterprise Associates also participated in the round. The company will use the funds to build its sales force, hire new engineering talent and increase marketing efforts.</t>
        </is>
      </c>
      <c r="O675" s="23" t="inlineStr">
        <is>
          <t>Menlo Ventures, National Science Foundation, New Enterprise Associates, Research Park, United States Department of Defense</t>
        </is>
      </c>
      <c r="P675" s="24" t="inlineStr">
        <is>
          <t/>
        </is>
      </c>
      <c r="Q675" s="25" t="inlineStr">
        <is>
          <t>Network Management Software</t>
        </is>
      </c>
      <c r="R675" s="26" t="inlineStr">
        <is>
          <t>Provider of network security systems. The company offers a network management software for network architects, engineers and operators that uses formal verification to eliminate change-induced network outages and breaches.</t>
        </is>
      </c>
      <c r="S675" s="27" t="inlineStr">
        <is>
          <t>Oakland, CA</t>
        </is>
      </c>
      <c r="T675" s="28" t="inlineStr">
        <is>
          <t>www.veriflow.net</t>
        </is>
      </c>
      <c r="U675" s="131">
        <f>HYPERLINK("https://my.pitchbook.com?c=98938-27", "View company online")</f>
      </c>
    </row>
    <row r="676">
      <c r="A676" s="30" t="inlineStr">
        <is>
          <t>54751-06</t>
        </is>
      </c>
      <c r="B676" s="31" t="inlineStr">
        <is>
          <t>Verifaya</t>
        </is>
      </c>
      <c r="C676" s="32" t="inlineStr">
        <is>
          <t/>
        </is>
      </c>
      <c r="D676" s="33" t="n">
        <v>0.0</v>
      </c>
      <c r="E676" s="34" t="n">
        <v>0.21770534878493614</v>
      </c>
      <c r="F676" s="35" t="n">
        <v>41295.0</v>
      </c>
      <c r="G676" s="36" t="inlineStr">
        <is>
          <t>Early Stage VC</t>
        </is>
      </c>
      <c r="H676" s="37" t="inlineStr">
        <is>
          <t/>
        </is>
      </c>
      <c r="I676" s="38" t="inlineStr">
        <is>
          <t/>
        </is>
      </c>
      <c r="J676" s="39" t="inlineStr">
        <is>
          <t/>
        </is>
      </c>
      <c r="K676" s="40" t="inlineStr">
        <is>
          <t>Completed</t>
        </is>
      </c>
      <c r="L676" s="41" t="inlineStr">
        <is>
          <t>Privately Held (backing)</t>
        </is>
      </c>
      <c r="M676" s="42" t="inlineStr">
        <is>
          <t>Venture Capital-Backed</t>
        </is>
      </c>
      <c r="N676" s="43" t="inlineStr">
        <is>
          <t>The company raised an undisclosed amount of venture funding from Intel Capital on January 21, 2013.</t>
        </is>
      </c>
      <c r="O676" s="44" t="inlineStr">
        <is>
          <t>Intel Capital</t>
        </is>
      </c>
      <c r="P676" s="45" t="inlineStr">
        <is>
          <t/>
        </is>
      </c>
      <c r="Q676" s="46" t="inlineStr">
        <is>
          <t>Automation/Workflow Software</t>
        </is>
      </c>
      <c r="R676" s="47" t="inlineStr">
        <is>
          <t>Provider of online and on-demand automated functional testing services. The company provides automated testing for Web and mobile applications. The company also offers various other testing services, including performance and load testing, localization testing, security testing, compliance testing, and usability testing.</t>
        </is>
      </c>
      <c r="S676" s="48" t="inlineStr">
        <is>
          <t>Bangalore, India</t>
        </is>
      </c>
      <c r="T676" s="49" t="inlineStr">
        <is>
          <t>www.verifaya.com</t>
        </is>
      </c>
      <c r="U676" s="132">
        <f>HYPERLINK("https://my.pitchbook.com?c=54751-06", "View company online")</f>
      </c>
    </row>
    <row r="677">
      <c r="A677" s="9" t="inlineStr">
        <is>
          <t>48543-04</t>
        </is>
      </c>
      <c r="B677" s="10" t="inlineStr">
        <is>
          <t>Verient</t>
        </is>
      </c>
      <c r="C677" s="11" t="inlineStr">
        <is>
          <t/>
        </is>
      </c>
      <c r="D677" s="12" t="n">
        <v>0.0</v>
      </c>
      <c r="E677" s="13" t="n">
        <v>0.8378378378378378</v>
      </c>
      <c r="F677" s="14" t="n">
        <v>41022.0</v>
      </c>
      <c r="G677" s="15" t="inlineStr">
        <is>
          <t>Later Stage VC</t>
        </is>
      </c>
      <c r="H677" s="16" t="inlineStr">
        <is>
          <t>Series B</t>
        </is>
      </c>
      <c r="I677" s="17" t="n">
        <v>6.0</v>
      </c>
      <c r="J677" s="18" t="inlineStr">
        <is>
          <t/>
        </is>
      </c>
      <c r="K677" s="19" t="inlineStr">
        <is>
          <t>Completed</t>
        </is>
      </c>
      <c r="L677" s="20" t="inlineStr">
        <is>
          <t>Privately Held (backing)</t>
        </is>
      </c>
      <c r="M677" s="21" t="inlineStr">
        <is>
          <t>Venture Capital-Backed</t>
        </is>
      </c>
      <c r="N677" s="22" t="inlineStr">
        <is>
          <t>The company raised $6 million of venture funding from undisclosed investors on April 23, 2012.</t>
        </is>
      </c>
      <c r="O677" s="23" t="inlineStr">
        <is>
          <t>Docomo Innovation, Global Catalyst Partners, Individual Investor, John McCoy</t>
        </is>
      </c>
      <c r="P677" s="24" t="inlineStr">
        <is>
          <t/>
        </is>
      </c>
      <c r="Q677" s="25" t="inlineStr">
        <is>
          <t>Application Software</t>
        </is>
      </c>
      <c r="R677" s="26" t="inlineStr">
        <is>
          <t>Provider of payment customization services to financial institutions and merchants to customize payment choices for their customers. The company’s services include ATM/Debit on the Internet, which enables its clients’ customers to pay for online purchases directly from their bank account, Pay My Way Card, that provides online retail and small business customers with the capability of creating made-to-order payment instruments and Payment Capture, which enables financial institutions to detect their customers’ online payment activities.</t>
        </is>
      </c>
      <c r="S677" s="27" t="inlineStr">
        <is>
          <t>San Jose, CA</t>
        </is>
      </c>
      <c r="T677" s="28" t="inlineStr">
        <is>
          <t>www.verient.com</t>
        </is>
      </c>
      <c r="U677" s="131">
        <f>HYPERLINK("https://my.pitchbook.com?c=48543-04", "View company online")</f>
      </c>
    </row>
    <row r="678">
      <c r="A678" s="30" t="inlineStr">
        <is>
          <t>102975-85</t>
        </is>
      </c>
      <c r="B678" s="31" t="inlineStr">
        <is>
          <t>Verican</t>
        </is>
      </c>
      <c r="C678" s="32" t="inlineStr">
        <is>
          <t/>
        </is>
      </c>
      <c r="D678" s="33" t="n">
        <v>0.0</v>
      </c>
      <c r="E678" s="34" t="n">
        <v>0.3525935873761961</v>
      </c>
      <c r="F678" s="35" t="n">
        <v>39395.0</v>
      </c>
      <c r="G678" s="36" t="inlineStr">
        <is>
          <t>Seed Round</t>
        </is>
      </c>
      <c r="H678" s="37" t="inlineStr">
        <is>
          <t>Seed</t>
        </is>
      </c>
      <c r="I678" s="38" t="n">
        <v>0.35</v>
      </c>
      <c r="J678" s="39" t="inlineStr">
        <is>
          <t/>
        </is>
      </c>
      <c r="K678" s="40" t="inlineStr">
        <is>
          <t>Completed</t>
        </is>
      </c>
      <c r="L678" s="41" t="inlineStr">
        <is>
          <t>Privately Held (backing)</t>
        </is>
      </c>
      <c r="M678" s="42" t="inlineStr">
        <is>
          <t>Venture Capital-Backed</t>
        </is>
      </c>
      <c r="N678" s="43" t="inlineStr">
        <is>
          <t>The company raised $350,000 of seed funding from Keiretsu Forum and other undisclosed investors on November 9, 2007. The funding will help the company to expand upon their sales and marketing efforts.</t>
        </is>
      </c>
      <c r="O678" s="44" t="inlineStr">
        <is>
          <t>Keiretsu Forum</t>
        </is>
      </c>
      <c r="P678" s="45" t="inlineStr">
        <is>
          <t/>
        </is>
      </c>
      <c r="Q678" s="46" t="inlineStr">
        <is>
          <t>Publishing</t>
        </is>
      </c>
      <c r="R678" s="47" t="inlineStr">
        <is>
          <t>Provider of printing and Internet services to newspapers. The company provides Internet products that helps in the advertising services of newspaper industry.</t>
        </is>
      </c>
      <c r="S678" s="48" t="inlineStr">
        <is>
          <t>Hemet, CA</t>
        </is>
      </c>
      <c r="T678" s="49" t="inlineStr">
        <is>
          <t>www.verican.com</t>
        </is>
      </c>
      <c r="U678" s="132">
        <f>HYPERLINK("https://my.pitchbook.com?c=102975-85", "View company online")</f>
      </c>
    </row>
    <row r="679">
      <c r="A679" s="9" t="inlineStr">
        <is>
          <t>174108-88</t>
        </is>
      </c>
      <c r="B679" s="10" t="inlineStr">
        <is>
          <t>VeriCampus</t>
        </is>
      </c>
      <c r="C679" s="11" t="inlineStr">
        <is>
          <t/>
        </is>
      </c>
      <c r="D679" s="12" t="n">
        <v>0.0336324430605883</v>
      </c>
      <c r="E679" s="13" t="n">
        <v>0.3931555384208295</v>
      </c>
      <c r="F679" s="14" t="n">
        <v>42829.0</v>
      </c>
      <c r="G679" s="15" t="inlineStr">
        <is>
          <t>Early Stage VC</t>
        </is>
      </c>
      <c r="H679" s="16" t="inlineStr">
        <is>
          <t/>
        </is>
      </c>
      <c r="I679" s="17" t="n">
        <v>0.07</v>
      </c>
      <c r="J679" s="18" t="inlineStr">
        <is>
          <t/>
        </is>
      </c>
      <c r="K679" s="19" t="inlineStr">
        <is>
          <t>Completed</t>
        </is>
      </c>
      <c r="L679" s="20" t="inlineStr">
        <is>
          <t>Privately Held (backing)</t>
        </is>
      </c>
      <c r="M679" s="21" t="inlineStr">
        <is>
          <t>Venture Capital-Backed</t>
        </is>
      </c>
      <c r="N679" s="22" t="inlineStr">
        <is>
          <t>The company raised $60,825 of venture funding from Bpifrance on April 4, 2017. The company intends to use the funding for the expansion in France and across francophone Africa. Previously, the company joined SpeedUPAfrica as a part of the 2016 cohort on June 22, 2016.</t>
        </is>
      </c>
      <c r="O679" s="23" t="inlineStr">
        <is>
          <t>Bpifrance, EMLYON Incubateur, SpeedUPAfrica</t>
        </is>
      </c>
      <c r="P679" s="24" t="inlineStr">
        <is>
          <t/>
        </is>
      </c>
      <c r="Q679" s="25" t="inlineStr">
        <is>
          <t>Application Software</t>
        </is>
      </c>
      <c r="R679" s="26" t="inlineStr">
        <is>
          <t>Provider of a school management application intended to bridge the communication gap among students, teachers, administration and parents. The company's school management application offers VeriCampus Live, a twice monthly session delivered over Facebook Live, which invites leaders in the education sector to share their learning, insight and best practices with other members of the education community across the world enabling educational institutions serve their stakeholders faster way.</t>
        </is>
      </c>
      <c r="S679" s="27" t="inlineStr">
        <is>
          <t>San Mateo, CA</t>
        </is>
      </c>
      <c r="T679" s="28" t="inlineStr">
        <is>
          <t>www.vericampus.com</t>
        </is>
      </c>
      <c r="U679" s="131">
        <f>HYPERLINK("https://my.pitchbook.com?c=174108-88", "View company online")</f>
      </c>
    </row>
    <row r="680">
      <c r="A680" s="30" t="inlineStr">
        <is>
          <t>120581-74</t>
        </is>
      </c>
      <c r="B680" s="31" t="inlineStr">
        <is>
          <t>Verge Genomics</t>
        </is>
      </c>
      <c r="C680" s="32" t="inlineStr">
        <is>
          <t/>
        </is>
      </c>
      <c r="D680" s="33" t="n">
        <v>0.9592832385583699</v>
      </c>
      <c r="E680" s="34" t="n">
        <v>1.2734005191632312</v>
      </c>
      <c r="F680" s="35" t="n">
        <v>42305.0</v>
      </c>
      <c r="G680" s="36" t="inlineStr">
        <is>
          <t>Seed Round</t>
        </is>
      </c>
      <c r="H680" s="37" t="inlineStr">
        <is>
          <t>Seed</t>
        </is>
      </c>
      <c r="I680" s="38" t="n">
        <v>4.0</v>
      </c>
      <c r="J680" s="39" t="inlineStr">
        <is>
          <t/>
        </is>
      </c>
      <c r="K680" s="40" t="inlineStr">
        <is>
          <t>Completed</t>
        </is>
      </c>
      <c r="L680" s="41" t="inlineStr">
        <is>
          <t>Privately Held (backing)</t>
        </is>
      </c>
      <c r="M680" s="42" t="inlineStr">
        <is>
          <t>Venture Capital-Backed</t>
        </is>
      </c>
      <c r="N680" s="43" t="inlineStr">
        <is>
          <t>The company raised $4 million of venture funding in a deal led by IA Ventures on October 28, 2015. Two Sigma Investments, Karlin Ventures, Draper Associates, Great Oaks Venture Capital, Slow Ventures, Refactor Capital, Elad Gil and David Lee also participated in this round. Prior to that, the company joined Y Combinator on July 22, 2015 and received $120,000 in funding.</t>
        </is>
      </c>
      <c r="O680" s="44" t="inlineStr">
        <is>
          <t>David Lee, Draper Associates, Elad Gil, Great Oaks Venture Capital, IA Ventures, Individual Investor, Karlin Ventures, Refactor Capital, Slow Ventures, Two Sigma Investments, Y Combinator</t>
        </is>
      </c>
      <c r="P680" s="45" t="inlineStr">
        <is>
          <t/>
        </is>
      </c>
      <c r="Q680" s="46" t="inlineStr">
        <is>
          <t>Other Healthcare Technology Systems</t>
        </is>
      </c>
      <c r="R680" s="47" t="inlineStr">
        <is>
          <t>Developer of an advanced algorithm platform intended to cure neurodegenerative diseases. The company's advanced algorithm platform develops new treatments for brain diseases using human genomic data, provides a way to map out various genes that cause a disease and find drugs that target all the genes at once, providing the healthcare industry with cures for brain diseases including Alzheimers, ALS, and Parkinsons.</t>
        </is>
      </c>
      <c r="S680" s="48" t="inlineStr">
        <is>
          <t>San Francisco, CA</t>
        </is>
      </c>
      <c r="T680" s="49" t="inlineStr">
        <is>
          <t>www.vergegenomics.com</t>
        </is>
      </c>
      <c r="U680" s="132">
        <f>HYPERLINK("https://my.pitchbook.com?c=120581-74", "View company online")</f>
      </c>
    </row>
    <row r="681">
      <c r="A681" s="9" t="inlineStr">
        <is>
          <t>117601-75</t>
        </is>
      </c>
      <c r="B681" s="10" t="inlineStr">
        <is>
          <t>Verecho</t>
        </is>
      </c>
      <c r="C681" s="11" t="inlineStr">
        <is>
          <t/>
        </is>
      </c>
      <c r="D681" s="12" t="n">
        <v>-0.04910760379015764</v>
      </c>
      <c r="E681" s="13" t="n">
        <v>0.30036988246273433</v>
      </c>
      <c r="F681" s="14" t="n">
        <v>42467.0</v>
      </c>
      <c r="G681" s="15" t="inlineStr">
        <is>
          <t>Accelerator/Incubator</t>
        </is>
      </c>
      <c r="H681" s="16" t="inlineStr">
        <is>
          <t/>
        </is>
      </c>
      <c r="I681" s="17" t="n">
        <v>0.05</v>
      </c>
      <c r="J681" s="18" t="n">
        <v>6.0</v>
      </c>
      <c r="K681" s="19" t="inlineStr">
        <is>
          <t>Completed</t>
        </is>
      </c>
      <c r="L681" s="20" t="inlineStr">
        <is>
          <t>Privately Held (backing)</t>
        </is>
      </c>
      <c r="M681" s="21" t="inlineStr">
        <is>
          <t>Venture Capital-Backed</t>
        </is>
      </c>
      <c r="N681" s="22" t="inlineStr">
        <is>
          <t>The company joined Alchemist Accelerator and received $50,000 in funding on April 7, 2016. It previously joined Alchemist Accelerator, and received $50000 in funding on April 7, 2016.</t>
        </is>
      </c>
      <c r="O681" s="23" t="inlineStr">
        <is>
          <t>Alchemist Accelerator, Marco Wirasinghe, Monta Vista Capital, Prabhu Goel</t>
        </is>
      </c>
      <c r="P681" s="24" t="inlineStr">
        <is>
          <t/>
        </is>
      </c>
      <c r="Q681" s="25" t="inlineStr">
        <is>
          <t>Application Software</t>
        </is>
      </c>
      <c r="R681" s="26" t="inlineStr">
        <is>
          <t>Developer of a mobile enterprise software. The company provides a mobile software platform that enables companies to deploy information to their employees on their mobile devices to increase productivity and engagement.</t>
        </is>
      </c>
      <c r="S681" s="27" t="inlineStr">
        <is>
          <t>Palo Alto, CA</t>
        </is>
      </c>
      <c r="T681" s="28" t="inlineStr">
        <is>
          <t>www.verecho.com</t>
        </is>
      </c>
      <c r="U681" s="131">
        <f>HYPERLINK("https://my.pitchbook.com?c=117601-75", "View company online")</f>
      </c>
    </row>
    <row r="682">
      <c r="A682" s="30" t="inlineStr">
        <is>
          <t>58696-39</t>
        </is>
      </c>
      <c r="B682" s="31" t="inlineStr">
        <is>
          <t>Verdigris</t>
        </is>
      </c>
      <c r="C682" s="32" t="inlineStr">
        <is>
          <t/>
        </is>
      </c>
      <c r="D682" s="33" t="n">
        <v>0.09592357974894303</v>
      </c>
      <c r="E682" s="34" t="n">
        <v>1.4516241870884465</v>
      </c>
      <c r="F682" s="35" t="n">
        <v>42655.0</v>
      </c>
      <c r="G682" s="36" t="inlineStr">
        <is>
          <t>Early Stage VC</t>
        </is>
      </c>
      <c r="H682" s="37" t="inlineStr">
        <is>
          <t>Series A</t>
        </is>
      </c>
      <c r="I682" s="38" t="n">
        <v>6.66</v>
      </c>
      <c r="J682" s="39" t="inlineStr">
        <is>
          <t/>
        </is>
      </c>
      <c r="K682" s="40" t="inlineStr">
        <is>
          <t>Completed</t>
        </is>
      </c>
      <c r="L682" s="41" t="inlineStr">
        <is>
          <t>Privately Held (backing)</t>
        </is>
      </c>
      <c r="M682" s="42" t="inlineStr">
        <is>
          <t>Venture Capital-Backed</t>
        </is>
      </c>
      <c r="N682" s="43" t="inlineStr">
        <is>
          <t>The company raised $6.66 million of Series A venture funding led by Jabil Circuit on October 12, 2016. Verizon Venture, StartX and other undisclosed investors also participated. The new funding will go toward expanding its device manufacturing, software and customer service teams to meet these deliverables. Previously, the company raised $8 million of venture funding through a combination of debt and equity from lead investor Jabil Circuit on August 19, 2014. Stanford StartX Fund, Founder.org Capital, Data Collective and other undisclosed investors also participated. The funding is comprised with a $5 million of Series A venture funding and a $3 million of Convertible Seed.</t>
        </is>
      </c>
      <c r="O682" s="44" t="inlineStr">
        <is>
          <t>Amos Ben-Meir, Data Collective, Founder.org, Jabil Circuit, StartX, Verizon Ventures</t>
        </is>
      </c>
      <c r="P682" s="45" t="inlineStr">
        <is>
          <t/>
        </is>
      </c>
      <c r="Q682" s="46" t="inlineStr">
        <is>
          <t>Electrical Equipment</t>
        </is>
      </c>
      <c r="R682" s="47" t="inlineStr">
        <is>
          <t>Provider of energy monitoring platform and analytics software. The company has developed an IoT technology to target large commercial building energy analytics. It also provides energy management tools for energy reduction, demand management and monitoring mission-critical equipment.</t>
        </is>
      </c>
      <c r="S682" s="48" t="inlineStr">
        <is>
          <t>Mountain View, CA</t>
        </is>
      </c>
      <c r="T682" s="49" t="inlineStr">
        <is>
          <t>verdigris.co</t>
        </is>
      </c>
      <c r="U682" s="132">
        <f>HYPERLINK("https://my.pitchbook.com?c=58696-39", "View company online")</f>
      </c>
    </row>
    <row r="683">
      <c r="A683" s="9" t="inlineStr">
        <is>
          <t>51346-99</t>
        </is>
      </c>
      <c r="B683" s="10" t="inlineStr">
        <is>
          <t>Verdezyne</t>
        </is>
      </c>
      <c r="C683" s="11" t="inlineStr">
        <is>
          <t/>
        </is>
      </c>
      <c r="D683" s="12" t="n">
        <v>-0.5348681709996521</v>
      </c>
      <c r="E683" s="13" t="n">
        <v>2.4713382110397584</v>
      </c>
      <c r="F683" s="14" t="n">
        <v>42628.0</v>
      </c>
      <c r="G683" s="15" t="inlineStr">
        <is>
          <t>Later Stage VC</t>
        </is>
      </c>
      <c r="H683" s="16" t="inlineStr">
        <is>
          <t/>
        </is>
      </c>
      <c r="I683" s="17" t="inlineStr">
        <is>
          <t/>
        </is>
      </c>
      <c r="J683" s="18" t="inlineStr">
        <is>
          <t/>
        </is>
      </c>
      <c r="K683" s="19" t="inlineStr">
        <is>
          <t>Announced/In Progress</t>
        </is>
      </c>
      <c r="L683" s="20" t="inlineStr">
        <is>
          <t>Privately Held (backing)</t>
        </is>
      </c>
      <c r="M683" s="21" t="inlineStr">
        <is>
          <t>Venture Capital-Backed</t>
        </is>
      </c>
      <c r="N683" s="22" t="inlineStr">
        <is>
          <t>The company closed on an undisclosed amount of convertible debt financing from DSM Venturing on September 15, 2016. Previously, the company raised an undisclosed amount of venture funding from DSM Venturing on November 12, 2015. The company is being actively tracked by PitchBook.</t>
        </is>
      </c>
      <c r="O683" s="23" t="inlineStr">
        <is>
          <t>BP Ventures, DSM Venturing, Enterprise Partners Venture Capital, Hercules Capital, Individual Investor, Life Science Angels, Monitor Ventures, OVP Venture Partners, Sime Darby, Tech Coast Angels, William Radany</t>
        </is>
      </c>
      <c r="P683" s="24" t="inlineStr">
        <is>
          <t/>
        </is>
      </c>
      <c r="Q683" s="25" t="inlineStr">
        <is>
          <t>Energy Production</t>
        </is>
      </c>
      <c r="R683" s="26" t="inlineStr">
        <is>
          <t>Developer of bio-based processes for the production of renewable fuels and chemicals. The company uses proven and metabolic pathway engineering tools to create yeast strains for production of bio-based fuels and chemicals.</t>
        </is>
      </c>
      <c r="S683" s="27" t="inlineStr">
        <is>
          <t>Carlsbad, CA</t>
        </is>
      </c>
      <c r="T683" s="28" t="inlineStr">
        <is>
          <t>www.verdezyne.com</t>
        </is>
      </c>
      <c r="U683" s="131">
        <f>HYPERLINK("https://my.pitchbook.com?c=51346-99", "View company online")</f>
      </c>
    </row>
    <row r="684">
      <c r="A684" s="30" t="inlineStr">
        <is>
          <t>53863-39</t>
        </is>
      </c>
      <c r="B684" s="31" t="inlineStr">
        <is>
          <t>Verbling</t>
        </is>
      </c>
      <c r="C684" s="32" t="n">
        <v>0.65</v>
      </c>
      <c r="D684" s="33" t="n">
        <v>0.02749099235853656</v>
      </c>
      <c r="E684" s="34" t="n">
        <v>46.03011986088626</v>
      </c>
      <c r="F684" s="35" t="n">
        <v>41985.0</v>
      </c>
      <c r="G684" s="36" t="inlineStr">
        <is>
          <t>Early Stage VC</t>
        </is>
      </c>
      <c r="H684" s="37" t="inlineStr">
        <is>
          <t>Series A</t>
        </is>
      </c>
      <c r="I684" s="38" t="n">
        <v>3.54</v>
      </c>
      <c r="J684" s="39" t="n">
        <v>16.32</v>
      </c>
      <c r="K684" s="40" t="inlineStr">
        <is>
          <t>Completed</t>
        </is>
      </c>
      <c r="L684" s="41" t="inlineStr">
        <is>
          <t>Privately Held (backing)</t>
        </is>
      </c>
      <c r="M684" s="42" t="inlineStr">
        <is>
          <t>Venture Capital-Backed</t>
        </is>
      </c>
      <c r="N684" s="43" t="inlineStr">
        <is>
          <t>The company raised $3.54 million of Series A venture funding in a deal led by Bullpen Capital on December 12, 2014, putting the company's pre-money valuation at $12.78 million. Draper Fisher Jurvetson, FundersClub, Canyon Creek Capital, Hubrix Ventures, One Planet Op, Maiden Lane, 6 individual investors and other undisclosed investors also participated in the round.</t>
        </is>
      </c>
      <c r="O684" s="44" t="inlineStr">
        <is>
          <t>ACE &amp; Company, Adam Sharp, Amir Banifatemi, Andrew Crichton, Bullpen Capital, Canyon Creek Capital, Chintaka Ranatunga, Draper Fisher Jurvetson, FundersClub, Hubrix Ventures, Hydrazine Capital, Individual Investor, Inspovation Ventures, J.D. Fagan, Jim Brandt, John Stockdale, Joshua Schachter, Justin Darcy, K5 Ventures, Kevin Moore, Learn Capital, Maiden Lane, Mark Friedgan, MD Pham, Meck Investments, Meyer Malka, Oliver Thylmann, One Planet Ops, Paul Holliman, Payam Zamani, Peter Livingston, Rich Nelson, Robert Kunz, Ronald Conway, Rothenberg Ventures, Saad AlSogair, Start Fund, SV Angel, Timothy Draper, Walker Williams, Wei Guo, Y Combinator, Yun-Fang Juan, Yuri Milner</t>
        </is>
      </c>
      <c r="P684" s="45" t="inlineStr">
        <is>
          <t/>
        </is>
      </c>
      <c r="Q684" s="46" t="inlineStr">
        <is>
          <t>Social/Platform Software</t>
        </is>
      </c>
      <c r="R684" s="47" t="inlineStr">
        <is>
          <t>Provider of an online language learning platform. The company offers an online platform where language learners can take lessons with professional teachers through video chat technology to learn new languages.</t>
        </is>
      </c>
      <c r="S684" s="48" t="inlineStr">
        <is>
          <t>San Francisco, CA</t>
        </is>
      </c>
      <c r="T684" s="49" t="inlineStr">
        <is>
          <t>www.verbling.com</t>
        </is>
      </c>
      <c r="U684" s="132">
        <f>HYPERLINK("https://my.pitchbook.com?c=53863-39", "View company online")</f>
      </c>
    </row>
    <row r="685">
      <c r="A685" s="9" t="inlineStr">
        <is>
          <t>168194-71</t>
        </is>
      </c>
      <c r="B685" s="10" t="inlineStr">
        <is>
          <t>Verb Surgical</t>
        </is>
      </c>
      <c r="C685" s="11" t="inlineStr">
        <is>
          <t/>
        </is>
      </c>
      <c r="D685" s="12" t="n">
        <v>-1.0013736587372597</v>
      </c>
      <c r="E685" s="13" t="n">
        <v>5.108108108108108</v>
      </c>
      <c r="F685" s="14" t="inlineStr">
        <is>
          <t/>
        </is>
      </c>
      <c r="G685" s="15" t="inlineStr">
        <is>
          <t>Early Stage VC</t>
        </is>
      </c>
      <c r="H685" s="16" t="inlineStr">
        <is>
          <t/>
        </is>
      </c>
      <c r="I685" s="17" t="inlineStr">
        <is>
          <t/>
        </is>
      </c>
      <c r="J685" s="18" t="inlineStr">
        <is>
          <t/>
        </is>
      </c>
      <c r="K685" s="19" t="inlineStr">
        <is>
          <t>Completed</t>
        </is>
      </c>
      <c r="L685" s="20" t="inlineStr">
        <is>
          <t>Privately Held (backing)</t>
        </is>
      </c>
      <c r="M685" s="21" t="inlineStr">
        <is>
          <t>Venture Capital-Backed</t>
        </is>
      </c>
      <c r="N685" s="22" t="inlineStr">
        <is>
          <t>The company received venture funding from Verily Life Sciences, Johnson &amp; Johnson Innovation - JJDC and Ethicon on an undisclosed date.</t>
        </is>
      </c>
      <c r="O685" s="23" t="inlineStr">
        <is>
          <t>Ethicon, Johnson &amp; Johnson Innovation - JJDC, Verily Life Sciences</t>
        </is>
      </c>
      <c r="P685" s="24" t="inlineStr">
        <is>
          <t/>
        </is>
      </c>
      <c r="Q685" s="25" t="inlineStr">
        <is>
          <t>Clinics/Outpatient Services</t>
        </is>
      </c>
      <c r="R685" s="26" t="inlineStr">
        <is>
          <t>Developer of a digital surgery platform designed to democratize surgery. The company's digital surgery platform includes robotics, visualization, advanced instrumentation, data analytics and connectivity, enabling patients to experience improved outcomes and reduced overall cost of care.</t>
        </is>
      </c>
      <c r="S685" s="27" t="inlineStr">
        <is>
          <t>Mountain View, CA</t>
        </is>
      </c>
      <c r="T685" s="28" t="inlineStr">
        <is>
          <t>www.verbsurgical.com</t>
        </is>
      </c>
      <c r="U685" s="131">
        <f>HYPERLINK("https://my.pitchbook.com?c=168194-71", "View company online")</f>
      </c>
    </row>
    <row r="686">
      <c r="A686" s="30" t="inlineStr">
        <is>
          <t>55111-87</t>
        </is>
      </c>
      <c r="B686" s="31" t="inlineStr">
        <is>
          <t>Verayo</t>
        </is>
      </c>
      <c r="C686" s="32" t="n">
        <v>3.2</v>
      </c>
      <c r="D686" s="33" t="n">
        <v>-0.5050436626023096</v>
      </c>
      <c r="E686" s="34" t="n">
        <v>1.4640184030751457</v>
      </c>
      <c r="F686" s="35" t="n">
        <v>39149.0</v>
      </c>
      <c r="G686" s="36" t="inlineStr">
        <is>
          <t>Early Stage VC</t>
        </is>
      </c>
      <c r="H686" s="37" t="inlineStr">
        <is>
          <t>Series A1</t>
        </is>
      </c>
      <c r="I686" s="38" t="n">
        <v>2.0</v>
      </c>
      <c r="J686" s="39" t="n">
        <v>7.82</v>
      </c>
      <c r="K686" s="40" t="inlineStr">
        <is>
          <t>Completed</t>
        </is>
      </c>
      <c r="L686" s="41" t="inlineStr">
        <is>
          <t>Privately Held (backing)</t>
        </is>
      </c>
      <c r="M686" s="42" t="inlineStr">
        <is>
          <t>Venture Capital-Backed</t>
        </is>
      </c>
      <c r="N686" s="43" t="inlineStr">
        <is>
          <t>The company raised $2 million of Series A1 venture funding from undisclosed investors on March 8, 2007, putting the company's pre-money valuation at 5.82 million.</t>
        </is>
      </c>
      <c r="O686" s="44" t="inlineStr">
        <is>
          <t>Khosla Ventures</t>
        </is>
      </c>
      <c r="P686" s="45" t="inlineStr">
        <is>
          <t/>
        </is>
      </c>
      <c r="Q686" s="46" t="inlineStr">
        <is>
          <t>Electronic Components</t>
        </is>
      </c>
      <c r="R686" s="47" t="inlineStr">
        <is>
          <t>Provider of security products for mobile and connected devices. The company develops commercial products for mobile and other connected devices such as unclonable chips, authentication software, consumer engagement, back-end data analysis enabling platforms and key generation.</t>
        </is>
      </c>
      <c r="S686" s="48" t="inlineStr">
        <is>
          <t>San Jose, CA</t>
        </is>
      </c>
      <c r="T686" s="49" t="inlineStr">
        <is>
          <t>www.verayo.com</t>
        </is>
      </c>
      <c r="U686" s="132">
        <f>HYPERLINK("https://my.pitchbook.com?c=55111-87", "View company online")</f>
      </c>
    </row>
    <row r="687">
      <c r="A687" s="9" t="inlineStr">
        <is>
          <t>52979-86</t>
        </is>
      </c>
      <c r="B687" s="10" t="inlineStr">
        <is>
          <t>Verance</t>
        </is>
      </c>
      <c r="C687" s="11" t="n">
        <v>11.7</v>
      </c>
      <c r="D687" s="12" t="n">
        <v>0.5390219633204548</v>
      </c>
      <c r="E687" s="13" t="n">
        <v>2.90664764143025</v>
      </c>
      <c r="F687" s="14" t="n">
        <v>39556.0</v>
      </c>
      <c r="G687" s="15" t="inlineStr">
        <is>
          <t>Convertible Debt</t>
        </is>
      </c>
      <c r="H687" s="16" t="inlineStr">
        <is>
          <t/>
        </is>
      </c>
      <c r="I687" s="17" t="n">
        <v>3.55</v>
      </c>
      <c r="J687" s="18" t="inlineStr">
        <is>
          <t/>
        </is>
      </c>
      <c r="K687" s="19" t="inlineStr">
        <is>
          <t>Completed</t>
        </is>
      </c>
      <c r="L687" s="20" t="inlineStr">
        <is>
          <t>Privately Held (backing)</t>
        </is>
      </c>
      <c r="M687" s="21" t="inlineStr">
        <is>
          <t>Venture Capital-Backed</t>
        </is>
      </c>
      <c r="N687" s="22" t="inlineStr">
        <is>
          <t>The company raised $3.55 million of convertible debt financing from Constellation Ventures, Highbridge Principal Strategies Growth Equity and Canaan Partners on April 18, 2008. Blue Chip Venture, Court Square Ventures and Digital Generation also participated. Previously, the company raised $1 million of Series C venture funding from Blue Chip Venture, Canaan Partners and Consor Capital on June 5, 2006. Digital Generation System, Constellation Ventures and Court Square Ventures also participated in the transaction.</t>
        </is>
      </c>
      <c r="O687" s="23" t="inlineStr">
        <is>
          <t>Blue Chip Venture, Canaan Partners, Consor Capital, Court Square Ventures, Digital Generation, HPS Investment Partners, Qualcomm Ventures, Stone Point Capital, Video Research</t>
        </is>
      </c>
      <c r="P687" s="24" t="inlineStr">
        <is>
          <t/>
        </is>
      </c>
      <c r="Q687" s="25" t="inlineStr">
        <is>
          <t>Security Services (B2B)</t>
        </is>
      </c>
      <c r="R687" s="26" t="inlineStr">
        <is>
          <t>Provider of watermarking services. The company is a developer of technologies and services that protect, manage, and enhance the use of premium entertainment content.</t>
        </is>
      </c>
      <c r="S687" s="27" t="inlineStr">
        <is>
          <t>San Diego, CA</t>
        </is>
      </c>
      <c r="T687" s="28" t="inlineStr">
        <is>
          <t>www.verance.com</t>
        </is>
      </c>
      <c r="U687" s="131">
        <f>HYPERLINK("https://my.pitchbook.com?c=52979-86", "View company online")</f>
      </c>
    </row>
    <row r="688">
      <c r="A688" s="30" t="inlineStr">
        <is>
          <t>113119-21</t>
        </is>
      </c>
      <c r="B688" s="31" t="inlineStr">
        <is>
          <t>Veracity</t>
        </is>
      </c>
      <c r="C688" s="32" t="inlineStr">
        <is>
          <t/>
        </is>
      </c>
      <c r="D688" s="33" t="n">
        <v>0.0</v>
      </c>
      <c r="E688" s="34" t="n">
        <v>0.21621621621621623</v>
      </c>
      <c r="F688" s="35" t="n">
        <v>42964.0</v>
      </c>
      <c r="G688" s="36" t="inlineStr">
        <is>
          <t>Seed Round</t>
        </is>
      </c>
      <c r="H688" s="37" t="inlineStr">
        <is>
          <t>Seed</t>
        </is>
      </c>
      <c r="I688" s="38" t="n">
        <v>1.5</v>
      </c>
      <c r="J688" s="39" t="n">
        <v>9.0</v>
      </c>
      <c r="K688" s="40" t="inlineStr">
        <is>
          <t>Upcoming</t>
        </is>
      </c>
      <c r="L688" s="41" t="inlineStr">
        <is>
          <t>Privately Held (backing)</t>
        </is>
      </c>
      <c r="M688" s="42" t="inlineStr">
        <is>
          <t>Venture Capital-Backed</t>
        </is>
      </c>
      <c r="N688" s="43" t="inlineStr">
        <is>
          <t>The company is planning to raise $1.5 million of seed funding as of February 17, 2017, putting the company's pre-money valuation at $7.5 million. It also received an undisclosed amount of corporate financing from Microsemi on June 6, 2016. The company is being actively tracked by PitchBook.</t>
        </is>
      </c>
      <c r="O688" s="44" t="inlineStr">
        <is>
          <t>Frost Data Capital, Microsemi</t>
        </is>
      </c>
      <c r="P688" s="45" t="inlineStr">
        <is>
          <t/>
        </is>
      </c>
      <c r="Q688" s="46" t="inlineStr">
        <is>
          <t>Network Management Software</t>
        </is>
      </c>
      <c r="R688" s="47" t="inlineStr">
        <is>
          <t>Provider of enterprise class security platform for operational technology (OT) networks intended to offer complete network visibility. The company's enterprise class security platform monitors the integrity of critical assets by tracking their communications and risk behaviors, enabling analysts to detect suspicious activity or access to the network.</t>
        </is>
      </c>
      <c r="S688" s="48" t="inlineStr">
        <is>
          <t>Aliso Viejo, CA</t>
        </is>
      </c>
      <c r="T688" s="49" t="inlineStr">
        <is>
          <t>www.veracitysi.com</t>
        </is>
      </c>
      <c r="U688" s="132">
        <f>HYPERLINK("https://my.pitchbook.com?c=113119-21", "View company online")</f>
      </c>
    </row>
    <row r="689">
      <c r="A689" s="9" t="inlineStr">
        <is>
          <t>99583-39</t>
        </is>
      </c>
      <c r="B689" s="10" t="inlineStr">
        <is>
          <t>Vera</t>
        </is>
      </c>
      <c r="C689" s="11" t="inlineStr">
        <is>
          <t/>
        </is>
      </c>
      <c r="D689" s="12" t="n">
        <v>0.8219514440161788</v>
      </c>
      <c r="E689" s="13" t="n">
        <v>9.067483632701023</v>
      </c>
      <c r="F689" s="14" t="n">
        <v>42864.0</v>
      </c>
      <c r="G689" s="15" t="inlineStr">
        <is>
          <t>Early Stage VC</t>
        </is>
      </c>
      <c r="H689" s="16" t="inlineStr">
        <is>
          <t>Series B2</t>
        </is>
      </c>
      <c r="I689" s="17" t="n">
        <v>15.0</v>
      </c>
      <c r="J689" s="18" t="n">
        <v>100.0</v>
      </c>
      <c r="K689" s="19" t="inlineStr">
        <is>
          <t>Completed</t>
        </is>
      </c>
      <c r="L689" s="20" t="inlineStr">
        <is>
          <t>Privately Held (backing)</t>
        </is>
      </c>
      <c r="M689" s="21" t="inlineStr">
        <is>
          <t>Venture Capital-Backed</t>
        </is>
      </c>
      <c r="N689" s="22" t="inlineStr">
        <is>
          <t>The company raised $15 million of Series B-2 venture funding in a deal led by Hasso Plattner Ventures on May 9, 2017, putting the pre-money valuation at $85 million. Follow on Battery Ventures, Sutter Hill Ventures, Clear Venture Partners, Amplify Partners, Capital One Ventures and Leslie Ventures also participated in the round. The company intends to use the funds to accelerate its expansion into multi-national and European markets. The company has raised $50 million in to total funding to date.</t>
        </is>
      </c>
      <c r="O689" s="23" t="inlineStr">
        <is>
          <t>Amplify Partners, Ashok Krishnamurthi, Battery Ventures, Capital One Growth Ventures, Christopher Rust, Clear Ventures, Hasso Plattner Ventures, Leslie Ventures, Nick Mehta, Sutter Hill Ventures</t>
        </is>
      </c>
      <c r="P689" s="24" t="inlineStr">
        <is>
          <t/>
        </is>
      </c>
      <c r="Q689" s="25" t="inlineStr">
        <is>
          <t>Network Management Software</t>
        </is>
      </c>
      <c r="R689" s="26" t="inlineStr">
        <is>
          <t>Provider of a next-generation data security platform designed to secure, track and share any kind of data, no matter where it's stored or how it's shared. The company's next-generation data security platform is a robust policy enforcement, with encryption and strict access controls, enabling businesses to collaborate freely while ensuring the highest levels of security, visibility and control to confidential data, across any platform or device.</t>
        </is>
      </c>
      <c r="S689" s="27" t="inlineStr">
        <is>
          <t>Palo Alto, CA</t>
        </is>
      </c>
      <c r="T689" s="28" t="inlineStr">
        <is>
          <t>www.vera.com</t>
        </is>
      </c>
      <c r="U689" s="131">
        <f>HYPERLINK("https://my.pitchbook.com?c=99583-39", "View company online")</f>
      </c>
    </row>
    <row r="690">
      <c r="A690" s="30" t="inlineStr">
        <is>
          <t>103383-73</t>
        </is>
      </c>
      <c r="B690" s="31" t="inlineStr">
        <is>
          <t>VenueNext</t>
        </is>
      </c>
      <c r="C690" s="32" t="inlineStr">
        <is>
          <t/>
        </is>
      </c>
      <c r="D690" s="33" t="n">
        <v>-0.9194328815012861</v>
      </c>
      <c r="E690" s="34" t="n">
        <v>3.8314948040998154</v>
      </c>
      <c r="F690" s="35" t="n">
        <v>42654.0</v>
      </c>
      <c r="G690" s="36" t="inlineStr">
        <is>
          <t>Early Stage VC</t>
        </is>
      </c>
      <c r="H690" s="37" t="inlineStr">
        <is>
          <t>Series B</t>
        </is>
      </c>
      <c r="I690" s="38" t="n">
        <v>15.0</v>
      </c>
      <c r="J690" s="39" t="inlineStr">
        <is>
          <t/>
        </is>
      </c>
      <c r="K690" s="40" t="inlineStr">
        <is>
          <t>Completed</t>
        </is>
      </c>
      <c r="L690" s="41" t="inlineStr">
        <is>
          <t>Privately Held (backing)</t>
        </is>
      </c>
      <c r="M690" s="42" t="inlineStr">
        <is>
          <t>Venture Capital-Backed</t>
        </is>
      </c>
      <c r="N690" s="43" t="inlineStr">
        <is>
          <t>The company raised $15 million of Series B venture funding from lead investor Causeway Media Partners on October 11, 2016. Compass Group and Sharks Sports &amp; Entertainment also participated. The company will use the funding to continue to innovate its platform, expand into new verticals, including healthcare and hospitality, as well as expand business internationally outside the US, namely Europe. With the round, the company has raised a total of $24 million in funding to date.</t>
        </is>
      </c>
      <c r="O690" s="44" t="inlineStr">
        <is>
          <t>Aruba Networks, Aurum Partners, Causeway Media Partners, Compass Group USA, Live Nation Entertainment, Sharks Sports &amp; Entertainment, Twitter Ventures</t>
        </is>
      </c>
      <c r="P690" s="45" t="inlineStr">
        <is>
          <t/>
        </is>
      </c>
      <c r="Q690" s="46" t="inlineStr">
        <is>
          <t>Vertical Market Software</t>
        </is>
      </c>
      <c r="R690" s="47" t="inlineStr">
        <is>
          <t>Provider of a mobile application software for stadium operations. The company provides a platform enabling stadium visitor to access their mobile tickets, parking passes, food and beverage, merchandise and way-finding, as well as watching live and instant replay content through their mobile devices.</t>
        </is>
      </c>
      <c r="S690" s="48" t="inlineStr">
        <is>
          <t>Santa Clara, CA</t>
        </is>
      </c>
      <c r="T690" s="49" t="inlineStr">
        <is>
          <t>www.venuenext.com</t>
        </is>
      </c>
      <c r="U690" s="132">
        <f>HYPERLINK("https://my.pitchbook.com?c=103383-73", "View company online")</f>
      </c>
    </row>
    <row r="691">
      <c r="A691" s="9" t="inlineStr">
        <is>
          <t>52861-96</t>
        </is>
      </c>
      <c r="B691" s="10" t="inlineStr">
        <is>
          <t>Venturi Wireless</t>
        </is>
      </c>
      <c r="C691" s="11" t="inlineStr">
        <is>
          <t/>
        </is>
      </c>
      <c r="D691" s="12" t="n">
        <v>-0.21417099285939395</v>
      </c>
      <c r="E691" s="13" t="n">
        <v>1.5689799969460987</v>
      </c>
      <c r="F691" s="14" t="n">
        <v>39882.0</v>
      </c>
      <c r="G691" s="15" t="inlineStr">
        <is>
          <t>Convertible Debt</t>
        </is>
      </c>
      <c r="H691" s="16" t="inlineStr">
        <is>
          <t>Subordinated Debt</t>
        </is>
      </c>
      <c r="I691" s="17" t="n">
        <v>6.5</v>
      </c>
      <c r="J691" s="18" t="inlineStr">
        <is>
          <t/>
        </is>
      </c>
      <c r="K691" s="19" t="inlineStr">
        <is>
          <t>Completed</t>
        </is>
      </c>
      <c r="L691" s="20" t="inlineStr">
        <is>
          <t>Privately Held (backing)</t>
        </is>
      </c>
      <c r="M691" s="21" t="inlineStr">
        <is>
          <t>Venture Capital-Backed</t>
        </is>
      </c>
      <c r="N691" s="22" t="inlineStr">
        <is>
          <t>The company raised $6.5 million of convertible debt financing from Granite Ventures, InterWest Partners and Novus Ventures on March 10, 2009. Storm Ventures also participated in the round. Previously the company raised $2.96 million of Series A1 venture funding from Horizon Ventures, InterWest Partners and Novus Ventures on January 17, 2007, putting the pre-money valuation at $13.14 million. Storm Ventures also participated in the round.</t>
        </is>
      </c>
      <c r="O691" s="23" t="inlineStr">
        <is>
          <t>Granite Ventures, Horizon Ventures, Intel Capital, InterWest Partners, Novus Ventures, RG Capital, Storm Ventures</t>
        </is>
      </c>
      <c r="P691" s="24" t="inlineStr">
        <is>
          <t/>
        </is>
      </c>
      <c r="Q691" s="25" t="inlineStr">
        <is>
          <t>Wireless Service Providers</t>
        </is>
      </c>
      <c r="R691" s="26" t="inlineStr">
        <is>
          <t>Provider of mobile broadband optimization services for mobile and wireless operators. The company offers delivery of TCP-based applications and optimization engine, a capacity optimization server, which is designed to enhance data and multimedia service experience over wireless data networks for subscribers using desktops, laptops, smartphones and feature phones.</t>
        </is>
      </c>
      <c r="S691" s="27" t="inlineStr">
        <is>
          <t>San Jose, CA</t>
        </is>
      </c>
      <c r="T691" s="28" t="inlineStr">
        <is>
          <t>www.venturiwireless.com</t>
        </is>
      </c>
      <c r="U691" s="131">
        <f>HYPERLINK("https://my.pitchbook.com?c=52861-96", "View company online")</f>
      </c>
    </row>
    <row r="692">
      <c r="A692" s="30" t="inlineStr">
        <is>
          <t>53537-68</t>
        </is>
      </c>
      <c r="B692" s="31" t="inlineStr">
        <is>
          <t>VentureBeat</t>
        </is>
      </c>
      <c r="C692" s="32" t="inlineStr">
        <is>
          <t/>
        </is>
      </c>
      <c r="D692" s="33" t="n">
        <v>-0.011109907794323623</v>
      </c>
      <c r="E692" s="34" t="n">
        <v>656.9666108997723</v>
      </c>
      <c r="F692" s="35" t="n">
        <v>42641.0</v>
      </c>
      <c r="G692" s="36" t="inlineStr">
        <is>
          <t>Later Stage VC</t>
        </is>
      </c>
      <c r="H692" s="37" t="inlineStr">
        <is>
          <t/>
        </is>
      </c>
      <c r="I692" s="38" t="n">
        <v>0.56</v>
      </c>
      <c r="J692" s="39" t="inlineStr">
        <is>
          <t/>
        </is>
      </c>
      <c r="K692" s="40" t="inlineStr">
        <is>
          <t>Announced/In Progress</t>
        </is>
      </c>
      <c r="L692" s="41" t="inlineStr">
        <is>
          <t>Privately Held (backing)</t>
        </is>
      </c>
      <c r="M692" s="42" t="inlineStr">
        <is>
          <t>Venture Capital-Backed</t>
        </is>
      </c>
      <c r="N692" s="43" t="inlineStr">
        <is>
          <t>The company raised $560,000 convertible debt financing undisclosed investors on September 28, 2016. Previously, the company raised $1.61 million of Series C1 venture funding from Foley Ventures and other undisclosed investors on October 8, 2015, putting the company's pre-money valuation at $26.99 million. The company is being actively tracked by PitchBook.</t>
        </is>
      </c>
      <c r="O692" s="44" t="inlineStr">
        <is>
          <t>Amidzad Partners, Aydin Senkut, Bodley Group, Crosslink Capital, Felicis Ventures, Foley Ventures, Formation 8, Georges Harik, Global Brain, Lightbank, MHS Capital, Mike Brown, Pankaj Shah, Philippe Cases, Plug and Play Tech Center, Rally Ventures, Walden Venture Capital</t>
        </is>
      </c>
      <c r="P692" s="45" t="inlineStr">
        <is>
          <t/>
        </is>
      </c>
      <c r="Q692" s="46" t="inlineStr">
        <is>
          <t>Information Services (B2C)</t>
        </is>
      </c>
      <c r="R692" s="47" t="inlineStr">
        <is>
          <t>Operator of an online innovation and technology news website intended to publish news, analysis, long-form features, interviews and videos. The company's online innovation and technology news website provides a source for news related to software, Internet, mobile and green-technology industries and offers an overview of technology trends, from social media to mobile, clean technology, games and computer chips, enabling individuals and companies to get news updates.</t>
        </is>
      </c>
      <c r="S692" s="48" t="inlineStr">
        <is>
          <t>San Francisco, CA</t>
        </is>
      </c>
      <c r="T692" s="49" t="inlineStr">
        <is>
          <t>www.venturebeat.com</t>
        </is>
      </c>
      <c r="U692" s="132">
        <f>HYPERLINK("https://my.pitchbook.com?c=53537-68", "View company online")</f>
      </c>
    </row>
    <row r="693">
      <c r="A693" s="9" t="inlineStr">
        <is>
          <t>102574-18</t>
        </is>
      </c>
      <c r="B693" s="10" t="inlineStr">
        <is>
          <t>Venture Scanner</t>
        </is>
      </c>
      <c r="C693" s="11" t="inlineStr">
        <is>
          <t/>
        </is>
      </c>
      <c r="D693" s="12" t="n">
        <v>0.5031529284666381</v>
      </c>
      <c r="E693" s="13" t="n">
        <v>6.379734448102171</v>
      </c>
      <c r="F693" s="14" t="n">
        <v>41640.0</v>
      </c>
      <c r="G693" s="15" t="inlineStr">
        <is>
          <t>Seed Round</t>
        </is>
      </c>
      <c r="H693" s="16" t="inlineStr">
        <is>
          <t>Seed</t>
        </is>
      </c>
      <c r="I693" s="17" t="inlineStr">
        <is>
          <t/>
        </is>
      </c>
      <c r="J693" s="18" t="inlineStr">
        <is>
          <t/>
        </is>
      </c>
      <c r="K693" s="19" t="inlineStr">
        <is>
          <t>Completed</t>
        </is>
      </c>
      <c r="L693" s="20" t="inlineStr">
        <is>
          <t>Privately Held (backing)</t>
        </is>
      </c>
      <c r="M693" s="21" t="inlineStr">
        <is>
          <t>Venture Capital-Backed</t>
        </is>
      </c>
      <c r="N693" s="22" t="inlineStr">
        <is>
          <t>The company raised seed funding from Bee Partners and other undisclosed investors in 2014.</t>
        </is>
      </c>
      <c r="O693" s="23" t="inlineStr">
        <is>
          <t>Bee Partners</t>
        </is>
      </c>
      <c r="P693" s="24" t="inlineStr">
        <is>
          <t/>
        </is>
      </c>
      <c r="Q693" s="25" t="inlineStr">
        <is>
          <t>Financial Software</t>
        </is>
      </c>
      <c r="R693" s="26" t="inlineStr">
        <is>
          <t>Developer of a business-intelligence platform designed to provide continuous data on emerging technology companies. The company's BI platform offers proprietary scanning technology which combines analyst insights with program-derived data, enabling clients to learn and analyze funding and operational data, specific to early technology verticals.</t>
        </is>
      </c>
      <c r="S693" s="27" t="inlineStr">
        <is>
          <t>San Francisco, CA</t>
        </is>
      </c>
      <c r="T693" s="28" t="inlineStr">
        <is>
          <t>www.venturescanner.com</t>
        </is>
      </c>
      <c r="U693" s="131">
        <f>HYPERLINK("https://my.pitchbook.com?c=102574-18", "View company online")</f>
      </c>
    </row>
    <row r="694">
      <c r="A694" s="30" t="inlineStr">
        <is>
          <t>113819-32</t>
        </is>
      </c>
      <c r="B694" s="31" t="inlineStr">
        <is>
          <t>Venture Grove</t>
        </is>
      </c>
      <c r="C694" s="32" t="inlineStr">
        <is>
          <t/>
        </is>
      </c>
      <c r="D694" s="33" t="n">
        <v>0.0</v>
      </c>
      <c r="E694" s="34" t="n">
        <v>0.0976484959535807</v>
      </c>
      <c r="F694" s="35" t="inlineStr">
        <is>
          <t/>
        </is>
      </c>
      <c r="G694" s="36" t="inlineStr">
        <is>
          <t>Early Stage VC</t>
        </is>
      </c>
      <c r="H694" s="37" t="inlineStr">
        <is>
          <t/>
        </is>
      </c>
      <c r="I694" s="38" t="inlineStr">
        <is>
          <t/>
        </is>
      </c>
      <c r="J694" s="39" t="inlineStr">
        <is>
          <t/>
        </is>
      </c>
      <c r="K694" s="40" t="inlineStr">
        <is>
          <t>Completed</t>
        </is>
      </c>
      <c r="L694" s="41" t="inlineStr">
        <is>
          <t>Privately Held (backing)</t>
        </is>
      </c>
      <c r="M694" s="42" t="inlineStr">
        <is>
          <t>Venture Capital-Backed</t>
        </is>
      </c>
      <c r="N694" s="43" t="inlineStr">
        <is>
          <t>The company raised venture funding from Ramp Equity Partners on an undisclosed date.</t>
        </is>
      </c>
      <c r="O694" s="44" t="inlineStr">
        <is>
          <t>Ramp Equity Partners</t>
        </is>
      </c>
      <c r="P694" s="45" t="inlineStr">
        <is>
          <t/>
        </is>
      </c>
      <c r="Q694" s="46" t="inlineStr">
        <is>
          <t>Social/Platform Software</t>
        </is>
      </c>
      <c r="R694" s="47" t="inlineStr">
        <is>
          <t>Provider of a strategic development platform for startup companies. The company offers an online analytics based platform which helps startup companies to create a dashboard by aggregating and normalizing innovation and entrepreneurial data of the companies. The dashboard helps them to connect with the required corporate needs.</t>
        </is>
      </c>
      <c r="S694" s="48" t="inlineStr">
        <is>
          <t>Nashville, TN</t>
        </is>
      </c>
      <c r="T694" s="49" t="inlineStr">
        <is>
          <t>www.venturegrove.com</t>
        </is>
      </c>
      <c r="U694" s="132">
        <f>HYPERLINK("https://my.pitchbook.com?c=113819-32", "View company online")</f>
      </c>
    </row>
    <row r="695">
      <c r="A695" s="9" t="inlineStr">
        <is>
          <t>58391-38</t>
        </is>
      </c>
      <c r="B695" s="10" t="inlineStr">
        <is>
          <t>Ventrix</t>
        </is>
      </c>
      <c r="C695" s="11" t="inlineStr">
        <is>
          <t/>
        </is>
      </c>
      <c r="D695" s="12" t="n">
        <v>0.006090860322182161</v>
      </c>
      <c r="E695" s="13" t="n">
        <v>0.19694515022444278</v>
      </c>
      <c r="F695" s="14" t="n">
        <v>42370.0</v>
      </c>
      <c r="G695" s="15" t="inlineStr">
        <is>
          <t>Grant</t>
        </is>
      </c>
      <c r="H695" s="16" t="inlineStr">
        <is>
          <t/>
        </is>
      </c>
      <c r="I695" s="17" t="n">
        <v>1.03</v>
      </c>
      <c r="J695" s="18" t="inlineStr">
        <is>
          <t/>
        </is>
      </c>
      <c r="K695" s="19" t="inlineStr">
        <is>
          <t>Completed</t>
        </is>
      </c>
      <c r="L695" s="20" t="inlineStr">
        <is>
          <t>Privately Held (backing)</t>
        </is>
      </c>
      <c r="M695" s="21" t="inlineStr">
        <is>
          <t>Venture Capital-Backed</t>
        </is>
      </c>
      <c r="N695" s="22" t="inlineStr">
        <is>
          <t>The company received $1.02 million of grant funding from National Institutes of Health in 2016.</t>
        </is>
      </c>
      <c r="O695" s="23" t="inlineStr">
        <is>
          <t>National Institutes of Health, National Science Foundation</t>
        </is>
      </c>
      <c r="P695" s="24" t="inlineStr">
        <is>
          <t/>
        </is>
      </c>
      <c r="Q695" s="25" t="inlineStr">
        <is>
          <t>Surgical Devices</t>
        </is>
      </c>
      <c r="R695" s="26" t="inlineStr">
        <is>
          <t>Provider of a biomaterial scaffold for cardiac repair. The company is focused on delivering a biomaterial scaffold for cardiac repair of heart failure patients having limited treatment options.</t>
        </is>
      </c>
      <c r="S695" s="27" t="inlineStr">
        <is>
          <t>San Diego, CA</t>
        </is>
      </c>
      <c r="T695" s="28" t="inlineStr">
        <is>
          <t>www.ventrixheart.com</t>
        </is>
      </c>
      <c r="U695" s="131">
        <f>HYPERLINK("https://my.pitchbook.com?c=58391-38", "View company online")</f>
      </c>
    </row>
    <row r="696">
      <c r="A696" s="30" t="inlineStr">
        <is>
          <t>52828-75</t>
        </is>
      </c>
      <c r="B696" s="31" t="inlineStr">
        <is>
          <t>Ventiva</t>
        </is>
      </c>
      <c r="C696" s="32" t="inlineStr">
        <is>
          <t/>
        </is>
      </c>
      <c r="D696" s="33" t="n">
        <v>0.0</v>
      </c>
      <c r="E696" s="34" t="n">
        <v>0.24324324324324326</v>
      </c>
      <c r="F696" s="35" t="n">
        <v>40823.0</v>
      </c>
      <c r="G696" s="36" t="inlineStr">
        <is>
          <t>Early Stage VC</t>
        </is>
      </c>
      <c r="H696" s="37" t="inlineStr">
        <is>
          <t/>
        </is>
      </c>
      <c r="I696" s="38" t="n">
        <v>1.0</v>
      </c>
      <c r="J696" s="39" t="n">
        <v>1.4</v>
      </c>
      <c r="K696" s="40" t="inlineStr">
        <is>
          <t>Completed</t>
        </is>
      </c>
      <c r="L696" s="41" t="inlineStr">
        <is>
          <t>Privately Held (backing)</t>
        </is>
      </c>
      <c r="M696" s="42" t="inlineStr">
        <is>
          <t>Venture Capital-Backed</t>
        </is>
      </c>
      <c r="N696" s="43" t="inlineStr">
        <is>
          <t>The company raised $1 million of Series A1 venture funding from undisclosed investors on October 07, 2011, putting the pre-money valuation at $398,377.</t>
        </is>
      </c>
      <c r="O696" s="44" t="inlineStr">
        <is>
          <t>DCM Ventures, Foundation Capital</t>
        </is>
      </c>
      <c r="P696" s="45" t="inlineStr">
        <is>
          <t/>
        </is>
      </c>
      <c r="Q696" s="46" t="inlineStr">
        <is>
          <t>Electrical Equipment</t>
        </is>
      </c>
      <c r="R696" s="47" t="inlineStr">
        <is>
          <t>Provider of thermal management services for LED bulbs. The company provides electronic designers with ways to reimagine products such as
laptops, smartphones, gaming devices and smart cameras.</t>
        </is>
      </c>
      <c r="S696" s="48" t="inlineStr">
        <is>
          <t>Santa Clara, CA</t>
        </is>
      </c>
      <c r="T696" s="49" t="inlineStr">
        <is>
          <t>www.ventiva.com</t>
        </is>
      </c>
      <c r="U696" s="132">
        <f>HYPERLINK("https://my.pitchbook.com?c=52828-75", "View company online")</f>
      </c>
    </row>
    <row r="697">
      <c r="A697" s="9" t="inlineStr">
        <is>
          <t>104229-91</t>
        </is>
      </c>
      <c r="B697" s="10" t="inlineStr">
        <is>
          <t>Vennsa Technologies</t>
        </is>
      </c>
      <c r="C697" s="11" t="inlineStr">
        <is>
          <t/>
        </is>
      </c>
      <c r="D697" s="12" t="n">
        <v>0.0</v>
      </c>
      <c r="E697" s="13" t="n">
        <v>1.2432432432432432</v>
      </c>
      <c r="F697" s="14" t="n">
        <v>39870.0</v>
      </c>
      <c r="G697" s="15" t="inlineStr">
        <is>
          <t>Early Stage VC</t>
        </is>
      </c>
      <c r="H697" s="16" t="inlineStr">
        <is>
          <t/>
        </is>
      </c>
      <c r="I697" s="17" t="inlineStr">
        <is>
          <t/>
        </is>
      </c>
      <c r="J697" s="18" t="inlineStr">
        <is>
          <t/>
        </is>
      </c>
      <c r="K697" s="19" t="inlineStr">
        <is>
          <t>Completed</t>
        </is>
      </c>
      <c r="L697" s="20" t="inlineStr">
        <is>
          <t>Privately Held (backing)</t>
        </is>
      </c>
      <c r="M697" s="21" t="inlineStr">
        <is>
          <t>Venture Capital-Backed</t>
        </is>
      </c>
      <c r="N697" s="22" t="inlineStr">
        <is>
          <t>The company raised an undisclosed amount of venture funding from MaRS Investment Accelerator Fund and Ontario Centres of Excellence on February 26, 2009.</t>
        </is>
      </c>
      <c r="O697" s="23" t="inlineStr">
        <is>
          <t>MaRS Investment Accelerator Fund, Ontario Centres of Excellence</t>
        </is>
      </c>
      <c r="P697" s="24" t="inlineStr">
        <is>
          <t/>
        </is>
      </c>
      <c r="Q697" s="25" t="inlineStr">
        <is>
          <t>Automation/Workflow Software</t>
        </is>
      </c>
      <c r="R697" s="26" t="inlineStr">
        <is>
          <t>Developer of automated debugging tool designed to incorporates designer feedback and addresse a wide set of debugging applications native to modern verification flows. The company's automated debugging and error localization software, OnPoint, localizes the source of functional errors without any user guidance, thus when failures occur, OnPoint quickly identifies the root cause of errors and provides error fixes, enabling users to remove bugs from their systems.</t>
        </is>
      </c>
      <c r="S697" s="27" t="inlineStr">
        <is>
          <t>Toronto, Canada</t>
        </is>
      </c>
      <c r="T697" s="28" t="inlineStr">
        <is>
          <t>www.vennsa.com</t>
        </is>
      </c>
      <c r="U697" s="131">
        <f>HYPERLINK("https://my.pitchbook.com?c=104229-91", "View company online")</f>
      </c>
    </row>
    <row r="698">
      <c r="A698" s="30" t="inlineStr">
        <is>
          <t>51663-43</t>
        </is>
      </c>
      <c r="B698" s="31" t="inlineStr">
        <is>
          <t>Veniti</t>
        </is>
      </c>
      <c r="C698" s="32" t="inlineStr">
        <is>
          <t/>
        </is>
      </c>
      <c r="D698" s="33" t="n">
        <v>0.0</v>
      </c>
      <c r="E698" s="34" t="n">
        <v>1.3783783783783783</v>
      </c>
      <c r="F698" s="35" t="n">
        <v>42621.0</v>
      </c>
      <c r="G698" s="36" t="inlineStr">
        <is>
          <t>Corporate</t>
        </is>
      </c>
      <c r="H698" s="37" t="inlineStr">
        <is>
          <t>Series D</t>
        </is>
      </c>
      <c r="I698" s="38" t="n">
        <v>25.0</v>
      </c>
      <c r="J698" s="39" t="n">
        <v>137.01</v>
      </c>
      <c r="K698" s="40" t="inlineStr">
        <is>
          <t>Completed</t>
        </is>
      </c>
      <c r="L698" s="41" t="inlineStr">
        <is>
          <t>Privately Held (backing)</t>
        </is>
      </c>
      <c r="M698" s="42" t="inlineStr">
        <is>
          <t>Venture Capital-Backed</t>
        </is>
      </c>
      <c r="N698" s="43" t="inlineStr">
        <is>
          <t>The company raised $25 million of Series D financing from Boston Scientific (NYSE:BSX) on September 8, 2016, putting the pre-money valuation at $112.01 million. The funds will be used by the company to complete the Virtus Trial and regulatory filing for the Vici Venous Stent System.</t>
        </is>
      </c>
      <c r="O698" s="44" t="inlineStr">
        <is>
          <t>Baird Capital, Boston Scientific, Brooke Private Equity Associates, CD-Venture, Confluent Medical Technologies, Cultivation Capital, Holton Capital Group, Prolog Ventures, St. Louis Arch Angels, Tekla Capital Management, Volcano Capital</t>
        </is>
      </c>
      <c r="P698" s="45" t="inlineStr">
        <is>
          <t/>
        </is>
      </c>
      <c r="Q698" s="46" t="inlineStr">
        <is>
          <t>Therapeutic Devices</t>
        </is>
      </c>
      <c r="R698" s="47" t="inlineStr">
        <is>
          <t>Developer of stents for the treatment of venous diseases. The company develops, manufactures and markets stents to treat patients with venous outflow obstruction in the lower extremities.</t>
        </is>
      </c>
      <c r="S698" s="48" t="inlineStr">
        <is>
          <t>Saint Louis, MO</t>
        </is>
      </c>
      <c r="T698" s="49" t="inlineStr">
        <is>
          <t>www.veniti.com</t>
        </is>
      </c>
      <c r="U698" s="132">
        <f>HYPERLINK("https://my.pitchbook.com?c=51663-43", "View company online")</f>
      </c>
    </row>
    <row r="699">
      <c r="A699" s="9" t="inlineStr">
        <is>
          <t>97867-09</t>
        </is>
      </c>
      <c r="B699" s="10" t="inlineStr">
        <is>
          <t>Veniam</t>
        </is>
      </c>
      <c r="C699" s="11" t="inlineStr">
        <is>
          <t/>
        </is>
      </c>
      <c r="D699" s="12" t="n">
        <v>-0.12417522844720952</v>
      </c>
      <c r="E699" s="13" t="n">
        <v>4.584597975699671</v>
      </c>
      <c r="F699" s="14" t="n">
        <v>42411.0</v>
      </c>
      <c r="G699" s="15" t="inlineStr">
        <is>
          <t>Early Stage VC</t>
        </is>
      </c>
      <c r="H699" s="16" t="inlineStr">
        <is>
          <t>Series B</t>
        </is>
      </c>
      <c r="I699" s="17" t="n">
        <v>22.0</v>
      </c>
      <c r="J699" s="18" t="n">
        <v>85.44</v>
      </c>
      <c r="K699" s="19" t="inlineStr">
        <is>
          <t>Completed</t>
        </is>
      </c>
      <c r="L699" s="20" t="inlineStr">
        <is>
          <t>Privately Held (backing)</t>
        </is>
      </c>
      <c r="M699" s="21" t="inlineStr">
        <is>
          <t>Venture Capital-Backed</t>
        </is>
      </c>
      <c r="N699" s="22" t="inlineStr">
        <is>
          <t>The company raised $22 million of Series B venture funding led by Verizon Ventures on February 11, 2016, putting the company's pre-money valuation at $63.44 million. Cisco Investments, Orange Digital Ventures, Yamaha Motor Ventures, True Ventures, Union Square Ventures and Cane Investments also participated. The company will use the funding to expand its team in Silicon Valley, Porto (Portugal) and Singapore as well as its platform.</t>
        </is>
      </c>
      <c r="O699" s="23" t="inlineStr">
        <is>
          <t>Brian O'Halloran, Building Global Innovators, Caixa Capital, Cane Investments, Carnegie Mellon Portugal Program, Cisco Investments, Liberty Global Ventures, Orange Digital Ventures, True Ventures, Union Square Ventures, UPTEC, Verizon Ventures, Yamaha Motor Ventures &amp; Laboratory Silicon Valley</t>
        </is>
      </c>
      <c r="P699" s="24" t="inlineStr">
        <is>
          <t/>
        </is>
      </c>
      <c r="Q699" s="25" t="inlineStr">
        <is>
          <t>Wireless Communications Equipment</t>
        </is>
      </c>
      <c r="R699" s="26" t="inlineStr">
        <is>
          <t>Developer of vehicular mesh networks. The company provides hardware that turns vehicles into WiFi hotspots and creates vehicular networks that expand wireless coverage in urban environments.</t>
        </is>
      </c>
      <c r="S699" s="27" t="inlineStr">
        <is>
          <t>Mountain View, CA</t>
        </is>
      </c>
      <c r="T699" s="28" t="inlineStr">
        <is>
          <t>www.veniam.com</t>
        </is>
      </c>
      <c r="U699" s="131">
        <f>HYPERLINK("https://my.pitchbook.com?c=97867-09", "View company online")</f>
      </c>
    </row>
    <row r="700">
      <c r="A700" s="30" t="inlineStr">
        <is>
          <t>97270-21</t>
        </is>
      </c>
      <c r="B700" s="31" t="inlineStr">
        <is>
          <t>Vendini</t>
        </is>
      </c>
      <c r="C700" s="32" t="inlineStr">
        <is>
          <t/>
        </is>
      </c>
      <c r="D700" s="33" t="n">
        <v>-0.03331465213974344</v>
      </c>
      <c r="E700" s="34" t="n">
        <v>82.56050195895443</v>
      </c>
      <c r="F700" s="35" t="n">
        <v>42521.0</v>
      </c>
      <c r="G700" s="36" t="inlineStr">
        <is>
          <t>Later Stage VC</t>
        </is>
      </c>
      <c r="H700" s="37" t="inlineStr">
        <is>
          <t>Series A</t>
        </is>
      </c>
      <c r="I700" s="38" t="n">
        <v>20.0</v>
      </c>
      <c r="J700" s="39" t="n">
        <v>89.5</v>
      </c>
      <c r="K700" s="40" t="inlineStr">
        <is>
          <t>Completed</t>
        </is>
      </c>
      <c r="L700" s="41" t="inlineStr">
        <is>
          <t>Privately Held (backing)</t>
        </is>
      </c>
      <c r="M700" s="42" t="inlineStr">
        <is>
          <t>Venture Capital-Backed</t>
        </is>
      </c>
      <c r="N700" s="43" t="inlineStr">
        <is>
          <t>The company raised $20 million of Series A venture funding from Level Equity on May 31, 2016, putting the company's pre-money valuation at $69.5 million. The company will use the new funding to hire more talent, enhance the current platform and add more features and functionality.</t>
        </is>
      </c>
      <c r="O700" s="44" t="inlineStr">
        <is>
          <t>Level Equity</t>
        </is>
      </c>
      <c r="P700" s="45" t="inlineStr">
        <is>
          <t/>
        </is>
      </c>
      <c r="Q700" s="46" t="inlineStr">
        <is>
          <t>Social/Platform Software</t>
        </is>
      </c>
      <c r="R700" s="47" t="inlineStr">
        <is>
          <t>Provider of business management software. The company provides ticketing, marketing, logistic and fundraising software to any-sized organization.</t>
        </is>
      </c>
      <c r="S700" s="48" t="inlineStr">
        <is>
          <t>San Francisco, CA</t>
        </is>
      </c>
      <c r="T700" s="49" t="inlineStr">
        <is>
          <t>www.vendini.com</t>
        </is>
      </c>
      <c r="U700" s="132">
        <f>HYPERLINK("https://my.pitchbook.com?c=97270-21", "View company online")</f>
      </c>
    </row>
    <row r="701">
      <c r="A701" s="9" t="inlineStr">
        <is>
          <t>54529-03</t>
        </is>
      </c>
      <c r="B701" s="10" t="inlineStr">
        <is>
          <t>Vend</t>
        </is>
      </c>
      <c r="C701" s="11" t="n">
        <v>3.0</v>
      </c>
      <c r="D701" s="12" t="n">
        <v>0.13116463466214065</v>
      </c>
      <c r="E701" s="13" t="n">
        <v>63.255380983678705</v>
      </c>
      <c r="F701" s="14" t="n">
        <v>42726.0</v>
      </c>
      <c r="G701" s="15" t="inlineStr">
        <is>
          <t>Later Stage VC</t>
        </is>
      </c>
      <c r="H701" s="16" t="inlineStr">
        <is>
          <t>Series E</t>
        </is>
      </c>
      <c r="I701" s="17" t="n">
        <v>9.07</v>
      </c>
      <c r="J701" s="18" t="n">
        <v>97.06</v>
      </c>
      <c r="K701" s="19" t="inlineStr">
        <is>
          <t>Completed</t>
        </is>
      </c>
      <c r="L701" s="20" t="inlineStr">
        <is>
          <t>Privately Held (backing)</t>
        </is>
      </c>
      <c r="M701" s="21" t="inlineStr">
        <is>
          <t>Venture Capital-Backed</t>
        </is>
      </c>
      <c r="N701" s="22" t="inlineStr">
        <is>
          <t>The company raised NZD 13 million of Series E venture funding in a deal co-led by Square Peg Capital and Jasmine Investments on December 22, 2016, valuing the company at approximately NZD 138 million. Movac Partners, Valar Ventures and Aspiring Asset Management also participated in the round. The funds will be used to continue its expansion and product development.</t>
        </is>
      </c>
      <c r="O701" s="23" t="inlineStr">
        <is>
          <t>Aspiring Asset Management, Craig Winkler, Individual Investor, Jasmine Social Investments, Lance Wiggs Capital Management, Matt Rockman, Milford Asset Management, MOVAC Partners, Paul Bassett, Point Nine Capital, Square Peg Capital, Valar Ventures</t>
        </is>
      </c>
      <c r="P701" s="24" t="inlineStr">
        <is>
          <t/>
        </is>
      </c>
      <c r="Q701" s="25" t="inlineStr">
        <is>
          <t>Business/Productivity Software</t>
        </is>
      </c>
      <c r="R701" s="26" t="inlineStr">
        <is>
          <t>Provider of web-based point of sale and retail management software. The company provides cloud-based point-of-sale software to enable retailers to process sales, track inventory and manage customers.</t>
        </is>
      </c>
      <c r="S701" s="27" t="inlineStr">
        <is>
          <t>Auckland, New Zealand</t>
        </is>
      </c>
      <c r="T701" s="28" t="inlineStr">
        <is>
          <t>www.vendhq.com</t>
        </is>
      </c>
      <c r="U701" s="131">
        <f>HYPERLINK("https://my.pitchbook.com?c=54529-03", "View company online")</f>
      </c>
    </row>
    <row r="702">
      <c r="A702" s="30" t="inlineStr">
        <is>
          <t>51237-55</t>
        </is>
      </c>
      <c r="B702" s="31" t="inlineStr">
        <is>
          <t>Venafi</t>
        </is>
      </c>
      <c r="C702" s="32" t="inlineStr">
        <is>
          <t/>
        </is>
      </c>
      <c r="D702" s="33" t="n">
        <v>-0.11373359339368644</v>
      </c>
      <c r="E702" s="34" t="n">
        <v>21.278350969139474</v>
      </c>
      <c r="F702" s="35" t="n">
        <v>42164.0</v>
      </c>
      <c r="G702" s="36" t="inlineStr">
        <is>
          <t>Later Stage VC</t>
        </is>
      </c>
      <c r="H702" s="37" t="inlineStr">
        <is>
          <t/>
        </is>
      </c>
      <c r="I702" s="38" t="n">
        <v>39.0</v>
      </c>
      <c r="J702" s="39" t="inlineStr">
        <is>
          <t/>
        </is>
      </c>
      <c r="K702" s="40" t="inlineStr">
        <is>
          <t>Completed</t>
        </is>
      </c>
      <c r="L702" s="41" t="inlineStr">
        <is>
          <t>Privately Held (backing)</t>
        </is>
      </c>
      <c r="M702" s="42" t="inlineStr">
        <is>
          <t>Venture Capital-Backed</t>
        </is>
      </c>
      <c r="N702" s="43" t="inlineStr">
        <is>
          <t>The company raised an $39 million of venture funding from lead investors QuestMark Partners, Intel Capital and Silver Lake Waterman on June 9, 2015.</t>
        </is>
      </c>
      <c r="O702" s="44" t="inlineStr">
        <is>
          <t>Foundation Capital, Highway 12 Ventures, Intel Capital, Mercato Partners, Origin Partners, Pelion Venture Partners, QuestMark Partners, Silver Lake Management, Utah Angels</t>
        </is>
      </c>
      <c r="P702" s="45" t="inlineStr">
        <is>
          <t/>
        </is>
      </c>
      <c r="Q702" s="46" t="inlineStr">
        <is>
          <t>Network Management Software</t>
        </is>
      </c>
      <c r="R702" s="47" t="inlineStr">
        <is>
          <t>Provider of cybersecurity services. The company's platform helps to secure cryptographic keys and digital certificates that every business and government depend on for secure communications, commerce, computing and mobility.</t>
        </is>
      </c>
      <c r="S702" s="48" t="inlineStr">
        <is>
          <t>Salt Lake City, UT</t>
        </is>
      </c>
      <c r="T702" s="49" t="inlineStr">
        <is>
          <t>www.venafi.com</t>
        </is>
      </c>
      <c r="U702" s="132">
        <f>HYPERLINK("https://my.pitchbook.com?c=51237-55", "View company online")</f>
      </c>
    </row>
    <row r="703">
      <c r="A703" s="9" t="inlineStr">
        <is>
          <t>62985-79</t>
        </is>
      </c>
      <c r="B703" s="10" t="inlineStr">
        <is>
          <t>Vemba (Video Management)</t>
        </is>
      </c>
      <c r="C703" s="11" t="inlineStr">
        <is>
          <t/>
        </is>
      </c>
      <c r="D703" s="12" t="n">
        <v>0.0</v>
      </c>
      <c r="E703" s="13" t="n">
        <v>0.9151019215868147</v>
      </c>
      <c r="F703" s="14" t="n">
        <v>42548.0</v>
      </c>
      <c r="G703" s="15" t="inlineStr">
        <is>
          <t>Later Stage VC</t>
        </is>
      </c>
      <c r="H703" s="16" t="inlineStr">
        <is>
          <t>Series A</t>
        </is>
      </c>
      <c r="I703" s="17" t="n">
        <v>5.0</v>
      </c>
      <c r="J703" s="18" t="inlineStr">
        <is>
          <t/>
        </is>
      </c>
      <c r="K703" s="19" t="inlineStr">
        <is>
          <t>Completed</t>
        </is>
      </c>
      <c r="L703" s="20" t="inlineStr">
        <is>
          <t>Privately Held (backing)</t>
        </is>
      </c>
      <c r="M703" s="21" t="inlineStr">
        <is>
          <t>Venture Capital-Backed</t>
        </is>
      </c>
      <c r="N703" s="22" t="inlineStr">
        <is>
          <t>The company raised $5 million of Series A venture funding through lead Upfront Ventures and Bertlesmann Digital Ventures on June 27, 2016. Enterprise Fund at the John S. and James L. Knight Foundation also participated. The funding will be used to expand the company's video distribution and content discovery platform. Earlier, the company raised an undisclosed amount of venture funding from iGan Partners on January 31, 2014.</t>
        </is>
      </c>
      <c r="O703" s="23" t="inlineStr">
        <is>
          <t>Bertelsmann Digital Media Investments, iGan Partners, John S. and James L. Knight Foundation, Upfront Ventures</t>
        </is>
      </c>
      <c r="P703" s="24" t="inlineStr">
        <is>
          <t/>
        </is>
      </c>
      <c r="Q703" s="25" t="inlineStr">
        <is>
          <t>Communication Software</t>
        </is>
      </c>
      <c r="R703" s="26" t="inlineStr">
        <is>
          <t>Developer of digital publishing technologies. The company provides a cloud-based video distribution and content discovery platform for publishers.</t>
        </is>
      </c>
      <c r="S703" s="27" t="inlineStr">
        <is>
          <t>Toronto, Canada</t>
        </is>
      </c>
      <c r="T703" s="28" t="inlineStr">
        <is>
          <t>www.vemba.com</t>
        </is>
      </c>
      <c r="U703" s="131">
        <f>HYPERLINK("https://my.pitchbook.com?c=62985-79", "View company online")</f>
      </c>
    </row>
    <row r="704">
      <c r="A704" s="30" t="inlineStr">
        <is>
          <t>109238-68</t>
        </is>
      </c>
      <c r="B704" s="31" t="inlineStr">
        <is>
          <t>Velostrata</t>
        </is>
      </c>
      <c r="C704" s="32" t="inlineStr">
        <is>
          <t/>
        </is>
      </c>
      <c r="D704" s="33" t="n">
        <v>2.401940737549656</v>
      </c>
      <c r="E704" s="34" t="n">
        <v>2.5449503456504194</v>
      </c>
      <c r="F704" s="35" t="n">
        <v>42849.0</v>
      </c>
      <c r="G704" s="36" t="inlineStr">
        <is>
          <t>Accelerator/Incubator</t>
        </is>
      </c>
      <c r="H704" s="37" t="inlineStr">
        <is>
          <t/>
        </is>
      </c>
      <c r="I704" s="38" t="inlineStr">
        <is>
          <t/>
        </is>
      </c>
      <c r="J704" s="39" t="inlineStr">
        <is>
          <t/>
        </is>
      </c>
      <c r="K704" s="40" t="inlineStr">
        <is>
          <t>Completed</t>
        </is>
      </c>
      <c r="L704" s="41" t="inlineStr">
        <is>
          <t>Privately Held (backing)</t>
        </is>
      </c>
      <c r="M704" s="42" t="inlineStr">
        <is>
          <t>Venture Capital-Backed</t>
        </is>
      </c>
      <c r="N704" s="43" t="inlineStr">
        <is>
          <t>The company joined Microsoft Accelerator as part of the 2017 Class on April 24, 2017. Earlier, the company raised $17.5 million of Series B venture funding in a deal led by Intel Capital on August 3, 2016.</t>
        </is>
      </c>
      <c r="O704" s="44" t="inlineStr">
        <is>
          <t>83North, Intel Capital, Microsoft Accelerator, Norwest Venture Partners</t>
        </is>
      </c>
      <c r="P704" s="45" t="inlineStr">
        <is>
          <t/>
        </is>
      </c>
      <c r="Q704" s="46" t="inlineStr">
        <is>
          <t>Business/Productivity Software</t>
        </is>
      </c>
      <c r="R704" s="47" t="inlineStr">
        <is>
          <t>Developer of cloud workload mobility platform designed to move enterprise workloads to the public cloud in minutes. The company's Velostrata platform makes it possible to migrate applications and their data to Azure quickly and easily, enabling companies to accelerate cloud migration and workload mobility with speed, scale, simplicity and safety.</t>
        </is>
      </c>
      <c r="S704" s="48" t="inlineStr">
        <is>
          <t>San Mateo, CA</t>
        </is>
      </c>
      <c r="T704" s="49" t="inlineStr">
        <is>
          <t>www.velostrata.com</t>
        </is>
      </c>
      <c r="U704" s="132">
        <f>HYPERLINK("https://my.pitchbook.com?c=109238-68", "View company online")</f>
      </c>
    </row>
    <row r="705">
      <c r="A705" s="9" t="inlineStr">
        <is>
          <t>58391-20</t>
        </is>
      </c>
      <c r="B705" s="10" t="inlineStr">
        <is>
          <t>VeloCloud</t>
        </is>
      </c>
      <c r="C705" s="11" t="inlineStr">
        <is>
          <t/>
        </is>
      </c>
      <c r="D705" s="12" t="n">
        <v>2.11433937372258</v>
      </c>
      <c r="E705" s="13" t="n">
        <v>14.041829557212756</v>
      </c>
      <c r="F705" s="14" t="n">
        <v>42796.0</v>
      </c>
      <c r="G705" s="15" t="inlineStr">
        <is>
          <t>Later Stage VC</t>
        </is>
      </c>
      <c r="H705" s="16" t="inlineStr">
        <is>
          <t>Series D</t>
        </is>
      </c>
      <c r="I705" s="17" t="n">
        <v>35.0</v>
      </c>
      <c r="J705" s="18" t="n">
        <v>320.0</v>
      </c>
      <c r="K705" s="19" t="inlineStr">
        <is>
          <t>Completed</t>
        </is>
      </c>
      <c r="L705" s="20" t="inlineStr">
        <is>
          <t>Privately Held (backing)</t>
        </is>
      </c>
      <c r="M705" s="21" t="inlineStr">
        <is>
          <t>Venture Capital-Backed</t>
        </is>
      </c>
      <c r="N705" s="22" t="inlineStr">
        <is>
          <t>The company raised $35 million of Series D venture funding in a deal led by Hermes Growth Partners on March 2, 2017, putting the pre-money valuation at $285 million. Telstra Ventures, Khazanah Nasional, New Enterprise Associates (NEA), Venrock, March Capital Partners, Cisco Investments and other undisclosed strategic investors also participated in the round. The company, which has raised $84 million in total funding, intends to use the capital to expand business, capacity and operations as it accelerates new product development, supports larger customer rollouts and increases sales and marketing in theaters worldwide.</t>
        </is>
      </c>
      <c r="O705" s="23" t="inlineStr">
        <is>
          <t>21Vianet Group, Cisco Investments, Hermes Growth Partners, Khazanah Nasional, March Capital Partners, New Enterprise Associates, Telstra Ventures, The Fabric, Venrock</t>
        </is>
      </c>
      <c r="P705" s="24" t="inlineStr">
        <is>
          <t/>
        </is>
      </c>
      <c r="Q705" s="25" t="inlineStr">
        <is>
          <t>Wireless Service Providers</t>
        </is>
      </c>
      <c r="R705" s="26" t="inlineStr">
        <is>
          <t>Provider of cloud-based networking services created to improve performance over private, broadband Internet and LTE links. The company's cloud-delivered SD-WAN is a cloud network for enterprise-grade connection to control and automate application, network, and branch and end-point implementations in the cloud while optimize access to cloud services, private datacenters and enterprise applications enabling policy-based access to cloud and data center applications.</t>
        </is>
      </c>
      <c r="S705" s="27" t="inlineStr">
        <is>
          <t>Mountain View, CA</t>
        </is>
      </c>
      <c r="T705" s="28" t="inlineStr">
        <is>
          <t>www.velocloud.com</t>
        </is>
      </c>
      <c r="U705" s="131">
        <f>HYPERLINK("https://my.pitchbook.com?c=58391-20", "View company online")</f>
      </c>
    </row>
    <row r="706">
      <c r="A706" s="30" t="inlineStr">
        <is>
          <t>52976-62</t>
        </is>
      </c>
      <c r="B706" s="31" t="inlineStr">
        <is>
          <t>Velocity Pharmaceutical Development</t>
        </is>
      </c>
      <c r="C706" s="32" t="inlineStr">
        <is>
          <t/>
        </is>
      </c>
      <c r="D706" s="33" t="n">
        <v>0.0</v>
      </c>
      <c r="E706" s="34" t="n">
        <v>0.9527782440825919</v>
      </c>
      <c r="F706" s="35" t="n">
        <v>40721.0</v>
      </c>
      <c r="G706" s="36" t="inlineStr">
        <is>
          <t>Seed Round</t>
        </is>
      </c>
      <c r="H706" s="37" t="inlineStr">
        <is>
          <t>Seed</t>
        </is>
      </c>
      <c r="I706" s="38" t="inlineStr">
        <is>
          <t/>
        </is>
      </c>
      <c r="J706" s="39" t="inlineStr">
        <is>
          <t/>
        </is>
      </c>
      <c r="K706" s="40" t="inlineStr">
        <is>
          <t>Completed</t>
        </is>
      </c>
      <c r="L706" s="41" t="inlineStr">
        <is>
          <t>Privately Held (backing)</t>
        </is>
      </c>
      <c r="M706" s="42" t="inlineStr">
        <is>
          <t>Venture Capital-Backed</t>
        </is>
      </c>
      <c r="N706" s="43" t="inlineStr">
        <is>
          <t>The company raised seed funding from Presidio Partners on an undisclosed date.</t>
        </is>
      </c>
      <c r="O706" s="44" t="inlineStr">
        <is>
          <t>Presidio Partners</t>
        </is>
      </c>
      <c r="P706" s="45" t="inlineStr">
        <is>
          <t/>
        </is>
      </c>
      <c r="Q706" s="46" t="inlineStr">
        <is>
          <t>Drug Discovery</t>
        </is>
      </c>
      <c r="R706" s="47" t="inlineStr">
        <is>
          <t>Developer of pharmaceutical drug candidates. The company focuses on rapid advancement of promising drug candidates to clinical proof of concept by using a virtual-management model.</t>
        </is>
      </c>
      <c r="S706" s="48" t="inlineStr">
        <is>
          <t>South San Francisco, CA</t>
        </is>
      </c>
      <c r="T706" s="49" t="inlineStr">
        <is>
          <t>www.vpd.net</t>
        </is>
      </c>
      <c r="U706" s="132">
        <f>HYPERLINK("https://my.pitchbook.com?c=52976-62", "View company online")</f>
      </c>
    </row>
    <row r="707">
      <c r="A707" s="9" t="inlineStr">
        <is>
          <t>114110-47</t>
        </is>
      </c>
      <c r="B707" s="10" t="inlineStr">
        <is>
          <t>Velocity (Hospitality)</t>
        </is>
      </c>
      <c r="C707" s="11" t="inlineStr">
        <is>
          <t/>
        </is>
      </c>
      <c r="D707" s="12" t="n">
        <v>-0.08093770731661794</v>
      </c>
      <c r="E707" s="13" t="n">
        <v>15.790960451977401</v>
      </c>
      <c r="F707" s="14" t="n">
        <v>42611.0</v>
      </c>
      <c r="G707" s="15" t="inlineStr">
        <is>
          <t>Early Stage VC</t>
        </is>
      </c>
      <c r="H707" s="16" t="inlineStr">
        <is>
          <t>Series B</t>
        </is>
      </c>
      <c r="I707" s="17" t="n">
        <v>22.5</v>
      </c>
      <c r="J707" s="18" t="inlineStr">
        <is>
          <t/>
        </is>
      </c>
      <c r="K707" s="19" t="inlineStr">
        <is>
          <t>Completed</t>
        </is>
      </c>
      <c r="L707" s="20" t="inlineStr">
        <is>
          <t>Privately Held (backing)</t>
        </is>
      </c>
      <c r="M707" s="21" t="inlineStr">
        <is>
          <t>Venture Capital-Backed</t>
        </is>
      </c>
      <c r="N707" s="22" t="inlineStr">
        <is>
          <t>The company raised $22.5 million of Series B venture funding in a deal led by Dragoneer Investment Group on August 29, 2016. Barry Sternlicht and John Paul also participated in the round. The funds will be used to support the company's expansion to 29 cities worldwide by 2020. Previously, the company raised $16 million of Series A venture funding from lead investors Thomas H. Glocer and Shukri Shammas on September 23, 2015.</t>
        </is>
      </c>
      <c r="O707" s="23" t="inlineStr">
        <is>
          <t>Alex Macdonald, Barry Sternlicht, Crystal Stream Capital, Dragoneer Investment Group, Force Over Mass Capital, Initial Capital (London), John Paul, Lars Christensen, Lerer Hippeau Ventures, O'Reilly AlphaTech Ventures, Saavan Shah, Shukri Shammas, Spark Capital, Swordfish Investments, Thomas Glocer, Zia Yusuf</t>
        </is>
      </c>
      <c r="P707" s="24" t="inlineStr">
        <is>
          <t/>
        </is>
      </c>
      <c r="Q707" s="25" t="inlineStr">
        <is>
          <t>Application Software</t>
        </is>
      </c>
      <c r="R707" s="26" t="inlineStr">
        <is>
          <t>Provider of a Web-based application for dining and hospitality experiences. The company offers digital hospitality service that helps diners to pay their bills, book restaurants and earn rewards through mobile phones.</t>
        </is>
      </c>
      <c r="S707" s="27" t="inlineStr">
        <is>
          <t>London, United Kingdom</t>
        </is>
      </c>
      <c r="T707" s="28" t="inlineStr">
        <is>
          <t>www.velocityapp.com</t>
        </is>
      </c>
      <c r="U707" s="131">
        <f>HYPERLINK("https://my.pitchbook.com?c=114110-47", "View company online")</f>
      </c>
    </row>
    <row r="708">
      <c r="A708" s="30" t="inlineStr">
        <is>
          <t>13226-68</t>
        </is>
      </c>
      <c r="B708" s="31" t="inlineStr">
        <is>
          <t>Velocify</t>
        </is>
      </c>
      <c r="C708" s="32" t="n">
        <v>29.61</v>
      </c>
      <c r="D708" s="33" t="n">
        <v>-0.016825442839043983</v>
      </c>
      <c r="E708" s="34" t="n">
        <v>9.24355788044071</v>
      </c>
      <c r="F708" s="35" t="n">
        <v>40942.0</v>
      </c>
      <c r="G708" s="36" t="inlineStr">
        <is>
          <t>Later Stage VC</t>
        </is>
      </c>
      <c r="H708" s="37" t="inlineStr">
        <is>
          <t>Series B</t>
        </is>
      </c>
      <c r="I708" s="38" t="n">
        <v>15.25</v>
      </c>
      <c r="J708" s="39" t="n">
        <v>51.11</v>
      </c>
      <c r="K708" s="40" t="inlineStr">
        <is>
          <t>Completed</t>
        </is>
      </c>
      <c r="L708" s="41" t="inlineStr">
        <is>
          <t>Privately Held (backing)</t>
        </is>
      </c>
      <c r="M708" s="42" t="inlineStr">
        <is>
          <t>Venture Capital-Backed</t>
        </is>
      </c>
      <c r="N708" s="43" t="inlineStr">
        <is>
          <t>The company raised $15.25 million of Series B venture funding from Volition Capital and Rustic Canyon Partners on February 3, 2012, putting the pre-money valuation at $35.85 million.</t>
        </is>
      </c>
      <c r="O708" s="44" t="inlineStr">
        <is>
          <t>Rustic Canyon Partners, Volition Capital</t>
        </is>
      </c>
      <c r="P708" s="45" t="inlineStr">
        <is>
          <t/>
        </is>
      </c>
      <c r="Q708" s="46" t="inlineStr">
        <is>
          <t>Application Software</t>
        </is>
      </c>
      <c r="R708" s="47" t="inlineStr">
        <is>
          <t>Provider of lead management software to mortgage, insurance, and secondary education companies. The company offers Web-based software to businesses to help them manage their sales process from start to close.</t>
        </is>
      </c>
      <c r="S708" s="48" t="inlineStr">
        <is>
          <t>El Segundo, CA</t>
        </is>
      </c>
      <c r="T708" s="49" t="inlineStr">
        <is>
          <t>www.velocify.com</t>
        </is>
      </c>
      <c r="U708" s="132">
        <f>HYPERLINK("https://my.pitchbook.com?c=13226-68", "View company online")</f>
      </c>
    </row>
    <row r="709">
      <c r="A709" s="9" t="inlineStr">
        <is>
          <t>153014-23</t>
        </is>
      </c>
      <c r="B709" s="10" t="inlineStr">
        <is>
          <t>Velexo</t>
        </is>
      </c>
      <c r="C709" s="11" t="inlineStr">
        <is>
          <t/>
        </is>
      </c>
      <c r="D709" s="12" t="n">
        <v>0.0</v>
      </c>
      <c r="E709" s="13" t="n">
        <v>0.1914334747422441</v>
      </c>
      <c r="F709" s="14" t="n">
        <v>42765.0</v>
      </c>
      <c r="G709" s="15" t="inlineStr">
        <is>
          <t>Early Stage VC</t>
        </is>
      </c>
      <c r="H709" s="16" t="inlineStr">
        <is>
          <t/>
        </is>
      </c>
      <c r="I709" s="17" t="n">
        <v>1.94</v>
      </c>
      <c r="J709" s="18" t="inlineStr">
        <is>
          <t/>
        </is>
      </c>
      <c r="K709" s="19" t="inlineStr">
        <is>
          <t>Completed</t>
        </is>
      </c>
      <c r="L709" s="20" t="inlineStr">
        <is>
          <t>Privately Held (backing)</t>
        </is>
      </c>
      <c r="M709" s="21" t="inlineStr">
        <is>
          <t>Venture Capital-Backed</t>
        </is>
      </c>
      <c r="N709" s="22" t="inlineStr">
        <is>
          <t>The company raised $1.94 million of venture funding from LH Ventures and other undisclosed investors on January 30, 2017. The deal also included $1.3395 raised in the form of convertible debt financing. It previously, raised $2.5 million of angel funding in a deal led by Grant Van Cleve on June 10, 2015. The company intends to use the funding to expand its first-of-its-kind network of manufacturers, mass retailers and contractors in the home-improvement industry, and launch U.S.-based marketing initiatives to further brand development.</t>
        </is>
      </c>
      <c r="O709" s="23" t="inlineStr">
        <is>
          <t>Grant Van Cleve, LH Ventures</t>
        </is>
      </c>
      <c r="P709" s="24" t="inlineStr">
        <is>
          <t/>
        </is>
      </c>
      <c r="Q709" s="25" t="inlineStr">
        <is>
          <t>Other Software</t>
        </is>
      </c>
      <c r="R709" s="26" t="inlineStr">
        <is>
          <t>Developer and provider of an installation software. The company offers installation platform for manufacturers and retailers that enables consumers to purchase products bundled with factory certified service.</t>
        </is>
      </c>
      <c r="S709" s="27" t="inlineStr">
        <is>
          <t>Irvine, CA</t>
        </is>
      </c>
      <c r="T709" s="28" t="inlineStr">
        <is>
          <t>www.velexo.com</t>
        </is>
      </c>
      <c r="U709" s="131">
        <f>HYPERLINK("https://my.pitchbook.com?c=153014-23", "View company online")</f>
      </c>
    </row>
    <row r="710">
      <c r="A710" s="30" t="inlineStr">
        <is>
          <t>99331-75</t>
        </is>
      </c>
      <c r="B710" s="31" t="inlineStr">
        <is>
          <t>Velano Vascular</t>
        </is>
      </c>
      <c r="C710" s="32" t="inlineStr">
        <is>
          <t/>
        </is>
      </c>
      <c r="D710" s="33" t="n">
        <v>0.24763358801140425</v>
      </c>
      <c r="E710" s="34" t="n">
        <v>1.1223902658316807</v>
      </c>
      <c r="F710" s="35" t="n">
        <v>42801.0</v>
      </c>
      <c r="G710" s="36" t="inlineStr">
        <is>
          <t>Early Stage VC</t>
        </is>
      </c>
      <c r="H710" s="37" t="inlineStr">
        <is>
          <t>Series B</t>
        </is>
      </c>
      <c r="I710" s="38" t="n">
        <v>17.0</v>
      </c>
      <c r="J710" s="39" t="n">
        <v>54.89</v>
      </c>
      <c r="K710" s="40" t="inlineStr">
        <is>
          <t>Completed</t>
        </is>
      </c>
      <c r="L710" s="41" t="inlineStr">
        <is>
          <t>Privately Held (backing)</t>
        </is>
      </c>
      <c r="M710" s="42" t="inlineStr">
        <is>
          <t>Venture Capital-Backed</t>
        </is>
      </c>
      <c r="N710" s="43" t="inlineStr">
        <is>
          <t>The company raised $17 million of Series B venture funding in a round led by 2 undisclosed investors on March 7, 2017, putting the pre-money valuation at $37.89 million. First Round Capital, Griffin Hospital, Kapor Capital, Safeguard Scientifics (NYSE: SFE), Sutter Health, The Children's Hospital of Philadelphia, White Owl Capital and other undisclosed existing investors also participated in this round. The company, which has raised $26 million to date, intends to use the funding to scale and commercialize a family of vascular access technologies, including the PIVO™ needle-free device that seeks to improve the overall blood draw experience for patients and practitioners.</t>
        </is>
      </c>
      <c r="O710" s="44" t="inlineStr">
        <is>
          <t>Children's Hospital of Philadelphia, D-W Investments, Ed Ludwig, First Round Capital, Griffin Hospital, Individual Investor, Kapor Capital, Oscar Schafer, Safeguard Scientifics, Startup PHL, Stuart Herskovitz, Sutter Health Master Trust, White Owl Capital Partners</t>
        </is>
      </c>
      <c r="P710" s="45" t="inlineStr">
        <is>
          <t/>
        </is>
      </c>
      <c r="Q710" s="46" t="inlineStr">
        <is>
          <t>Surgical Devices</t>
        </is>
      </c>
      <c r="R710" s="47" t="inlineStr">
        <is>
          <t>Developer of a blood drawing device designed to reducing the pain, risk and inefficiencies of vascular access and blood collection practices. The company's PIVO device is a needle-free device to draw blood from Peripheral IV catheters which reduces risks of injuries for patients who suffer from difficult venous access due to weight, chronic disease, and other issues, enabling hospitals to provide a more compassionate care for inpatients, a safer practice for caregivers and a more financially responsible alternative for health systems.</t>
        </is>
      </c>
      <c r="S710" s="48" t="inlineStr">
        <is>
          <t>San Francisco, CA</t>
        </is>
      </c>
      <c r="T710" s="49" t="inlineStr">
        <is>
          <t>www.velanovascular.com</t>
        </is>
      </c>
      <c r="U710" s="132">
        <f>HYPERLINK("https://my.pitchbook.com?c=99331-75", "View company online")</f>
      </c>
    </row>
    <row r="711">
      <c r="A711" s="9" t="inlineStr">
        <is>
          <t>103373-29</t>
        </is>
      </c>
      <c r="B711" s="10" t="inlineStr">
        <is>
          <t>Veetle</t>
        </is>
      </c>
      <c r="C711" s="11" t="inlineStr">
        <is>
          <t/>
        </is>
      </c>
      <c r="D711" s="12" t="n">
        <v>-0.29357595899746475</v>
      </c>
      <c r="E711" s="13" t="n">
        <v>94.01655987496078</v>
      </c>
      <c r="F711" s="14" t="inlineStr">
        <is>
          <t/>
        </is>
      </c>
      <c r="G711" s="15" t="inlineStr">
        <is>
          <t>Early Stage VC</t>
        </is>
      </c>
      <c r="H711" s="16" t="inlineStr">
        <is>
          <t/>
        </is>
      </c>
      <c r="I711" s="17" t="inlineStr">
        <is>
          <t/>
        </is>
      </c>
      <c r="J711" s="18" t="inlineStr">
        <is>
          <t/>
        </is>
      </c>
      <c r="K711" s="19" t="inlineStr">
        <is>
          <t>Completed</t>
        </is>
      </c>
      <c r="L711" s="20" t="inlineStr">
        <is>
          <t>Privately Held (backing)</t>
        </is>
      </c>
      <c r="M711" s="21" t="inlineStr">
        <is>
          <t>Venture Capital-Backed</t>
        </is>
      </c>
      <c r="N711" s="22" t="inlineStr">
        <is>
          <t>The company raised venture funding from ChinaRock Capital Management on an undisclosed date.</t>
        </is>
      </c>
      <c r="O711" s="23" t="inlineStr">
        <is>
          <t>ChinaRock Capital Management</t>
        </is>
      </c>
      <c r="P711" s="24" t="inlineStr">
        <is>
          <t/>
        </is>
      </c>
      <c r="Q711" s="25" t="inlineStr">
        <is>
          <t>Application Software</t>
        </is>
      </c>
      <c r="R711" s="26" t="inlineStr">
        <is>
          <t>Provider of a live video streaming application. The company offers an online platform that enables users to stream videos and communicate with others using live videos.</t>
        </is>
      </c>
      <c r="S711" s="27" t="inlineStr">
        <is>
          <t>Palo Alto, CA</t>
        </is>
      </c>
      <c r="T711" s="28" t="inlineStr">
        <is>
          <t>www.veetle.com</t>
        </is>
      </c>
      <c r="U711" s="131">
        <f>HYPERLINK("https://my.pitchbook.com?c=103373-29", "View company online")</f>
      </c>
    </row>
    <row r="712">
      <c r="A712" s="30" t="inlineStr">
        <is>
          <t>100779-40</t>
        </is>
      </c>
      <c r="B712" s="31" t="inlineStr">
        <is>
          <t>Veem (US)</t>
        </is>
      </c>
      <c r="C712" s="32" t="inlineStr">
        <is>
          <t/>
        </is>
      </c>
      <c r="D712" s="33" t="n">
        <v>7.81986239593665</v>
      </c>
      <c r="E712" s="34" t="n">
        <v>5.571034931130731</v>
      </c>
      <c r="F712" s="35" t="n">
        <v>42802.0</v>
      </c>
      <c r="G712" s="36" t="inlineStr">
        <is>
          <t>Early Stage VC</t>
        </is>
      </c>
      <c r="H712" s="37" t="inlineStr">
        <is>
          <t>Series B</t>
        </is>
      </c>
      <c r="I712" s="38" t="n">
        <v>23.94</v>
      </c>
      <c r="J712" s="39" t="n">
        <v>100.0</v>
      </c>
      <c r="K712" s="40" t="inlineStr">
        <is>
          <t>Completed</t>
        </is>
      </c>
      <c r="L712" s="41" t="inlineStr">
        <is>
          <t>Privately Held (backing)</t>
        </is>
      </c>
      <c r="M712" s="42" t="inlineStr">
        <is>
          <t>Venture Capital-Backed</t>
        </is>
      </c>
      <c r="N712" s="43" t="inlineStr">
        <is>
          <t>The company raised $24 million of Series B venture funding in a round led by National Australia Bank on March 8, 2017, putting the pre-money valuation at $76.06 million. GV, SBI Investment, Kleiner Perkins Caufield Byers and SVB Capital Partners also participated in this round. The company, which has raised over $40 million to date, intends to use the funds to expand into more countries and enable payments in additional currencies.</t>
        </is>
      </c>
      <c r="O712" s="44" t="inlineStr">
        <is>
          <t>Alec Petro, Bayhill Capital Management, Boost VC, Daniel Chen, Digital Currency Group, FarSight Ventures, Fenway Summer Ventures, Firestartr, GV, Jere Doyle, Kleiner Perkins Caufield &amp; Byers, Mark Lodish, National Australia Bank, Nyca Partners, Pantera Capital, Paul Veradittakit, Philippe Suchet, Pivot Investment Partners, Recruit Strategic Partners, RF7, SBI Investment, SVB Capital, The Whittemore Collection, Todd McDonald</t>
        </is>
      </c>
      <c r="P712" s="45" t="inlineStr">
        <is>
          <t/>
        </is>
      </c>
      <c r="Q712" s="46" t="inlineStr">
        <is>
          <t>Financial Software</t>
        </is>
      </c>
      <c r="R712" s="47" t="inlineStr">
        <is>
          <t>Provider of payment service for global commerce designed to simplify global business payments. The company's global payment service allows businesses and payment platforms to send and receive payments in local currency via a friction-less manner by using the block chain as a new settlement rail, enabling them to quickly and securely pay and get paid from their business partners all over the world.</t>
        </is>
      </c>
      <c r="S712" s="48" t="inlineStr">
        <is>
          <t>San Francisco, CA</t>
        </is>
      </c>
      <c r="T712" s="49" t="inlineStr">
        <is>
          <t>www.veem.com</t>
        </is>
      </c>
      <c r="U712" s="132">
        <f>HYPERLINK("https://my.pitchbook.com?c=100779-40", "View company online")</f>
      </c>
    </row>
    <row r="713">
      <c r="A713" s="9" t="inlineStr">
        <is>
          <t>98927-47</t>
        </is>
      </c>
      <c r="B713" s="10" t="inlineStr">
        <is>
          <t>VeedMe</t>
        </is>
      </c>
      <c r="C713" s="11" t="inlineStr">
        <is>
          <t/>
        </is>
      </c>
      <c r="D713" s="12" t="n">
        <v>-0.1345978861298884</v>
      </c>
      <c r="E713" s="13" t="n">
        <v>2.9984132516556983</v>
      </c>
      <c r="F713" s="14" t="n">
        <v>42060.0</v>
      </c>
      <c r="G713" s="15" t="inlineStr">
        <is>
          <t>Seed Round</t>
        </is>
      </c>
      <c r="H713" s="16" t="inlineStr">
        <is>
          <t>Seed</t>
        </is>
      </c>
      <c r="I713" s="17" t="n">
        <v>1.0</v>
      </c>
      <c r="J713" s="18" t="inlineStr">
        <is>
          <t/>
        </is>
      </c>
      <c r="K713" s="19" t="inlineStr">
        <is>
          <t>Completed</t>
        </is>
      </c>
      <c r="L713" s="20" t="inlineStr">
        <is>
          <t>Privately Held (backing)</t>
        </is>
      </c>
      <c r="M713" s="21" t="inlineStr">
        <is>
          <t>Venture Capital-Backed</t>
        </is>
      </c>
      <c r="N713" s="22" t="inlineStr">
        <is>
          <t>The company raised $1 million of seed funding from Marker on February 25, 2015. Previously, the company raised $50,000 of angel funding from Pulver's Micro Angel Fund, Oded Caspi and Yaniv Gelnik on July 10, 2014. Jeff Pulver, Oren Abekasis and Shai Rephaeli also participated.</t>
        </is>
      </c>
      <c r="O713" s="23" t="inlineStr">
        <is>
          <t>Jeffery Pulver, Marker, Nautilus by AOL, Oded Caspi, Oren Abekasis, Pulver's Micro Angel Fund, Shai Rephaeli, UpWest Labs, Yaniv Gelnik</t>
        </is>
      </c>
      <c r="P713" s="24" t="inlineStr">
        <is>
          <t/>
        </is>
      </c>
      <c r="Q713" s="25" t="inlineStr">
        <is>
          <t>Business/Productivity Software</t>
        </is>
      </c>
      <c r="R713" s="26" t="inlineStr">
        <is>
          <t>Provider of a video production marketplace designed to produce video content for marketing campaigns. The company's video creation platform provides the community with a simple and daily-use platform, doing what they love to do, enabling businesses and startups to get connected with talented videographers or make their own custom videos by browsing from sample pre-uploaded videos.</t>
        </is>
      </c>
      <c r="S713" s="27" t="inlineStr">
        <is>
          <t>Tel aviv, Israel</t>
        </is>
      </c>
      <c r="T713" s="28" t="inlineStr">
        <is>
          <t>www.veed.me</t>
        </is>
      </c>
      <c r="U713" s="131">
        <f>HYPERLINK("https://my.pitchbook.com?c=98927-47", "View company online")</f>
      </c>
    </row>
    <row r="714">
      <c r="A714" s="30" t="inlineStr">
        <is>
          <t>53571-16</t>
        </is>
      </c>
      <c r="B714" s="31" t="inlineStr">
        <is>
          <t>Vectra Networks</t>
        </is>
      </c>
      <c r="C714" s="32" t="inlineStr">
        <is>
          <t/>
        </is>
      </c>
      <c r="D714" s="33" t="n">
        <v>0.518124378912419</v>
      </c>
      <c r="E714" s="34" t="n">
        <v>8.675944812588144</v>
      </c>
      <c r="F714" s="35" t="n">
        <v>42447.0</v>
      </c>
      <c r="G714" s="36" t="inlineStr">
        <is>
          <t>Later Stage VC</t>
        </is>
      </c>
      <c r="H714" s="37" t="inlineStr">
        <is>
          <t>Series C</t>
        </is>
      </c>
      <c r="I714" s="38" t="n">
        <v>43.84</v>
      </c>
      <c r="J714" s="39" t="n">
        <v>326.84</v>
      </c>
      <c r="K714" s="40" t="inlineStr">
        <is>
          <t>Completed</t>
        </is>
      </c>
      <c r="L714" s="41" t="inlineStr">
        <is>
          <t>Privately Held (backing)</t>
        </is>
      </c>
      <c r="M714" s="42" t="inlineStr">
        <is>
          <t>Venture Capital-Backed</t>
        </is>
      </c>
      <c r="N714" s="43" t="inlineStr">
        <is>
          <t>The company raised $43.8 million of Series C venture funding in a deal led by DAG Ventures on March 18, 2016, putting the company's pre-money valuation at $283 million. Khosla Ventures, Wipro Ventures, Accel Ventures, IA Ventures, AME Cloud Ventures, Intel Capital and Juniper Networks also participated. The company will use the latest round of funding to bring product to market, engineering and building company infrastructure.</t>
        </is>
      </c>
      <c r="O714" s="44" t="inlineStr">
        <is>
          <t>Accel, AME Cloud Ventures, DAG Ventures, IA Ventures, Intel Capital, Juniper Networks, Khosla Ventures, Wipro Ventures</t>
        </is>
      </c>
      <c r="P714" s="45" t="inlineStr">
        <is>
          <t/>
        </is>
      </c>
      <c r="Q714" s="46" t="inlineStr">
        <is>
          <t>Network Management Software</t>
        </is>
      </c>
      <c r="R714" s="47" t="inlineStr">
        <is>
          <t>Developer of a network intrusion detection system designed to automate real-time threat detection and response. The company's network intrusion detection system uses algorithms and artificial intelligence to detect anomalies in network traffic in real-time in order to secure against cyber-attacks, enabling organizations to make rapid decisions on where to focus time and resources.</t>
        </is>
      </c>
      <c r="S714" s="48" t="inlineStr">
        <is>
          <t>San Jose, CA</t>
        </is>
      </c>
      <c r="T714" s="49" t="inlineStr">
        <is>
          <t>www.vectranetworks.com</t>
        </is>
      </c>
      <c r="U714" s="132">
        <f>HYPERLINK("https://my.pitchbook.com?c=53571-16", "View company online")</f>
      </c>
    </row>
    <row r="715">
      <c r="A715" s="9" t="inlineStr">
        <is>
          <t>118856-17</t>
        </is>
      </c>
      <c r="B715" s="10" t="inlineStr">
        <is>
          <t>Vectr Labs</t>
        </is>
      </c>
      <c r="C715" s="11" t="inlineStr">
        <is>
          <t/>
        </is>
      </c>
      <c r="D715" s="12" t="n">
        <v>0.9701605884767495</v>
      </c>
      <c r="E715" s="13" t="n">
        <v>5.93128582050837</v>
      </c>
      <c r="F715" s="14" t="n">
        <v>42409.0</v>
      </c>
      <c r="G715" s="15" t="inlineStr">
        <is>
          <t>Seed Round</t>
        </is>
      </c>
      <c r="H715" s="16" t="inlineStr">
        <is>
          <t>Seed</t>
        </is>
      </c>
      <c r="I715" s="17" t="n">
        <v>0.7</v>
      </c>
      <c r="J715" s="18" t="n">
        <v>4.29</v>
      </c>
      <c r="K715" s="19" t="inlineStr">
        <is>
          <t>Completed</t>
        </is>
      </c>
      <c r="L715" s="20" t="inlineStr">
        <is>
          <t>Privately Held (backing)</t>
        </is>
      </c>
      <c r="M715" s="21" t="inlineStr">
        <is>
          <t>Venture Capital-Backed</t>
        </is>
      </c>
      <c r="N715" s="22" t="inlineStr">
        <is>
          <t>The company raised $700,000 of Seed 2 funding from an undisclosed investor on February 9, 2016, putting the company's pre-money valuation at $3.59 million. Previously, the company raised $210,000 of Seed funding from Guillermo Rauch, Michael Lints, Jesse Rasch, Guillaume Racine, Resolute Ventures and an undisclosed investor on July 21, 2015.</t>
        </is>
      </c>
      <c r="O715" s="23" t="inlineStr">
        <is>
          <t>Jesse Rasch, Rauch Guillermo, Resolute Ventures</t>
        </is>
      </c>
      <c r="P715" s="24" t="inlineStr">
        <is>
          <t/>
        </is>
      </c>
      <c r="Q715" s="25" t="inlineStr">
        <is>
          <t>Multimedia and Design Software</t>
        </is>
      </c>
      <c r="R715" s="26" t="inlineStr">
        <is>
          <t>Developer of a graphic design software that helps in file syncing automatically. The company helps in linking a website's graphic to documents and updating them without touching code.</t>
        </is>
      </c>
      <c r="S715" s="27" t="inlineStr">
        <is>
          <t>San Francisco, CA</t>
        </is>
      </c>
      <c r="T715" s="28" t="inlineStr">
        <is>
          <t>www.vectr.com</t>
        </is>
      </c>
      <c r="U715" s="131">
        <f>HYPERLINK("https://my.pitchbook.com?c=118856-17", "View company online")</f>
      </c>
    </row>
    <row r="716">
      <c r="A716" s="30" t="inlineStr">
        <is>
          <t>63820-45</t>
        </is>
      </c>
      <c r="B716" s="31" t="inlineStr">
        <is>
          <t>VDP Finder</t>
        </is>
      </c>
      <c r="C716" s="32" t="inlineStr">
        <is>
          <t/>
        </is>
      </c>
      <c r="D716" s="33" t="n">
        <v>0.025615598653321872</v>
      </c>
      <c r="E716" s="34" t="n">
        <v>8.849867269100873</v>
      </c>
      <c r="F716" s="35" t="n">
        <v>41801.0</v>
      </c>
      <c r="G716" s="36" t="inlineStr">
        <is>
          <t>Seed Round</t>
        </is>
      </c>
      <c r="H716" s="37" t="inlineStr">
        <is>
          <t>Seed</t>
        </is>
      </c>
      <c r="I716" s="38" t="n">
        <v>0.65</v>
      </c>
      <c r="J716" s="39" t="inlineStr">
        <is>
          <t/>
        </is>
      </c>
      <c r="K716" s="40" t="inlineStr">
        <is>
          <t>Completed</t>
        </is>
      </c>
      <c r="L716" s="41" t="inlineStr">
        <is>
          <t>Privately Held (backing)</t>
        </is>
      </c>
      <c r="M716" s="42" t="inlineStr">
        <is>
          <t>Venture Capital-Backed</t>
        </is>
      </c>
      <c r="N716" s="43" t="inlineStr">
        <is>
          <t>The company raised $650,000 of seed funding from New Enterprise Associates and undisclosed individual investors on June 11, 2014.</t>
        </is>
      </c>
      <c r="O716" s="44" t="inlineStr">
        <is>
          <t>Individual Investor, New Enterprise Associates</t>
        </is>
      </c>
      <c r="P716" s="45" t="inlineStr">
        <is>
          <t/>
        </is>
      </c>
      <c r="Q716" s="46" t="inlineStr">
        <is>
          <t>Social Content</t>
        </is>
      </c>
      <c r="R716" s="47" t="inlineStr">
        <is>
          <t>Provider of a social engagement platform. The company provides a cloud-based social platform that lets consumers and businesses participate in unified public group conversations over social media.</t>
        </is>
      </c>
      <c r="S716" s="48" t="inlineStr">
        <is>
          <t>Palo Alto, CA</t>
        </is>
      </c>
      <c r="T716" s="49" t="inlineStr">
        <is>
          <t>www.crowdchat.net</t>
        </is>
      </c>
      <c r="U716" s="132">
        <f>HYPERLINK("https://my.pitchbook.com?c=63820-45", "View company online")</f>
      </c>
    </row>
    <row r="717">
      <c r="A717" s="9" t="inlineStr">
        <is>
          <t>53695-18</t>
        </is>
      </c>
      <c r="B717" s="10" t="inlineStr">
        <is>
          <t>Vdopia</t>
        </is>
      </c>
      <c r="C717" s="11" t="n">
        <v>120.0</v>
      </c>
      <c r="D717" s="12" t="n">
        <v>0.14307390333760917</v>
      </c>
      <c r="E717" s="13" t="n">
        <v>4.528956770224272</v>
      </c>
      <c r="F717" s="14" t="n">
        <v>41256.0</v>
      </c>
      <c r="G717" s="15" t="inlineStr">
        <is>
          <t>Early Stage VC</t>
        </is>
      </c>
      <c r="H717" s="16" t="inlineStr">
        <is>
          <t>Series B</t>
        </is>
      </c>
      <c r="I717" s="17" t="n">
        <v>3.39</v>
      </c>
      <c r="J717" s="18" t="n">
        <v>42.61</v>
      </c>
      <c r="K717" s="19" t="inlineStr">
        <is>
          <t>Completed</t>
        </is>
      </c>
      <c r="L717" s="20" t="inlineStr">
        <is>
          <t>Privately Held (backing)</t>
        </is>
      </c>
      <c r="M717" s="21" t="inlineStr">
        <is>
          <t>Venture Capital-Backed</t>
        </is>
      </c>
      <c r="N717" s="22" t="inlineStr">
        <is>
          <t>The company raised $3.39 million of Series B venture funding from Nexus Venture Partners and other undisclosed investors on December 13, 2012, putting the pre-money valuation at $39.22 million.</t>
        </is>
      </c>
      <c r="O717" s="23" t="inlineStr">
        <is>
          <t>Individual Investor, Nexus Venture Partners, Rohit Sharma</t>
        </is>
      </c>
      <c r="P717" s="24" t="inlineStr">
        <is>
          <t/>
        </is>
      </c>
      <c r="Q717" s="25" t="inlineStr">
        <is>
          <t>Social/Platform Software</t>
        </is>
      </c>
      <c r="R717" s="26" t="inlineStr">
        <is>
          <t>Provider of programmatic buying and selling platform for mobile video advertising. The company .VDO mobile video format which helps the brands and publishers to create mobile ad campaigns on mobile Web and applications.</t>
        </is>
      </c>
      <c r="S717" s="27" t="inlineStr">
        <is>
          <t>Fremont, CA</t>
        </is>
      </c>
      <c r="T717" s="28" t="inlineStr">
        <is>
          <t>www.vdopia.com</t>
        </is>
      </c>
      <c r="U717" s="131">
        <f>HYPERLINK("https://my.pitchbook.com?c=53695-18", "View company online")</f>
      </c>
    </row>
    <row r="718">
      <c r="A718" s="30" t="inlineStr">
        <is>
          <t>126398-98</t>
        </is>
      </c>
      <c r="B718" s="31" t="inlineStr">
        <is>
          <t>V-Cult</t>
        </is>
      </c>
      <c r="C718" s="32" t="inlineStr">
        <is>
          <t/>
        </is>
      </c>
      <c r="D718" s="33" t="n">
        <v>0.5050801693891995</v>
      </c>
      <c r="E718" s="34" t="n">
        <v>1.2331561454074351</v>
      </c>
      <c r="F718" s="35" t="inlineStr">
        <is>
          <t/>
        </is>
      </c>
      <c r="G718" s="36" t="inlineStr">
        <is>
          <t>Seed Round</t>
        </is>
      </c>
      <c r="H718" s="37" t="inlineStr">
        <is>
          <t>Seed</t>
        </is>
      </c>
      <c r="I718" s="38" t="inlineStr">
        <is>
          <t/>
        </is>
      </c>
      <c r="J718" s="39" t="inlineStr">
        <is>
          <t/>
        </is>
      </c>
      <c r="K718" s="40" t="inlineStr">
        <is>
          <t>Completed</t>
        </is>
      </c>
      <c r="L718" s="41" t="inlineStr">
        <is>
          <t>Privately Held (backing)</t>
        </is>
      </c>
      <c r="M718" s="42" t="inlineStr">
        <is>
          <t>Venture Capital-Backed</t>
        </is>
      </c>
      <c r="N718" s="43" t="inlineStr">
        <is>
          <t>The company raised an undisclosed amount of seed funding from Sparkling Partners.</t>
        </is>
      </c>
      <c r="O718" s="44" t="inlineStr">
        <is>
          <t>Boost VC, EuraTechnologies, Siparex Group, Sparkling Partners</t>
        </is>
      </c>
      <c r="P718" s="45" t="inlineStr">
        <is>
          <t/>
        </is>
      </c>
      <c r="Q718" s="46" t="inlineStr">
        <is>
          <t>Multimedia and Design Software</t>
        </is>
      </c>
      <c r="R718" s="47" t="inlineStr">
        <is>
          <t>Developer of 3D web and virtual reality technology. The company develops a 3D social media platform for various brands, retailers and manufacturers for experiential marketing purposes.</t>
        </is>
      </c>
      <c r="S718" s="48" t="inlineStr">
        <is>
          <t>Lille, France</t>
        </is>
      </c>
      <c r="T718" s="49" t="inlineStr">
        <is>
          <t>www.v-cult.com</t>
        </is>
      </c>
      <c r="U718" s="132">
        <f>HYPERLINK("https://my.pitchbook.com?c=126398-98", "View company online")</f>
      </c>
    </row>
    <row r="719">
      <c r="A719" s="9" t="inlineStr">
        <is>
          <t>97411-78</t>
        </is>
      </c>
      <c r="B719" s="10" t="inlineStr">
        <is>
          <t>VCE Company</t>
        </is>
      </c>
      <c r="C719" s="11" t="n">
        <v>1000.0</v>
      </c>
      <c r="D719" s="12" t="inlineStr">
        <is>
          <t/>
        </is>
      </c>
      <c r="E719" s="13" t="inlineStr">
        <is>
          <t/>
        </is>
      </c>
      <c r="F719" s="14" t="n">
        <v>41934.0</v>
      </c>
      <c r="G719" s="15" t="inlineStr">
        <is>
          <t>Secondary Transaction - Private</t>
        </is>
      </c>
      <c r="H719" s="16" t="inlineStr">
        <is>
          <t/>
        </is>
      </c>
      <c r="I719" s="17" t="inlineStr">
        <is>
          <t/>
        </is>
      </c>
      <c r="J719" s="18" t="inlineStr">
        <is>
          <t/>
        </is>
      </c>
      <c r="K719" s="19" t="inlineStr">
        <is>
          <t>Completed</t>
        </is>
      </c>
      <c r="L719" s="20" t="inlineStr">
        <is>
          <t>Privately Held (backing)</t>
        </is>
      </c>
      <c r="M719" s="21" t="inlineStr">
        <is>
          <t>Venture Capital-Backed</t>
        </is>
      </c>
      <c r="N719" s="22" t="inlineStr">
        <is>
          <t>Cisco Investments sold its 25% stake in the company to EMC for an undisclosed amount on October 22, 2014.</t>
        </is>
      </c>
      <c r="O719" s="23" t="inlineStr">
        <is>
          <t>Cisco Investments, EMC, Intel, VMware</t>
        </is>
      </c>
      <c r="P719" s="24" t="inlineStr">
        <is>
          <t/>
        </is>
      </c>
      <c r="Q719" s="25" t="inlineStr">
        <is>
          <t>Business/Productivity Software</t>
        </is>
      </c>
      <c r="R719" s="26" t="inlineStr">
        <is>
          <t>Provider of a converged cloud computing platform for organizations. The company provides information technology system that accelerates the adoption of converged infrastructure and cloud-based computing models that reduces the cost of IT.</t>
        </is>
      </c>
      <c r="S719" s="27" t="inlineStr">
        <is>
          <t>Richardson, TX</t>
        </is>
      </c>
      <c r="T719" s="28" t="inlineStr">
        <is>
          <t>www.vce.com</t>
        </is>
      </c>
      <c r="U719" s="131">
        <f>HYPERLINK("https://my.pitchbook.com?c=97411-78", "View company online")</f>
      </c>
    </row>
    <row r="720">
      <c r="A720" s="30" t="inlineStr">
        <is>
          <t>58602-34</t>
        </is>
      </c>
      <c r="B720" s="31" t="inlineStr">
        <is>
          <t>VCCP Media</t>
        </is>
      </c>
      <c r="C720" s="32" t="inlineStr">
        <is>
          <t/>
        </is>
      </c>
      <c r="D720" s="33" t="n">
        <v>2.755225321566298</v>
      </c>
      <c r="E720" s="34" t="n">
        <v>3.473675393995954</v>
      </c>
      <c r="F720" s="35" t="inlineStr">
        <is>
          <t/>
        </is>
      </c>
      <c r="G720" s="36" t="inlineStr">
        <is>
          <t>Early Stage VC</t>
        </is>
      </c>
      <c r="H720" s="37" t="inlineStr">
        <is>
          <t/>
        </is>
      </c>
      <c r="I720" s="38" t="inlineStr">
        <is>
          <t/>
        </is>
      </c>
      <c r="J720" s="39" t="inlineStr">
        <is>
          <t/>
        </is>
      </c>
      <c r="K720" s="40" t="inlineStr">
        <is>
          <t>Completed</t>
        </is>
      </c>
      <c r="L720" s="41" t="inlineStr">
        <is>
          <t>Privately Held (backing)</t>
        </is>
      </c>
      <c r="M720" s="42" t="inlineStr">
        <is>
          <t>Venture Capital-Backed</t>
        </is>
      </c>
      <c r="N720" s="43" t="inlineStr">
        <is>
          <t>The company raised an undisclosed amount of venture funding from Chime Ventures on an undisclosed date.</t>
        </is>
      </c>
      <c r="O720" s="44" t="inlineStr">
        <is>
          <t>Chime Ventures, Providence Equity Partners</t>
        </is>
      </c>
      <c r="P720" s="45" t="inlineStr">
        <is>
          <t/>
        </is>
      </c>
      <c r="Q720" s="46" t="inlineStr">
        <is>
          <t>Communication Software</t>
        </is>
      </c>
      <c r="R720" s="47" t="inlineStr">
        <is>
          <t>Provider of information and communication services. The company provides a cloud based technology which allows advertisers to measure every touch point in the online purchase cycle and to act on this data when 'trading media' in biddable platforms such as Google, YouTube and Facebook.</t>
        </is>
      </c>
      <c r="S720" s="48" t="inlineStr">
        <is>
          <t>London, United Kingdom</t>
        </is>
      </c>
      <c r="T720" s="49" t="inlineStr">
        <is>
          <t>www.vccpmedia.com</t>
        </is>
      </c>
      <c r="U720" s="132">
        <f>HYPERLINK("https://my.pitchbook.com?c=58602-34", "View company online")</f>
      </c>
    </row>
    <row r="721">
      <c r="A721" s="9" t="inlineStr">
        <is>
          <t>114632-02</t>
        </is>
      </c>
      <c r="B721" s="10" t="inlineStr">
        <is>
          <t>VC Mobile Entertainment</t>
        </is>
      </c>
      <c r="C721" s="11" t="inlineStr">
        <is>
          <t/>
        </is>
      </c>
      <c r="D721" s="12" t="n">
        <v>0.0</v>
      </c>
      <c r="E721" s="13" t="n">
        <v>0.13513513513513514</v>
      </c>
      <c r="F721" s="14" t="n">
        <v>42094.0</v>
      </c>
      <c r="G721" s="15" t="inlineStr">
        <is>
          <t>Early Stage VC</t>
        </is>
      </c>
      <c r="H721" s="16" t="inlineStr">
        <is>
          <t>Series A</t>
        </is>
      </c>
      <c r="I721" s="17" t="n">
        <v>4.51</v>
      </c>
      <c r="J721" s="18" t="n">
        <v>16.08</v>
      </c>
      <c r="K721" s="19" t="inlineStr">
        <is>
          <t>Completed</t>
        </is>
      </c>
      <c r="L721" s="20" t="inlineStr">
        <is>
          <t>Privately Held (backing)</t>
        </is>
      </c>
      <c r="M721" s="21" t="inlineStr">
        <is>
          <t>Venture Capital-Backed</t>
        </is>
      </c>
      <c r="N721" s="22" t="inlineStr">
        <is>
          <t>The company raised $4.51 million of Series A venture funding from individual investor Jan Van Caneghem, Pacific Sky Investments and Tencent Industry Win-Win Fund on March 31, 2015, putting the pre-money valuation at $11.57 million.</t>
        </is>
      </c>
      <c r="O721" s="23" t="inlineStr">
        <is>
          <t>Individual Investor, Pacific Sky Investments, Tencent Industry Win-Win Fund</t>
        </is>
      </c>
      <c r="P721" s="24" t="inlineStr">
        <is>
          <t/>
        </is>
      </c>
      <c r="Q721" s="25" t="inlineStr">
        <is>
          <t>Entertainment Software</t>
        </is>
      </c>
      <c r="R721" s="26" t="inlineStr">
        <is>
          <t>Operator of a mobile gaming company. The company operates a mobile studio for producing and publishing games for mobile operating systems.</t>
        </is>
      </c>
      <c r="S721" s="27" t="inlineStr">
        <is>
          <t>Los Angeles, CA</t>
        </is>
      </c>
      <c r="T721" s="28" t="inlineStr">
        <is>
          <t>www.vcmobile.net</t>
        </is>
      </c>
      <c r="U721" s="131">
        <f>HYPERLINK("https://my.pitchbook.com?c=114632-02", "View company online")</f>
      </c>
    </row>
    <row r="722">
      <c r="A722" s="30" t="inlineStr">
        <is>
          <t>51687-10</t>
        </is>
      </c>
      <c r="B722" s="31" t="inlineStr">
        <is>
          <t>VBrick Systems</t>
        </is>
      </c>
      <c r="C722" s="32" t="inlineStr">
        <is>
          <t/>
        </is>
      </c>
      <c r="D722" s="33" t="n">
        <v>-0.1828965898808282</v>
      </c>
      <c r="E722" s="34" t="n">
        <v>9.228749541203484</v>
      </c>
      <c r="F722" s="35" t="n">
        <v>42327.0</v>
      </c>
      <c r="G722" s="36" t="inlineStr">
        <is>
          <t>Convertible Debt</t>
        </is>
      </c>
      <c r="H722" s="37" t="inlineStr">
        <is>
          <t/>
        </is>
      </c>
      <c r="I722" s="38" t="n">
        <v>2.6</v>
      </c>
      <c r="J722" s="39" t="inlineStr">
        <is>
          <t/>
        </is>
      </c>
      <c r="K722" s="40" t="inlineStr">
        <is>
          <t>Completed</t>
        </is>
      </c>
      <c r="L722" s="41" t="inlineStr">
        <is>
          <t>Privately Held (backing)</t>
        </is>
      </c>
      <c r="M722" s="42" t="inlineStr">
        <is>
          <t>Venture Capital-Backed</t>
        </is>
      </c>
      <c r="N722" s="43" t="inlineStr">
        <is>
          <t>The company raised $2.6 million of convertible debt financing from undisclosed investors on November 19, 2015.</t>
        </is>
      </c>
      <c r="O722" s="44" t="inlineStr">
        <is>
          <t>Acme Nova Partners, Adams Capital Management, Claflin Capital Management, Draper Fisher Jurvetson Portage, Greystone Ventures, Horizon Technology Finance, Knickerbocker Management, Menlo Ventures, Morgan Stanley Expansion Capital, RedShift Ventures, Two Rivers Associates</t>
        </is>
      </c>
      <c r="P722" s="45" t="inlineStr">
        <is>
          <t/>
        </is>
      </c>
      <c r="Q722" s="46" t="inlineStr">
        <is>
          <t>Social/Platform Software</t>
        </is>
      </c>
      <c r="R722" s="47" t="inlineStr">
        <is>
          <t>Provider of an enterprise video platform intended to offer webcasting and video content management services. The company's enterprise video platform develops software and appliances that helps in the creation, publishing and distribution of streaming video over standard IP networks and the Internet, enabling organizations to create, manage and distribute media information from virtually any source.</t>
        </is>
      </c>
      <c r="S722" s="48" t="inlineStr">
        <is>
          <t>Herndon, VA</t>
        </is>
      </c>
      <c r="T722" s="49" t="inlineStr">
        <is>
          <t>www.vbrick.com</t>
        </is>
      </c>
      <c r="U722" s="132">
        <f>HYPERLINK("https://my.pitchbook.com?c=51687-10", "View company online")</f>
      </c>
    </row>
    <row r="723">
      <c r="A723" s="9" t="inlineStr">
        <is>
          <t>42934-60</t>
        </is>
      </c>
      <c r="B723" s="10" t="inlineStr">
        <is>
          <t>Vayusphere</t>
        </is>
      </c>
      <c r="C723" s="11" t="inlineStr">
        <is>
          <t/>
        </is>
      </c>
      <c r="D723" s="12" t="n">
        <v>0.0</v>
      </c>
      <c r="E723" s="13" t="n">
        <v>1.0431506540754882</v>
      </c>
      <c r="F723" s="14" t="inlineStr">
        <is>
          <t/>
        </is>
      </c>
      <c r="G723" s="15" t="inlineStr">
        <is>
          <t>Early Stage VC</t>
        </is>
      </c>
      <c r="H723" s="16" t="inlineStr">
        <is>
          <t/>
        </is>
      </c>
      <c r="I723" s="17" t="inlineStr">
        <is>
          <t/>
        </is>
      </c>
      <c r="J723" s="18" t="inlineStr">
        <is>
          <t/>
        </is>
      </c>
      <c r="K723" s="19" t="inlineStr">
        <is>
          <t>Completed</t>
        </is>
      </c>
      <c r="L723" s="20" t="inlineStr">
        <is>
          <t>Privately Held (backing)</t>
        </is>
      </c>
      <c r="M723" s="21" t="inlineStr">
        <is>
          <t>Venture Capital-Backed</t>
        </is>
      </c>
      <c r="N723" s="22" t="inlineStr">
        <is>
          <t>The company raised venture funding from lead investor Benchmark Capital on an undisclosed date. Hercules Capital, Marc Andreessen and other undisclosed investors also participated in this round.</t>
        </is>
      </c>
      <c r="O723" s="23" t="inlineStr">
        <is>
          <t>Benchmark Capital, Hercules Capital, Individual Investor</t>
        </is>
      </c>
      <c r="P723" s="24" t="inlineStr">
        <is>
          <t/>
        </is>
      </c>
      <c r="Q723" s="25" t="inlineStr">
        <is>
          <t>Automation/Workflow Software</t>
        </is>
      </c>
      <c r="R723" s="26" t="inlineStr">
        <is>
          <t>Developer of a server software to manage business events. The company provides a platform for creating real-time dashboard for querying any enterprise application.</t>
        </is>
      </c>
      <c r="S723" s="27" t="inlineStr">
        <is>
          <t>Mountain View, CA</t>
        </is>
      </c>
      <c r="T723" s="28" t="inlineStr">
        <is>
          <t>www.vayusphere.com</t>
        </is>
      </c>
      <c r="U723" s="131">
        <f>HYPERLINK("https://my.pitchbook.com?c=42934-60", "View company online")</f>
      </c>
    </row>
    <row r="724">
      <c r="A724" s="30" t="inlineStr">
        <is>
          <t>52841-44</t>
        </is>
      </c>
      <c r="B724" s="31" t="inlineStr">
        <is>
          <t>Vaxart</t>
        </is>
      </c>
      <c r="C724" s="32" t="inlineStr">
        <is>
          <t/>
        </is>
      </c>
      <c r="D724" s="33" t="n">
        <v>0.0</v>
      </c>
      <c r="E724" s="34" t="n">
        <v>0.6787812657377874</v>
      </c>
      <c r="F724" s="35" t="n">
        <v>42339.0</v>
      </c>
      <c r="G724" s="36" t="inlineStr">
        <is>
          <t>Angel (individual)</t>
        </is>
      </c>
      <c r="H724" s="37" t="inlineStr">
        <is>
          <t>Angel</t>
        </is>
      </c>
      <c r="I724" s="38" t="n">
        <v>0.27</v>
      </c>
      <c r="J724" s="39" t="inlineStr">
        <is>
          <t/>
        </is>
      </c>
      <c r="K724" s="40" t="inlineStr">
        <is>
          <t>Completed</t>
        </is>
      </c>
      <c r="L724" s="41" t="inlineStr">
        <is>
          <t>Privately Held (backing)</t>
        </is>
      </c>
      <c r="M724" s="42" t="inlineStr">
        <is>
          <t>Venture Capital-Backed</t>
        </is>
      </c>
      <c r="N724" s="43" t="inlineStr">
        <is>
          <t>The company raised $265,000 of angel funding from Life Science Angels on Dec 1, 2015. Previously, the company raised $18.4 million of convertible debt financing in a deal led by Care Capital on January 8, 2015. Life Science Angels and other undisclosed investors also participated in the round.</t>
        </is>
      </c>
      <c r="O724" s="44" t="inlineStr">
        <is>
          <t>Bay Partners, Care Capital, Karl Handelsman, Life Science Angels, Quantum Technology Partners, Salil Deshpande, Sand Hill Angels, Xandex Investments</t>
        </is>
      </c>
      <c r="P724" s="45" t="inlineStr">
        <is>
          <t/>
        </is>
      </c>
      <c r="Q724" s="46" t="inlineStr">
        <is>
          <t>Drug Discovery</t>
        </is>
      </c>
      <c r="R724" s="47" t="inlineStr">
        <is>
          <t>Developer of oral vaccines. The company focuses on developing oral recombinant vaccines based on its proprietary oral vaccine delivery platform.</t>
        </is>
      </c>
      <c r="S724" s="48" t="inlineStr">
        <is>
          <t>South San Francisco, CA</t>
        </is>
      </c>
      <c r="T724" s="49" t="inlineStr">
        <is>
          <t>www.vaxart.com</t>
        </is>
      </c>
      <c r="U724" s="132">
        <f>HYPERLINK("https://my.pitchbook.com?c=52841-44", "View company online")</f>
      </c>
    </row>
    <row r="725">
      <c r="A725" s="9" t="inlineStr">
        <is>
          <t>125207-47</t>
        </is>
      </c>
      <c r="B725" s="10" t="inlineStr">
        <is>
          <t>Vave Health</t>
        </is>
      </c>
      <c r="C725" s="11" t="inlineStr">
        <is>
          <t/>
        </is>
      </c>
      <c r="D725" s="12" t="n">
        <v>0.0</v>
      </c>
      <c r="E725" s="13" t="n">
        <v>0.007453416149068323</v>
      </c>
      <c r="F725" s="14" t="inlineStr">
        <is>
          <t/>
        </is>
      </c>
      <c r="G725" s="15" t="inlineStr">
        <is>
          <t>Early Stage VC</t>
        </is>
      </c>
      <c r="H725" s="16" t="inlineStr">
        <is>
          <t/>
        </is>
      </c>
      <c r="I725" s="17" t="inlineStr">
        <is>
          <t/>
        </is>
      </c>
      <c r="J725" s="18" t="inlineStr">
        <is>
          <t/>
        </is>
      </c>
      <c r="K725" s="19" t="inlineStr">
        <is>
          <t>Completed</t>
        </is>
      </c>
      <c r="L725" s="20" t="inlineStr">
        <is>
          <t>Privately Held (backing)</t>
        </is>
      </c>
      <c r="M725" s="21" t="inlineStr">
        <is>
          <t>Venture Capital-Backed</t>
        </is>
      </c>
      <c r="N725" s="22" t="inlineStr">
        <is>
          <t>The company raised venture funding from RONA Holdings and Cota Capital on an undisclosed date.</t>
        </is>
      </c>
      <c r="O725" s="23" t="inlineStr">
        <is>
          <t>Cota Capital, RONA Holdings</t>
        </is>
      </c>
      <c r="P725" s="24" t="inlineStr">
        <is>
          <t/>
        </is>
      </c>
      <c r="Q725" s="25" t="inlineStr">
        <is>
          <t>Other Healthcare Technology Systems</t>
        </is>
      </c>
      <c r="R725" s="26" t="inlineStr">
        <is>
          <t>Developer of a digital healthcare platform designed to deliver better care, improve patient experience, and drive healthcare efficiency.</t>
        </is>
      </c>
      <c r="S725" s="27" t="inlineStr">
        <is>
          <t>Redwood City, CA</t>
        </is>
      </c>
      <c r="T725" s="28" t="inlineStr">
        <is>
          <t>www.vavehealth.com</t>
        </is>
      </c>
      <c r="U725" s="131">
        <f>HYPERLINK("https://my.pitchbook.com?c=125207-47", "View company online")</f>
      </c>
    </row>
    <row r="726">
      <c r="A726" s="30" t="inlineStr">
        <is>
          <t>127540-81</t>
        </is>
      </c>
      <c r="B726" s="31" t="inlineStr">
        <is>
          <t>VaultRMS</t>
        </is>
      </c>
      <c r="C726" s="32" t="inlineStr">
        <is>
          <t/>
        </is>
      </c>
      <c r="D726" s="33" t="n">
        <v>0.24524389298098448</v>
      </c>
      <c r="E726" s="34" t="n">
        <v>16.647106712987334</v>
      </c>
      <c r="F726" s="35" t="inlineStr">
        <is>
          <t/>
        </is>
      </c>
      <c r="G726" s="36" t="inlineStr">
        <is>
          <t>Convertible Debt</t>
        </is>
      </c>
      <c r="H726" s="37" t="inlineStr">
        <is>
          <t/>
        </is>
      </c>
      <c r="I726" s="38" t="inlineStr">
        <is>
          <t/>
        </is>
      </c>
      <c r="J726" s="39" t="inlineStr">
        <is>
          <t/>
        </is>
      </c>
      <c r="K726" s="40" t="inlineStr">
        <is>
          <t>Upcoming</t>
        </is>
      </c>
      <c r="L726" s="41" t="inlineStr">
        <is>
          <t>Privately Held (backing)</t>
        </is>
      </c>
      <c r="M726" s="42" t="inlineStr">
        <is>
          <t>Venture Capital-Backed</t>
        </is>
      </c>
      <c r="N726" s="43" t="inlineStr">
        <is>
          <t>The company is planning to raise a round of convertible debt financing in April 2017. Previously, the company raised $1.3 million of seed funding from in a deal led by Bill Miller and Keshif Ventures on August 1, 2016. Right Side Capital also participated in the round. The company intends to use the funds to develop additional strategic partnerships with hardware manufacturers, wearable companies and traditional software companies in the space.</t>
        </is>
      </c>
      <c r="O726" s="44" t="inlineStr">
        <is>
          <t>Bill Miller, Keshif Ventures, Right Side Capital Management, San Diego Regional Economic Development Corporation, Village Capital</t>
        </is>
      </c>
      <c r="P726" s="45" t="inlineStr">
        <is>
          <t/>
        </is>
      </c>
      <c r="Q726" s="46" t="inlineStr">
        <is>
          <t>Systems and Information Management</t>
        </is>
      </c>
      <c r="R726" s="47" t="inlineStr">
        <is>
          <t>Provider of a cloud-based technology platform that captures data around the toxic exposures firefighters face every day. The company's platform enables users to document and access exposure data on any internet-connected device. It also enables users to integrate traditional records systems, wearable devices, heat, chemical sensors and add objective data about their role at an incident.</t>
        </is>
      </c>
      <c r="S726" s="48" t="inlineStr">
        <is>
          <t>San Diego, CA</t>
        </is>
      </c>
      <c r="T726" s="49" t="inlineStr">
        <is>
          <t>www.vaultexposuretracker.com</t>
        </is>
      </c>
      <c r="U726" s="132">
        <f>HYPERLINK("https://my.pitchbook.com?c=127540-81", "View company online")</f>
      </c>
    </row>
    <row r="727">
      <c r="A727" s="9" t="inlineStr">
        <is>
          <t>57882-34</t>
        </is>
      </c>
      <c r="B727" s="10" t="inlineStr">
        <is>
          <t>Vaultize</t>
        </is>
      </c>
      <c r="C727" s="97">
        <f>HYPERLINK("https://my.pitchbook.com?rrp=57882-34&amp;type=c", "This Company's information is not available to download. Need this Company? Request availability")</f>
      </c>
      <c r="D727" s="12" t="inlineStr">
        <is>
          <t/>
        </is>
      </c>
      <c r="E727" s="13" t="inlineStr">
        <is>
          <t/>
        </is>
      </c>
      <c r="F727" s="14" t="inlineStr">
        <is>
          <t/>
        </is>
      </c>
      <c r="G727" s="15" t="inlineStr">
        <is>
          <t/>
        </is>
      </c>
      <c r="H727" s="16" t="inlineStr">
        <is>
          <t/>
        </is>
      </c>
      <c r="I727" s="17" t="inlineStr">
        <is>
          <t/>
        </is>
      </c>
      <c r="J727" s="18" t="inlineStr">
        <is>
          <t/>
        </is>
      </c>
      <c r="K727" s="19" t="inlineStr">
        <is>
          <t/>
        </is>
      </c>
      <c r="L727" s="20" t="inlineStr">
        <is>
          <t/>
        </is>
      </c>
      <c r="M727" s="21" t="inlineStr">
        <is>
          <t/>
        </is>
      </c>
      <c r="N727" s="22" t="inlineStr">
        <is>
          <t/>
        </is>
      </c>
      <c r="O727" s="23" t="inlineStr">
        <is>
          <t/>
        </is>
      </c>
      <c r="P727" s="24" t="inlineStr">
        <is>
          <t/>
        </is>
      </c>
      <c r="Q727" s="25" t="inlineStr">
        <is>
          <t/>
        </is>
      </c>
      <c r="R727" s="26" t="inlineStr">
        <is>
          <t/>
        </is>
      </c>
      <c r="S727" s="27" t="inlineStr">
        <is>
          <t/>
        </is>
      </c>
      <c r="T727" s="28" t="inlineStr">
        <is>
          <t/>
        </is>
      </c>
      <c r="U727" s="29" t="inlineStr">
        <is>
          <t/>
        </is>
      </c>
    </row>
    <row r="728">
      <c r="A728" s="30" t="inlineStr">
        <is>
          <t>107834-68</t>
        </is>
      </c>
      <c r="B728" s="31" t="inlineStr">
        <is>
          <t>Vault12</t>
        </is>
      </c>
      <c r="C728" s="32" t="inlineStr">
        <is>
          <t/>
        </is>
      </c>
      <c r="D728" s="33" t="n">
        <v>0.0</v>
      </c>
      <c r="E728" s="34" t="n">
        <v>0.11299435028248588</v>
      </c>
      <c r="F728" s="35" t="n">
        <v>41969.0</v>
      </c>
      <c r="G728" s="36" t="inlineStr">
        <is>
          <t>Seed Round</t>
        </is>
      </c>
      <c r="H728" s="37" t="inlineStr">
        <is>
          <t>Seed</t>
        </is>
      </c>
      <c r="I728" s="38" t="n">
        <v>1.48</v>
      </c>
      <c r="J728" s="39" t="n">
        <v>14.15</v>
      </c>
      <c r="K728" s="40" t="inlineStr">
        <is>
          <t>Completed</t>
        </is>
      </c>
      <c r="L728" s="41" t="inlineStr">
        <is>
          <t>Privately Held (backing)</t>
        </is>
      </c>
      <c r="M728" s="42" t="inlineStr">
        <is>
          <t>Venture Capital-Backed</t>
        </is>
      </c>
      <c r="N728" s="43" t="inlineStr">
        <is>
          <t>The company raised $1.475 million of Series Seed funding from Bradley Feld and Sumit Gupta on November 26, 2014, putting the pre-money valuation at $12.65 million. Adam Schwartz, Jared Kopf, Jason Seats, Jay Gould, Kenny Van Zant, Lance White, Rakesh Agrawal, Maneesh Arora, Seth Goldstein Oliver Thylmann, Ty Danco and Naval Ravikant also participated.</t>
        </is>
      </c>
      <c r="O728" s="44" t="inlineStr">
        <is>
          <t>Adam Schwartz, Bradley Feld, Jared Kopf, Jason Seats, Jay Gould, Kenny Van Zant, Lance White, Maneesh Arora, Naval Ravikant, Oliver Thylmann, Rakesh Agrawal, Seth Goldstein, Sumit Gupta, Walter Danco</t>
        </is>
      </c>
      <c r="P728" s="45" t="inlineStr">
        <is>
          <t/>
        </is>
      </c>
      <c r="Q728" s="46" t="inlineStr">
        <is>
          <t>Financial Software</t>
        </is>
      </c>
      <c r="R728" s="47" t="inlineStr">
        <is>
          <t>Developer of internet currency technology. The company is creating a mobile product to make Bitcoin commerce safe and accessible to to non-technical consumers.</t>
        </is>
      </c>
      <c r="S728" s="48" t="inlineStr">
        <is>
          <t>Walnut, CA</t>
        </is>
      </c>
      <c r="T728" s="49" t="inlineStr">
        <is>
          <t/>
        </is>
      </c>
      <c r="U728" s="132">
        <f>HYPERLINK("https://my.pitchbook.com?c=107834-68", "View company online")</f>
      </c>
    </row>
    <row r="729">
      <c r="A729" s="9" t="inlineStr">
        <is>
          <t>175218-94</t>
        </is>
      </c>
      <c r="B729" s="10" t="inlineStr">
        <is>
          <t>Vault Pharma</t>
        </is>
      </c>
      <c r="C729" s="11" t="inlineStr">
        <is>
          <t/>
        </is>
      </c>
      <c r="D729" s="12" t="n">
        <v>0.0</v>
      </c>
      <c r="E729" s="13" t="n">
        <v>0.06779661016949153</v>
      </c>
      <c r="F729" s="14" t="inlineStr">
        <is>
          <t/>
        </is>
      </c>
      <c r="G729" s="15" t="inlineStr">
        <is>
          <t>Early Stage VC</t>
        </is>
      </c>
      <c r="H729" s="16" t="inlineStr">
        <is>
          <t/>
        </is>
      </c>
      <c r="I729" s="17" t="inlineStr">
        <is>
          <t/>
        </is>
      </c>
      <c r="J729" s="18" t="inlineStr">
        <is>
          <t/>
        </is>
      </c>
      <c r="K729" s="19" t="inlineStr">
        <is>
          <t>Completed</t>
        </is>
      </c>
      <c r="L729" s="20" t="inlineStr">
        <is>
          <t>Privately Held (backing)</t>
        </is>
      </c>
      <c r="M729" s="21" t="inlineStr">
        <is>
          <t>Venture Capital-Backed</t>
        </is>
      </c>
      <c r="N729" s="22" t="inlineStr">
        <is>
          <t>The company raised venture funding from Cavendish Impact Capital on an undisclosed date.</t>
        </is>
      </c>
      <c r="O729" s="23" t="inlineStr">
        <is>
          <t>Cavendish Impact Capital</t>
        </is>
      </c>
      <c r="P729" s="24" t="inlineStr">
        <is>
          <t/>
        </is>
      </c>
      <c r="Q729" s="25" t="inlineStr">
        <is>
          <t>Biotechnology</t>
        </is>
      </c>
      <c r="R729" s="26" t="inlineStr">
        <is>
          <t>Provider of a technology platform designed to use the human vault particle to deliver peptide payloads for unique immune signaling. The company's technology platform provides favorable and natural property of vaults sets in motion an elegant and robust immune response that is non-inflammatory and results in many propitious effects including stimulation of extraordinarily high levels of antigen specific CD4 and CD8 T cells, enabling the clients to develop a portfolio of multiple vault-medicines quickly and cost effectively.</t>
        </is>
      </c>
      <c r="S729" s="27" t="inlineStr">
        <is>
          <t>Los Angeles, CA</t>
        </is>
      </c>
      <c r="T729" s="28" t="inlineStr">
        <is>
          <t>www.vaultpharma.com</t>
        </is>
      </c>
      <c r="U729" s="131">
        <f>HYPERLINK("https://my.pitchbook.com?c=175218-94", "View company online")</f>
      </c>
    </row>
    <row r="730">
      <c r="A730" s="30" t="inlineStr">
        <is>
          <t>54648-73</t>
        </is>
      </c>
      <c r="B730" s="31" t="inlineStr">
        <is>
          <t>Vator</t>
        </is>
      </c>
      <c r="C730" s="32" t="inlineStr">
        <is>
          <t/>
        </is>
      </c>
      <c r="D730" s="33" t="n">
        <v>-0.014294633033831241</v>
      </c>
      <c r="E730" s="34" t="n">
        <v>9.435880946216244</v>
      </c>
      <c r="F730" s="35" t="n">
        <v>42430.0</v>
      </c>
      <c r="G730" s="36" t="inlineStr">
        <is>
          <t>Seed Round</t>
        </is>
      </c>
      <c r="H730" s="37" t="inlineStr">
        <is>
          <t>Seed</t>
        </is>
      </c>
      <c r="I730" s="38" t="n">
        <v>0.1</v>
      </c>
      <c r="J730" s="39" t="inlineStr">
        <is>
          <t/>
        </is>
      </c>
      <c r="K730" s="40" t="inlineStr">
        <is>
          <t>Completed</t>
        </is>
      </c>
      <c r="L730" s="41" t="inlineStr">
        <is>
          <t>Privately Held (backing)</t>
        </is>
      </c>
      <c r="M730" s="42" t="inlineStr">
        <is>
          <t>Venture Capital-Backed</t>
        </is>
      </c>
      <c r="N730" s="43" t="inlineStr">
        <is>
          <t>The company raised $100,000 of seed funding from undisclosed investors in March 2016.</t>
        </is>
      </c>
      <c r="O730" s="44" t="inlineStr">
        <is>
          <t>Anu Nigam, Barry Silbert, Drew Curtis, Georges Harik, Individual Investor, Peter Thiel, Richard Rosenblatt, Venture Farm, Wavemaker Partners</t>
        </is>
      </c>
      <c r="P730" s="45" t="inlineStr">
        <is>
          <t/>
        </is>
      </c>
      <c r="Q730" s="46" t="inlineStr">
        <is>
          <t>Media and Information Services (B2B)</t>
        </is>
      </c>
      <c r="R730" s="47" t="inlineStr">
        <is>
          <t>Provider of a professional resource marketplace. The company provides a professional network for users to add content about entrepreneurial ideas, activities, businesses and services, primarily through videos.</t>
        </is>
      </c>
      <c r="S730" s="48" t="inlineStr">
        <is>
          <t>Alameda, CA</t>
        </is>
      </c>
      <c r="T730" s="49" t="inlineStr">
        <is>
          <t>www.vator.tv</t>
        </is>
      </c>
      <c r="U730" s="132">
        <f>HYPERLINK("https://my.pitchbook.com?c=54648-73", "View company online")</f>
      </c>
    </row>
    <row r="731">
      <c r="A731" s="9" t="inlineStr">
        <is>
          <t>58656-61</t>
        </is>
      </c>
      <c r="B731" s="10" t="inlineStr">
        <is>
          <t>Vastrm</t>
        </is>
      </c>
      <c r="C731" s="11" t="inlineStr">
        <is>
          <t/>
        </is>
      </c>
      <c r="D731" s="12" t="n">
        <v>7.020418496844674E-5</v>
      </c>
      <c r="E731" s="13" t="n">
        <v>2.833778709755128</v>
      </c>
      <c r="F731" s="14" t="n">
        <v>41934.0</v>
      </c>
      <c r="G731" s="15" t="inlineStr">
        <is>
          <t>Early Stage VC</t>
        </is>
      </c>
      <c r="H731" s="16" t="inlineStr">
        <is>
          <t/>
        </is>
      </c>
      <c r="I731" s="17" t="n">
        <v>0.65</v>
      </c>
      <c r="J731" s="18" t="inlineStr">
        <is>
          <t/>
        </is>
      </c>
      <c r="K731" s="19" t="inlineStr">
        <is>
          <t>Completed</t>
        </is>
      </c>
      <c r="L731" s="20" t="inlineStr">
        <is>
          <t>Privately Held (backing)</t>
        </is>
      </c>
      <c r="M731" s="21" t="inlineStr">
        <is>
          <t>Venture Capital-Backed</t>
        </is>
      </c>
      <c r="N731" s="22" t="inlineStr">
        <is>
          <t>The company raised $650,000 of venture funding from Aventura VC and other undisclosed investors on October 22, 2014.</t>
        </is>
      </c>
      <c r="O731" s="23" t="inlineStr">
        <is>
          <t>Andreessen Horowitz, Aventura VC, Columbus Nova Technology Partners, David Hehman, General Catalyst Partners, Ignition Venture Partners, Individual Investor, Quest Venture Partners, Saad AlSogair, Start Fund, SV Angel, Victor Young, Will Smith, Y Combinator</t>
        </is>
      </c>
      <c r="P731" s="24" t="inlineStr">
        <is>
          <t/>
        </is>
      </c>
      <c r="Q731" s="25" t="inlineStr">
        <is>
          <t>Clothing</t>
        </is>
      </c>
      <c r="R731" s="26" t="inlineStr">
        <is>
          <t>Manufacturer of customized fit mens' shirts. The company allow users to create their own polo shirts by selecting various trims for fabric, collar, cuff, pocket, side vents and placket types and sells them through the company website.</t>
        </is>
      </c>
      <c r="S731" s="27" t="inlineStr">
        <is>
          <t>Burlingame, CA</t>
        </is>
      </c>
      <c r="T731" s="28" t="inlineStr">
        <is>
          <t>www.vastrm.com</t>
        </is>
      </c>
      <c r="U731" s="131">
        <f>HYPERLINK("https://my.pitchbook.com?c=58656-61", "View company online")</f>
      </c>
    </row>
    <row r="732">
      <c r="A732" s="30" t="inlineStr">
        <is>
          <t>53302-15</t>
        </is>
      </c>
      <c r="B732" s="31" t="inlineStr">
        <is>
          <t>Vasona Networks</t>
        </is>
      </c>
      <c r="C732" s="32" t="inlineStr">
        <is>
          <t/>
        </is>
      </c>
      <c r="D732" s="33" t="n">
        <v>-0.1936954418095957</v>
      </c>
      <c r="E732" s="34" t="n">
        <v>2.3911427139319548</v>
      </c>
      <c r="F732" s="35" t="n">
        <v>42466.0</v>
      </c>
      <c r="G732" s="36" t="inlineStr">
        <is>
          <t>Later Stage VC</t>
        </is>
      </c>
      <c r="H732" s="37" t="inlineStr">
        <is>
          <t>Series C</t>
        </is>
      </c>
      <c r="I732" s="38" t="n">
        <v>14.6</v>
      </c>
      <c r="J732" s="39" t="n">
        <v>68.92</v>
      </c>
      <c r="K732" s="40" t="inlineStr">
        <is>
          <t>Completed</t>
        </is>
      </c>
      <c r="L732" s="41" t="inlineStr">
        <is>
          <t>Privately Held (backing)</t>
        </is>
      </c>
      <c r="M732" s="42" t="inlineStr">
        <is>
          <t>Venture Capital-Backed</t>
        </is>
      </c>
      <c r="N732" s="43" t="inlineStr">
        <is>
          <t>The company raised $14.6 million of Series C venture funding from Bessemer Venture Partners, New Venture Partners and NexStar Partners on April 6, 2016, putting the company's pre-money valuation at $54.32 million. The company will use the funding to continue to expand its international deployment and increase its research and development efforts. With the round the company has raised a total of about $48 million in funding to date. Previously, the company raised $4 million of Series B1 venture funding from New Venture Partners and other undisclosed investors on June 15, 2015, putting the pre-money valuation at $37.07 million.</t>
        </is>
      </c>
      <c r="O732" s="44" t="inlineStr">
        <is>
          <t>Bessemer Venture Partners, Matt Salzberg, New Venture Partners, Nexstar Capital Partners, NexStar Partners, Vodafone Ventures</t>
        </is>
      </c>
      <c r="P732" s="45" t="inlineStr">
        <is>
          <t/>
        </is>
      </c>
      <c r="Q732" s="46" t="inlineStr">
        <is>
          <t>Other Communications and Networking</t>
        </is>
      </c>
      <c r="R732" s="47" t="inlineStr">
        <is>
          <t>Provider of platforms for mobile network capacity, resource management and edge intelligence. The company provides SmartAIR, an edge application controller and the SmartVISION, an analysis suite elevate operator capabilities to overcome congestion on 3G and 4G networks and to understand network activities for better management and planning.</t>
        </is>
      </c>
      <c r="S732" s="48" t="inlineStr">
        <is>
          <t>San Jose, CA</t>
        </is>
      </c>
      <c r="T732" s="49" t="inlineStr">
        <is>
          <t>www.vasonanetworks.com</t>
        </is>
      </c>
      <c r="U732" s="132">
        <f>HYPERLINK("https://my.pitchbook.com?c=53302-15", "View company online")</f>
      </c>
    </row>
    <row r="733">
      <c r="A733" s="9" t="inlineStr">
        <is>
          <t>58391-11</t>
        </is>
      </c>
      <c r="B733" s="10" t="inlineStr">
        <is>
          <t>Vascular Dynamics</t>
        </is>
      </c>
      <c r="C733" s="11" t="inlineStr">
        <is>
          <t/>
        </is>
      </c>
      <c r="D733" s="12" t="n">
        <v>0.0</v>
      </c>
      <c r="E733" s="13" t="n">
        <v>1.054054054054054</v>
      </c>
      <c r="F733" s="14" t="n">
        <v>42821.0</v>
      </c>
      <c r="G733" s="15" t="inlineStr">
        <is>
          <t>Later Stage VC</t>
        </is>
      </c>
      <c r="H733" s="16" t="inlineStr">
        <is>
          <t>Series C</t>
        </is>
      </c>
      <c r="I733" s="17" t="n">
        <v>10.4</v>
      </c>
      <c r="J733" s="18" t="inlineStr">
        <is>
          <t/>
        </is>
      </c>
      <c r="K733" s="19" t="inlineStr">
        <is>
          <t>Announced/In Progress</t>
        </is>
      </c>
      <c r="L733" s="20" t="inlineStr">
        <is>
          <t>Privately Held (backing)</t>
        </is>
      </c>
      <c r="M733" s="21" t="inlineStr">
        <is>
          <t>Venture Capital-Backed</t>
        </is>
      </c>
      <c r="N733" s="22" t="inlineStr">
        <is>
          <t>The company closed on $10.4 million of Series C convertible debt financing from undisclosed investors on March 27, 2017. The company will use the funds to conduct studies for its investigational MobiusHD system for the treatment of resistant hypertension. Previously, the company raised $16.85 million of Series B venture funding in a deal led by HBM Healthcare Investments on January 9, 2015, putting the pre-money valuation at $40 million. Rainbow Medical, MedFocus Funds and other undisclosed investors also participated in the round. The company is being actively tracked by PitchBook.</t>
        </is>
      </c>
      <c r="O733" s="23" t="inlineStr">
        <is>
          <t>HBM Healthcare Investments, Invus Group, MedFocus Fund, Rainbow Medical</t>
        </is>
      </c>
      <c r="P733" s="24" t="inlineStr">
        <is>
          <t/>
        </is>
      </c>
      <c r="Q733" s="25" t="inlineStr">
        <is>
          <t>Therapeutic Devices</t>
        </is>
      </c>
      <c r="R733" s="26" t="inlineStr">
        <is>
          <t>Operator of a private medical company intended to treat hypertension. The private medical company develops catheter-delivered technologies and investigational endovascular implant that brings a better quality of life by controlling hypertension, using the body's natural mechanism, enabling patients to treat resistant hypertension and reduce the increased risk of heart disease, stroke and kidney disease.</t>
        </is>
      </c>
      <c r="S733" s="27" t="inlineStr">
        <is>
          <t>Mountain View, CA</t>
        </is>
      </c>
      <c r="T733" s="28" t="inlineStr">
        <is>
          <t>www.vasculardynamics.com</t>
        </is>
      </c>
      <c r="U733" s="131">
        <f>HYPERLINK("https://my.pitchbook.com?c=58391-11", "View company online")</f>
      </c>
    </row>
    <row r="734">
      <c r="A734" s="30" t="inlineStr">
        <is>
          <t>58423-42</t>
        </is>
      </c>
      <c r="B734" s="31" t="inlineStr">
        <is>
          <t>Vascular Closure Systems</t>
        </is>
      </c>
      <c r="C734" s="32" t="inlineStr">
        <is>
          <t/>
        </is>
      </c>
      <c r="D734" s="33" t="n">
        <v>0.0</v>
      </c>
      <c r="E734" s="34" t="n">
        <v>0.21621621621621623</v>
      </c>
      <c r="F734" s="35" t="n">
        <v>39770.0</v>
      </c>
      <c r="G734" s="36" t="inlineStr">
        <is>
          <t>Early Stage VC</t>
        </is>
      </c>
      <c r="H734" s="37" t="inlineStr">
        <is>
          <t/>
        </is>
      </c>
      <c r="I734" s="38" t="n">
        <v>0.15</v>
      </c>
      <c r="J734" s="39" t="inlineStr">
        <is>
          <t/>
        </is>
      </c>
      <c r="K734" s="40" t="inlineStr">
        <is>
          <t>Completed</t>
        </is>
      </c>
      <c r="L734" s="41" t="inlineStr">
        <is>
          <t>Privately Held (backing)</t>
        </is>
      </c>
      <c r="M734" s="42" t="inlineStr">
        <is>
          <t>Venture Capital-Backed</t>
        </is>
      </c>
      <c r="N734" s="43" t="inlineStr">
        <is>
          <t>The company raised Series C venture funding from undisclosed investors on April 19, 2012.</t>
        </is>
      </c>
      <c r="O734" s="44" t="inlineStr">
        <is>
          <t>Trent E. Tucker, WS Investments</t>
        </is>
      </c>
      <c r="P734" s="45" t="inlineStr">
        <is>
          <t/>
        </is>
      </c>
      <c r="Q734" s="46" t="inlineStr">
        <is>
          <t>Other Devices and Supplies</t>
        </is>
      </c>
      <c r="R734" s="47" t="inlineStr">
        <is>
          <t>Developer of vascular access closure technologies. The company provides medical devices and vascular access closure technologies for the interventional cardiology and radiology markets.</t>
        </is>
      </c>
      <c r="S734" s="48" t="inlineStr">
        <is>
          <t>Livermore, CA</t>
        </is>
      </c>
      <c r="T734" s="49" t="inlineStr">
        <is>
          <t>www.vclosure.com</t>
        </is>
      </c>
      <c r="U734" s="132">
        <f>HYPERLINK("https://my.pitchbook.com?c=58423-42", "View company online")</f>
      </c>
    </row>
    <row r="735">
      <c r="A735" s="9" t="inlineStr">
        <is>
          <t>103248-37</t>
        </is>
      </c>
      <c r="B735" s="10" t="inlineStr">
        <is>
          <t>Varsity Tutors</t>
        </is>
      </c>
      <c r="C735" s="11" t="inlineStr">
        <is>
          <t/>
        </is>
      </c>
      <c r="D735" s="12" t="n">
        <v>2.7984608867431495</v>
      </c>
      <c r="E735" s="13" t="n">
        <v>316.00178015419357</v>
      </c>
      <c r="F735" s="14" t="n">
        <v>42318.0</v>
      </c>
      <c r="G735" s="15" t="inlineStr">
        <is>
          <t>Later Stage VC</t>
        </is>
      </c>
      <c r="H735" s="16" t="inlineStr">
        <is>
          <t>Series B</t>
        </is>
      </c>
      <c r="I735" s="17" t="n">
        <v>50.0</v>
      </c>
      <c r="J735" s="18" t="inlineStr">
        <is>
          <t/>
        </is>
      </c>
      <c r="K735" s="19" t="inlineStr">
        <is>
          <t>Completed</t>
        </is>
      </c>
      <c r="L735" s="20" t="inlineStr">
        <is>
          <t>Privately Held (backing)</t>
        </is>
      </c>
      <c r="M735" s="21" t="inlineStr">
        <is>
          <t>Venture Capital-Backed</t>
        </is>
      </c>
      <c r="N735" s="22" t="inlineStr">
        <is>
          <t>The company raised $50 million of Series B venture funding in a deal led by TCV and Adam Levine on November 10, 2015. TriplePoint Venture Growth and Stuart Udell also participated in this round. The funding will be used to fund product improvements related to company's core online live tutoring technology, its mobile applications and its backend infrastructure and logistics systems, as well as further the company's growth toward becoming the world's largest source of free, professional-grade academic content.</t>
        </is>
      </c>
      <c r="O735" s="23" t="inlineStr">
        <is>
          <t>Adam Levine, Chris Sims, David Karandish, Stuart Udell, Technology Crossover Ventures, TriplePoint Venture Growth</t>
        </is>
      </c>
      <c r="P735" s="24" t="inlineStr">
        <is>
          <t/>
        </is>
      </c>
      <c r="Q735" s="25" t="inlineStr">
        <is>
          <t>Educational and Training Services (B2C)</t>
        </is>
      </c>
      <c r="R735" s="26" t="inlineStr">
        <is>
          <t>Provider of an in-home and online tutoring platform. The company offers a live learning platform that connects students with personalized instruction to improve academic achievement.</t>
        </is>
      </c>
      <c r="S735" s="27" t="inlineStr">
        <is>
          <t>Clayton, MO</t>
        </is>
      </c>
      <c r="T735" s="28" t="inlineStr">
        <is>
          <t>www.varsitytutors.com</t>
        </is>
      </c>
      <c r="U735" s="131">
        <f>HYPERLINK("https://my.pitchbook.com?c=103248-37", "View company online")</f>
      </c>
    </row>
    <row r="736">
      <c r="A736" s="30" t="inlineStr">
        <is>
          <t>55942-03</t>
        </is>
      </c>
      <c r="B736" s="31" t="inlineStr">
        <is>
          <t>vArmour</t>
        </is>
      </c>
      <c r="C736" s="32" t="inlineStr">
        <is>
          <t/>
        </is>
      </c>
      <c r="D736" s="33" t="n">
        <v>0.2547868473666899</v>
      </c>
      <c r="E736" s="34" t="n">
        <v>6.619566450332847</v>
      </c>
      <c r="F736" s="35" t="n">
        <v>42514.0</v>
      </c>
      <c r="G736" s="36" t="inlineStr">
        <is>
          <t>Later Stage VC</t>
        </is>
      </c>
      <c r="H736" s="37" t="inlineStr">
        <is>
          <t>Series D</t>
        </is>
      </c>
      <c r="I736" s="38" t="n">
        <v>41.0</v>
      </c>
      <c r="J736" s="39" t="n">
        <v>420.0</v>
      </c>
      <c r="K736" s="40" t="inlineStr">
        <is>
          <t>Completed</t>
        </is>
      </c>
      <c r="L736" s="41" t="inlineStr">
        <is>
          <t>Privately Held (backing)</t>
        </is>
      </c>
      <c r="M736" s="42" t="inlineStr">
        <is>
          <t>Venture Capital-Backed</t>
        </is>
      </c>
      <c r="N736" s="43" t="inlineStr">
        <is>
          <t>The company raised $41 million of Series D venture funding in a deal led by Redline Capital Management and Telstra Ventures on May 24, 2016, putting the pre-money valuation at $382 million. Other undisclosed investors also participated. The funds will be used for global expansion and to accelerate worldwide software distribution of the company's Distributed Security System (DSS) through strategic partners in Asia-Pacific, EMEA and in North America.</t>
        </is>
      </c>
      <c r="O736" s="44" t="inlineStr">
        <is>
          <t>Allegis Capital, Citi Ventures, Columbus Nova Technology Partners, Draper Nexus, Highland Capital Partners, Menlo Ventures, Redline Capital Management, Telstra Ventures, Vanedge Capital, Work-Bench</t>
        </is>
      </c>
      <c r="P736" s="45" t="inlineStr">
        <is>
          <t/>
        </is>
      </c>
      <c r="Q736" s="46" t="inlineStr">
        <is>
          <t>Network Management Software</t>
        </is>
      </c>
      <c r="R736" s="47" t="inlineStr">
        <is>
          <t>Operator of data centers and provider of cloud based security. The company delivers software-based segmentation and micro-segmentation to protect applications and workloads with a distributed security system. The company's product is called DSS Distributed Security System.</t>
        </is>
      </c>
      <c r="S736" s="48" t="inlineStr">
        <is>
          <t>Mountain View, CA</t>
        </is>
      </c>
      <c r="T736" s="49" t="inlineStr">
        <is>
          <t>www.varmour.com</t>
        </is>
      </c>
      <c r="U736" s="132">
        <f>HYPERLINK("https://my.pitchbook.com?c=55942-03", "View company online")</f>
      </c>
    </row>
    <row r="737">
      <c r="A737" s="9" t="inlineStr">
        <is>
          <t>14339-35</t>
        </is>
      </c>
      <c r="B737" s="10" t="inlineStr">
        <is>
          <t>Varentec</t>
        </is>
      </c>
      <c r="C737" s="11" t="inlineStr">
        <is>
          <t/>
        </is>
      </c>
      <c r="D737" s="12" t="n">
        <v>0.0</v>
      </c>
      <c r="E737" s="13" t="n">
        <v>2.2162162162162162</v>
      </c>
      <c r="F737" s="14" t="n">
        <v>42592.0</v>
      </c>
      <c r="G737" s="15" t="inlineStr">
        <is>
          <t>Later Stage VC</t>
        </is>
      </c>
      <c r="H737" s="16" t="inlineStr">
        <is>
          <t>Series C</t>
        </is>
      </c>
      <c r="I737" s="17" t="n">
        <v>13.0</v>
      </c>
      <c r="J737" s="18" t="n">
        <v>47.15</v>
      </c>
      <c r="K737" s="19" t="inlineStr">
        <is>
          <t>Completed</t>
        </is>
      </c>
      <c r="L737" s="20" t="inlineStr">
        <is>
          <t>Privately Held (backing)</t>
        </is>
      </c>
      <c r="M737" s="21" t="inlineStr">
        <is>
          <t>Venture Capital-Backed</t>
        </is>
      </c>
      <c r="N737" s="22" t="inlineStr">
        <is>
          <t>The company raised $13 million of Series C venture funding in a deal led by 3M New Ventures on August 10, 2016, putting the company's pre-money valuation at $34.15 million. Khosla Ventures and Bill Gates also participated in the round. This funds will be used to expand activities internationally and to continue the development of the company's GEMS software platform and ENGO grid edge control devices functionality for deployments across the U.S.</t>
        </is>
      </c>
      <c r="O737" s="23" t="inlineStr">
        <is>
          <t>3M New Ventures, Gates Ventures, Individual Investor, Khosla Ventures, William Gates</t>
        </is>
      </c>
      <c r="P737" s="24" t="inlineStr">
        <is>
          <t/>
        </is>
      </c>
      <c r="Q737" s="25" t="inlineStr">
        <is>
          <t>Electrical Equipment</t>
        </is>
      </c>
      <c r="R737" s="26" t="inlineStr">
        <is>
          <t>Developer of a power electronics equipment designed to help realize a resilient, robust, efficient and affordable electrical distribution system of the future. The company's power electronics equipment operates on technology and direct control grid edge devices to deliver energy savings, electronic-based systems for electric grid and industrial applications, enabling utilities to enhance and transform their power delivery infrastructure, while keeping costs low.</t>
        </is>
      </c>
      <c r="S737" s="27" t="inlineStr">
        <is>
          <t>Santa Clara, CA</t>
        </is>
      </c>
      <c r="T737" s="28" t="inlineStr">
        <is>
          <t>www.varentec.com</t>
        </is>
      </c>
      <c r="U737" s="131">
        <f>HYPERLINK("https://my.pitchbook.com?c=14339-35", "View company online")</f>
      </c>
    </row>
    <row r="738">
      <c r="A738" s="30" t="inlineStr">
        <is>
          <t>107272-36</t>
        </is>
      </c>
      <c r="B738" s="31" t="inlineStr">
        <is>
          <t>Vantiq</t>
        </is>
      </c>
      <c r="C738" s="32" t="inlineStr">
        <is>
          <t/>
        </is>
      </c>
      <c r="D738" s="33" t="n">
        <v>0.0</v>
      </c>
      <c r="E738" s="34" t="n">
        <v>0.37517178195144296</v>
      </c>
      <c r="F738" s="35" t="n">
        <v>42859.0</v>
      </c>
      <c r="G738" s="36" t="inlineStr">
        <is>
          <t>Seed Round</t>
        </is>
      </c>
      <c r="H738" s="37" t="inlineStr">
        <is>
          <t>Seed</t>
        </is>
      </c>
      <c r="I738" s="38" t="n">
        <v>2.5</v>
      </c>
      <c r="J738" s="39" t="n">
        <v>14.6</v>
      </c>
      <c r="K738" s="40" t="inlineStr">
        <is>
          <t>Completed</t>
        </is>
      </c>
      <c r="L738" s="41" t="inlineStr">
        <is>
          <t>Privately Held (backing)</t>
        </is>
      </c>
      <c r="M738" s="42" t="inlineStr">
        <is>
          <t>Venture Capital-Backed</t>
        </is>
      </c>
      <c r="N738" s="43" t="inlineStr">
        <is>
          <t>The company raised $2.5 million of Series Seed-2 venture funding from undisclosed investors on May 4, 2017, putting the pre-money valuation at $12.1 million.</t>
        </is>
      </c>
      <c r="O738" s="44" t="inlineStr">
        <is>
          <t>Raptor Group</t>
        </is>
      </c>
      <c r="P738" s="45" t="inlineStr">
        <is>
          <t/>
        </is>
      </c>
      <c r="Q738" s="46" t="inlineStr">
        <is>
          <t>Software Development Applications</t>
        </is>
      </c>
      <c r="R738" s="47" t="inlineStr">
        <is>
          <t>Provider of a technology platform designed to digitize business while keeping humans in charge. The company's technology platform identify situations by leveraging contextualized data sources of all types to deliver actionable content and micro-targeted recommendations enabling business create software applications that utilize modern technologies in real-time.</t>
        </is>
      </c>
      <c r="S738" s="48" t="inlineStr">
        <is>
          <t>Walnut Creek, CA</t>
        </is>
      </c>
      <c r="T738" s="49" t="inlineStr">
        <is>
          <t>www.vantiq.com</t>
        </is>
      </c>
      <c r="U738" s="132">
        <f>HYPERLINK("https://my.pitchbook.com?c=107272-36", "View company online")</f>
      </c>
    </row>
    <row r="739">
      <c r="A739" s="9" t="inlineStr">
        <is>
          <t>124316-11</t>
        </is>
      </c>
      <c r="B739" s="10" t="inlineStr">
        <is>
          <t>Vantage Robotics</t>
        </is>
      </c>
      <c r="C739" s="11" t="inlineStr">
        <is>
          <t/>
        </is>
      </c>
      <c r="D739" s="12" t="n">
        <v>0.06451495087982889</v>
      </c>
      <c r="E739" s="13" t="n">
        <v>5.771443153333352</v>
      </c>
      <c r="F739" s="14" t="n">
        <v>42860.0</v>
      </c>
      <c r="G739" s="15" t="inlineStr">
        <is>
          <t>Early Stage VC</t>
        </is>
      </c>
      <c r="H739" s="16" t="inlineStr">
        <is>
          <t/>
        </is>
      </c>
      <c r="I739" s="17" t="n">
        <v>0.33</v>
      </c>
      <c r="J739" s="18" t="inlineStr">
        <is>
          <t/>
        </is>
      </c>
      <c r="K739" s="19" t="inlineStr">
        <is>
          <t>Announced/In Progress</t>
        </is>
      </c>
      <c r="L739" s="20" t="inlineStr">
        <is>
          <t>Privately Held (backing)</t>
        </is>
      </c>
      <c r="M739" s="21" t="inlineStr">
        <is>
          <t>Venture Capital-Backed</t>
        </is>
      </c>
      <c r="N739" s="22" t="inlineStr">
        <is>
          <t>The company closed on $330,570 of convertible debt financing from Blue Ivy Ventures and other undisclosed investors on May 5, 2017. The company is being actively tracked by PitchBook.</t>
        </is>
      </c>
      <c r="O739" s="23" t="inlineStr">
        <is>
          <t>Bulldog Innovation Group, Chris Fry, Othman Laraki, Peter Kravtsov, Rothenberg Ventures, Ruvento Ventures, Sand Hill Angels, William Tai, Zak Holdsworth</t>
        </is>
      </c>
      <c r="P739" s="24" t="inlineStr">
        <is>
          <t/>
        </is>
      </c>
      <c r="Q739" s="25" t="inlineStr">
        <is>
          <t>Electronics (B2C)</t>
        </is>
      </c>
      <c r="R739" s="26" t="inlineStr">
        <is>
          <t>Developer of a flying camera designed to capture top quality aerial video. The company's flying camera is the culmination of meticulous engineering and design and offers exceptional, 4k gimbal-stabilized image quality with a tracking mode and in a portable and safe package, enabling users to capture photos and video safely from the air.</t>
        </is>
      </c>
      <c r="S739" s="27" t="inlineStr">
        <is>
          <t>San Francisco, CA</t>
        </is>
      </c>
      <c r="T739" s="28" t="inlineStr">
        <is>
          <t>www.vantagerobotics.com</t>
        </is>
      </c>
      <c r="U739" s="131">
        <f>HYPERLINK("https://my.pitchbook.com?c=124316-11", "View company online")</f>
      </c>
    </row>
    <row r="740">
      <c r="A740" s="30" t="inlineStr">
        <is>
          <t>99486-91</t>
        </is>
      </c>
      <c r="B740" s="31" t="inlineStr">
        <is>
          <t>Vantage Point Analytics</t>
        </is>
      </c>
      <c r="C740" s="32" t="inlineStr">
        <is>
          <t/>
        </is>
      </c>
      <c r="D740" s="33" t="n">
        <v>0.0</v>
      </c>
      <c r="E740" s="34" t="n">
        <v>0.12511252962616265</v>
      </c>
      <c r="F740" s="35" t="n">
        <v>41956.0</v>
      </c>
      <c r="G740" s="36" t="inlineStr">
        <is>
          <t>Early Stage VC</t>
        </is>
      </c>
      <c r="H740" s="37" t="inlineStr">
        <is>
          <t>Series A</t>
        </is>
      </c>
      <c r="I740" s="38" t="n">
        <v>1.6</v>
      </c>
      <c r="J740" s="39" t="n">
        <v>11.78</v>
      </c>
      <c r="K740" s="40" t="inlineStr">
        <is>
          <t>Completed</t>
        </is>
      </c>
      <c r="L740" s="41" t="inlineStr">
        <is>
          <t>Privately Held (backing)</t>
        </is>
      </c>
      <c r="M740" s="42" t="inlineStr">
        <is>
          <t>Venture Capital-Backed</t>
        </is>
      </c>
      <c r="N740" s="43" t="inlineStr">
        <is>
          <t>The company raised $1.6 million of Series A funding from undisclosed investors on November 13, 2014, putting the pre-money valuation at $10.18 million.</t>
        </is>
      </c>
      <c r="O740" s="44" t="inlineStr">
        <is>
          <t/>
        </is>
      </c>
      <c r="P740" s="45" t="inlineStr">
        <is>
          <t/>
        </is>
      </c>
      <c r="Q740" s="46" t="inlineStr">
        <is>
          <t>Other Commercial Services</t>
        </is>
      </c>
      <c r="R740" s="47" t="inlineStr">
        <is>
          <t>Provider of product tracking services. The company's services help in tracking and tracing products across supply chain.</t>
        </is>
      </c>
      <c r="S740" s="48" t="inlineStr">
        <is>
          <t>San Francisco, CA</t>
        </is>
      </c>
      <c r="T740" s="49" t="inlineStr">
        <is>
          <t>www.vantagepointanalytics.com</t>
        </is>
      </c>
      <c r="U740" s="132">
        <f>HYPERLINK("https://my.pitchbook.com?c=99486-91", "View company online")</f>
      </c>
    </row>
    <row r="741">
      <c r="A741" s="9" t="inlineStr">
        <is>
          <t>117958-87</t>
        </is>
      </c>
      <c r="B741" s="10" t="inlineStr">
        <is>
          <t>Vaniday</t>
        </is>
      </c>
      <c r="C741" s="11" t="inlineStr">
        <is>
          <t/>
        </is>
      </c>
      <c r="D741" s="12" t="n">
        <v>0.011849896805625135</v>
      </c>
      <c r="E741" s="13" t="n">
        <v>20.193563855465108</v>
      </c>
      <c r="F741" s="14" t="n">
        <v>42215.0</v>
      </c>
      <c r="G741" s="15" t="inlineStr">
        <is>
          <t>Early Stage VC</t>
        </is>
      </c>
      <c r="H741" s="16" t="inlineStr">
        <is>
          <t>Series A</t>
        </is>
      </c>
      <c r="I741" s="17" t="n">
        <v>16.52</v>
      </c>
      <c r="J741" s="18" t="inlineStr">
        <is>
          <t/>
        </is>
      </c>
      <c r="K741" s="19" t="inlineStr">
        <is>
          <t>Completed</t>
        </is>
      </c>
      <c r="L741" s="20" t="inlineStr">
        <is>
          <t>Privately Held (backing)</t>
        </is>
      </c>
      <c r="M741" s="21" t="inlineStr">
        <is>
          <t>Venture Capital-Backed</t>
        </is>
      </c>
      <c r="N741" s="22" t="inlineStr">
        <is>
          <t>The company raised EUR 15 million of Series A venture funding from Rocket Internet, Asia Pacific Internet Group and Vorwerk Ventures on July 30, 2015. Holtzbrinck Ventures has also participated in the round. The funding will be used by the company to enter in the new market.</t>
        </is>
      </c>
      <c r="O741" s="23" t="inlineStr">
        <is>
          <t>Asia Pacific Internet Group, Holtzbrinck Ventures, Rocket Internet, Vorwerk Ventures</t>
        </is>
      </c>
      <c r="P741" s="24" t="inlineStr">
        <is>
          <t/>
        </is>
      </c>
      <c r="Q741" s="25" t="inlineStr">
        <is>
          <t>Social/Platform Software</t>
        </is>
      </c>
      <c r="R741" s="26" t="inlineStr">
        <is>
          <t>Provider of an online salon search platform designed to let people book haircuts, massages and other beauty and wellness services online. The company's online salon search platform allows customers to look at salons and spas as well as services all in one place, enabling users to pick their preferred salon or service by filtering them by location, desired treatment and customer reviews.</t>
        </is>
      </c>
      <c r="S741" s="27" t="inlineStr">
        <is>
          <t>Sao Paulo, Brazil</t>
        </is>
      </c>
      <c r="T741" s="28" t="inlineStr">
        <is>
          <t>www.vaniday.com.br</t>
        </is>
      </c>
      <c r="U741" s="131">
        <f>HYPERLINK("https://my.pitchbook.com?c=117958-87", "View company online")</f>
      </c>
    </row>
    <row r="742">
      <c r="A742" s="30" t="inlineStr">
        <is>
          <t>104226-22</t>
        </is>
      </c>
      <c r="B742" s="31" t="inlineStr">
        <is>
          <t>Vangoart</t>
        </is>
      </c>
      <c r="C742" s="32" t="inlineStr">
        <is>
          <t/>
        </is>
      </c>
      <c r="D742" s="33" t="n">
        <v>1.4714049430354497</v>
      </c>
      <c r="E742" s="34" t="n">
        <v>20.32491220033593</v>
      </c>
      <c r="F742" s="35" t="inlineStr">
        <is>
          <t/>
        </is>
      </c>
      <c r="G742" s="36" t="inlineStr">
        <is>
          <t>Early Stage VC</t>
        </is>
      </c>
      <c r="H742" s="37" t="inlineStr">
        <is>
          <t/>
        </is>
      </c>
      <c r="I742" s="38" t="inlineStr">
        <is>
          <t/>
        </is>
      </c>
      <c r="J742" s="39" t="inlineStr">
        <is>
          <t/>
        </is>
      </c>
      <c r="K742" s="40" t="inlineStr">
        <is>
          <t>Completed</t>
        </is>
      </c>
      <c r="L742" s="41" t="inlineStr">
        <is>
          <t>Privately Held (backing)</t>
        </is>
      </c>
      <c r="M742" s="42" t="inlineStr">
        <is>
          <t>Venture Capital-Backed</t>
        </is>
      </c>
      <c r="N742" s="43" t="inlineStr">
        <is>
          <t>The company raised venture funding from Arab Angel on an undisclosed date.</t>
        </is>
      </c>
      <c r="O742" s="44" t="inlineStr">
        <is>
          <t>500 Startups, Arab Angel, Aventura VC, Bodley Group, Cheerland Investments Group, Foundry Group, Matt Mullenweg, Peregrine Ventures (California), Peter Kellner, Pulsar Venture Capital, Richard A Clarke, Scott Kosch, Social Starts, Soma Capital, Sparkland Capital, TEC Ventures, Tempo Ventures, Tsingyuan Ventures</t>
        </is>
      </c>
      <c r="P742" s="45" t="inlineStr">
        <is>
          <t/>
        </is>
      </c>
      <c r="Q742" s="46" t="inlineStr">
        <is>
          <t>Internet Retail</t>
        </is>
      </c>
      <c r="R742" s="47" t="inlineStr">
        <is>
          <t>Operator of an online art gallery designed to open up the artwork to all people in the wall decor industry and to make it possible for artists to earn a great living creating art. The company's art gallery connects buyers, both first-time and experienced, to independent artists and offers art and other art related products, enabling art buyers to buy original art and limited edition from emerging artists.</t>
        </is>
      </c>
      <c r="S742" s="48" t="inlineStr">
        <is>
          <t>San Francisco, CA</t>
        </is>
      </c>
      <c r="T742" s="49" t="inlineStr">
        <is>
          <t>www.vangoart.co</t>
        </is>
      </c>
      <c r="U742" s="132">
        <f>HYPERLINK("https://my.pitchbook.com?c=104226-22", "View company online")</f>
      </c>
    </row>
    <row r="743">
      <c r="A743" s="9" t="inlineStr">
        <is>
          <t>102735-55</t>
        </is>
      </c>
      <c r="B743" s="10" t="inlineStr">
        <is>
          <t>Vangard Voice Systems</t>
        </is>
      </c>
      <c r="C743" s="11" t="inlineStr">
        <is>
          <t/>
        </is>
      </c>
      <c r="D743" s="12" t="n">
        <v>0.0</v>
      </c>
      <c r="E743" s="13" t="n">
        <v>0.6486486486486487</v>
      </c>
      <c r="F743" s="14" t="n">
        <v>39799.0</v>
      </c>
      <c r="G743" s="15" t="inlineStr">
        <is>
          <t>Early Stage VC</t>
        </is>
      </c>
      <c r="H743" s="16" t="inlineStr">
        <is>
          <t>Series B</t>
        </is>
      </c>
      <c r="I743" s="17" t="n">
        <v>2.0</v>
      </c>
      <c r="J743" s="18" t="n">
        <v>15.99</v>
      </c>
      <c r="K743" s="19" t="inlineStr">
        <is>
          <t>Completed</t>
        </is>
      </c>
      <c r="L743" s="20" t="inlineStr">
        <is>
          <t>Privately Held (backing)</t>
        </is>
      </c>
      <c r="M743" s="21" t="inlineStr">
        <is>
          <t>Venture Capital-Backed</t>
        </is>
      </c>
      <c r="N743" s="22" t="inlineStr">
        <is>
          <t>The company raised $2 million of Series B venture funding from Berkshire Ventures, LLC on December 17, 2008, putting the company's pre-money valuation at $13.99 million.</t>
        </is>
      </c>
      <c r="O743" s="23" t="inlineStr">
        <is>
          <t>Berkshire Ventures LLC</t>
        </is>
      </c>
      <c r="P743" s="24" t="inlineStr">
        <is>
          <t/>
        </is>
      </c>
      <c r="Q743" s="25" t="inlineStr">
        <is>
          <t>Social/Platform Software</t>
        </is>
      </c>
      <c r="R743" s="26" t="inlineStr">
        <is>
          <t>Provider of a mobile voice platform for enterprise-wide voice deployment. The company enables enterprises to achieve tactical, operational and strategic advantage through the deployment of voice technology to existing mobile applications and business processes.</t>
        </is>
      </c>
      <c r="S743" s="27" t="inlineStr">
        <is>
          <t>Irvine, CA</t>
        </is>
      </c>
      <c r="T743" s="28" t="inlineStr">
        <is>
          <t>www.accuspeechmobile.com</t>
        </is>
      </c>
      <c r="U743" s="131">
        <f>HYPERLINK("https://my.pitchbook.com?c=102735-55", "View company online")</f>
      </c>
    </row>
    <row r="744">
      <c r="A744" s="30" t="inlineStr">
        <is>
          <t>59910-13</t>
        </is>
      </c>
      <c r="B744" s="31" t="inlineStr">
        <is>
          <t>Valuelizer</t>
        </is>
      </c>
      <c r="C744" s="32" t="inlineStr">
        <is>
          <t/>
        </is>
      </c>
      <c r="D744" s="33" t="n">
        <v>-0.010630296826708682</v>
      </c>
      <c r="E744" s="34" t="n">
        <v>4.969279578030499</v>
      </c>
      <c r="F744" s="35" t="inlineStr">
        <is>
          <t/>
        </is>
      </c>
      <c r="G744" s="36" t="inlineStr">
        <is>
          <t>Early Stage VC</t>
        </is>
      </c>
      <c r="H744" s="37" t="inlineStr">
        <is>
          <t/>
        </is>
      </c>
      <c r="I744" s="38" t="inlineStr">
        <is>
          <t/>
        </is>
      </c>
      <c r="J744" s="39" t="inlineStr">
        <is>
          <t/>
        </is>
      </c>
      <c r="K744" s="40" t="inlineStr">
        <is>
          <t>Completed</t>
        </is>
      </c>
      <c r="L744" s="41" t="inlineStr">
        <is>
          <t>Privately Held (backing)</t>
        </is>
      </c>
      <c r="M744" s="42" t="inlineStr">
        <is>
          <t>Venture Capital-Backed</t>
        </is>
      </c>
      <c r="N744" s="43" t="inlineStr">
        <is>
          <t>The company raised venture funding from Altair and Igor Ryabenkiy on an undisclosed date.</t>
        </is>
      </c>
      <c r="O744" s="44" t="inlineStr">
        <is>
          <t>Altair Capital, Igor Ryabenkiy</t>
        </is>
      </c>
      <c r="P744" s="45" t="inlineStr">
        <is>
          <t/>
        </is>
      </c>
      <c r="Q744" s="46" t="inlineStr">
        <is>
          <t>Application Software</t>
        </is>
      </c>
      <c r="R744" s="47" t="inlineStr">
        <is>
          <t>Developer of applications for children. The company develops an application that allows parents to choose and filter content and applications available to their children.</t>
        </is>
      </c>
      <c r="S744" s="48" t="inlineStr">
        <is>
          <t>Los Angeles, CA</t>
        </is>
      </c>
      <c r="T744" s="49" t="inlineStr">
        <is>
          <t>www.valuelizer.com</t>
        </is>
      </c>
      <c r="U744" s="132">
        <f>HYPERLINK("https://my.pitchbook.com?c=59910-13", "View company online")</f>
      </c>
    </row>
    <row r="745">
      <c r="A745" s="9" t="inlineStr">
        <is>
          <t>149987-98</t>
        </is>
      </c>
      <c r="B745" s="10" t="inlineStr">
        <is>
          <t>Valossa</t>
        </is>
      </c>
      <c r="C745" s="11" t="inlineStr">
        <is>
          <t/>
        </is>
      </c>
      <c r="D745" s="12" t="n">
        <v>0.5122742686147179</v>
      </c>
      <c r="E745" s="13" t="n">
        <v>1.054843610849506</v>
      </c>
      <c r="F745" s="14" t="n">
        <v>42359.0</v>
      </c>
      <c r="G745" s="15" t="inlineStr">
        <is>
          <t>Seed Round</t>
        </is>
      </c>
      <c r="H745" s="16" t="inlineStr">
        <is>
          <t>Seed</t>
        </is>
      </c>
      <c r="I745" s="17" t="n">
        <v>0.65</v>
      </c>
      <c r="J745" s="18" t="inlineStr">
        <is>
          <t/>
        </is>
      </c>
      <c r="K745" s="19" t="inlineStr">
        <is>
          <t>Completed</t>
        </is>
      </c>
      <c r="L745" s="20" t="inlineStr">
        <is>
          <t>Privately Held (backing)</t>
        </is>
      </c>
      <c r="M745" s="21" t="inlineStr">
        <is>
          <t>Venture Capital-Backed</t>
        </is>
      </c>
      <c r="N745" s="22" t="inlineStr">
        <is>
          <t>The company raised $650,000 of seed funding in a deal led by Butterfly Ventures on December 21, 2015. Other undisclosed investors also participated.</t>
        </is>
      </c>
      <c r="O745" s="23" t="inlineStr">
        <is>
          <t>Butterfly Ventures, Plug and Play Tech Center</t>
        </is>
      </c>
      <c r="P745" s="24" t="inlineStr">
        <is>
          <t/>
        </is>
      </c>
      <c r="Q745" s="25" t="inlineStr">
        <is>
          <t>Other Software</t>
        </is>
      </c>
      <c r="R745" s="26" t="inlineStr">
        <is>
          <t>Developer of an artificial intelligence (AI)-based audiovisual content search platform designed to monetize videos. The company's audiovisual content search and video identification technology understands content data of videos and provides structured metadata for video summarization and content management, enabling clients to create audiovisual content with visual recognition systems.</t>
        </is>
      </c>
      <c r="S745" s="27" t="inlineStr">
        <is>
          <t>Oulu, Finland</t>
        </is>
      </c>
      <c r="T745" s="28" t="inlineStr">
        <is>
          <t>www.valossa.com</t>
        </is>
      </c>
      <c r="U745" s="131">
        <f>HYPERLINK("https://my.pitchbook.com?c=149987-98", "View company online")</f>
      </c>
    </row>
    <row r="746">
      <c r="A746" s="30" t="inlineStr">
        <is>
          <t>66136-60</t>
        </is>
      </c>
      <c r="B746" s="31" t="inlineStr">
        <is>
          <t>Valor Water Analytics</t>
        </is>
      </c>
      <c r="C746" s="32" t="inlineStr">
        <is>
          <t/>
        </is>
      </c>
      <c r="D746" s="33" t="n">
        <v>0.027624937746619165</v>
      </c>
      <c r="E746" s="34" t="n">
        <v>0.6333385259140601</v>
      </c>
      <c r="F746" s="35" t="n">
        <v>42531.0</v>
      </c>
      <c r="G746" s="36" t="inlineStr">
        <is>
          <t>Early Stage VC</t>
        </is>
      </c>
      <c r="H746" s="37" t="inlineStr">
        <is>
          <t/>
        </is>
      </c>
      <c r="I746" s="38" t="n">
        <v>1.6</v>
      </c>
      <c r="J746" s="39" t="inlineStr">
        <is>
          <t/>
        </is>
      </c>
      <c r="K746" s="40" t="inlineStr">
        <is>
          <t>Completed</t>
        </is>
      </c>
      <c r="L746" s="41" t="inlineStr">
        <is>
          <t>Privately Held (backing)</t>
        </is>
      </c>
      <c r="M746" s="42" t="inlineStr">
        <is>
          <t>Venture Capital-Backed</t>
        </is>
      </c>
      <c r="N746" s="43" t="inlineStr">
        <is>
          <t>The company raised $1.6 million of venture funding from lead investor Shore Ventures II on June 10, 2016. Apsara Capital, Syzygy West, Urban Innovation Fund, 500 Startups, and other undisclosed investors also participated. The company will use funds to expand its business across the United States and to deploy its technology for a large channel partnership just signed, extend its business into additional utility verticals and develop their analytics portfolio beyond meter data and into sensor-based technologies.</t>
        </is>
      </c>
      <c r="O746" s="44" t="inlineStr">
        <is>
          <t>500 Startups, Anonymous Investor, Apsara Capital, Imagine H2O, Shore Ventures II, Syzygy West, Tumml, Y Combinator</t>
        </is>
      </c>
      <c r="P746" s="45" t="inlineStr">
        <is>
          <t/>
        </is>
      </c>
      <c r="Q746" s="46" t="inlineStr">
        <is>
          <t>Environmental Services (B2B)</t>
        </is>
      </c>
      <c r="R746" s="47" t="inlineStr">
        <is>
          <t>Provider of business-intelligence tools for water utilities. The company provides a suite of interactive revenue maximization tools for water utility finance that allows utilities to harness the power of their data and develop provisions to achieve dual goals of water resource and financial sustainability.</t>
        </is>
      </c>
      <c r="S746" s="48" t="inlineStr">
        <is>
          <t>San Francisco, CA</t>
        </is>
      </c>
      <c r="T746" s="49" t="inlineStr">
        <is>
          <t>www.valorwater.com</t>
        </is>
      </c>
      <c r="U746" s="132">
        <f>HYPERLINK("https://my.pitchbook.com?c=66136-60", "View company online")</f>
      </c>
    </row>
    <row r="747">
      <c r="A747" s="9" t="inlineStr">
        <is>
          <t>117592-66</t>
        </is>
      </c>
      <c r="B747" s="10" t="inlineStr">
        <is>
          <t>ValiMail</t>
        </is>
      </c>
      <c r="C747" s="11" t="inlineStr">
        <is>
          <t/>
        </is>
      </c>
      <c r="D747" s="12" t="n">
        <v>1.8364133356811996</v>
      </c>
      <c r="E747" s="13" t="n">
        <v>1.8181783478393647</v>
      </c>
      <c r="F747" s="14" t="n">
        <v>42676.0</v>
      </c>
      <c r="G747" s="15" t="inlineStr">
        <is>
          <t>Early Stage VC</t>
        </is>
      </c>
      <c r="H747" s="16" t="inlineStr">
        <is>
          <t>Series A</t>
        </is>
      </c>
      <c r="I747" s="17" t="n">
        <v>12.0</v>
      </c>
      <c r="J747" s="18" t="n">
        <v>45.11</v>
      </c>
      <c r="K747" s="19" t="inlineStr">
        <is>
          <t>Completed</t>
        </is>
      </c>
      <c r="L747" s="20" t="inlineStr">
        <is>
          <t>Privately Held (backing)</t>
        </is>
      </c>
      <c r="M747" s="21" t="inlineStr">
        <is>
          <t>Venture Capital-Backed</t>
        </is>
      </c>
      <c r="N747" s="22" t="inlineStr">
        <is>
          <t>The company raised $12 million of Series A venture funding in a deal led by Shasta Ventures on November 2, 2016, putting the pre-money valuation at $33.1 million. Flybridge Capital and Bloomberg Beta also participated in the transaction. The company will use the funds to expand adoption for its platform. Previously, the company raised $1.5 million of seed funding from Flybridge Capital Partners and Bloomberg Beta on May 5, 2016, putting the company's pre-money valuation at $5.83 million.</t>
        </is>
      </c>
      <c r="O747" s="23" t="inlineStr">
        <is>
          <t>Bloomberg Beta, Flybridge Capital Partners, Shasta Ventures</t>
        </is>
      </c>
      <c r="P747" s="24" t="inlineStr">
        <is>
          <t/>
        </is>
      </c>
      <c r="Q747" s="25" t="inlineStr">
        <is>
          <t>Social/Platform Software</t>
        </is>
      </c>
      <c r="R747" s="26" t="inlineStr">
        <is>
          <t>Provider of an e-mail authentication platform. The company develops a patent-pending technology that helps companies send out only verified e-mails to employees, partners and end users.</t>
        </is>
      </c>
      <c r="S747" s="27" t="inlineStr">
        <is>
          <t>San Francisco, CA</t>
        </is>
      </c>
      <c r="T747" s="28" t="inlineStr">
        <is>
          <t>www.valimail.com</t>
        </is>
      </c>
      <c r="U747" s="131">
        <f>HYPERLINK("https://my.pitchbook.com?c=117592-66", "View company online")</f>
      </c>
    </row>
    <row r="748">
      <c r="A748" s="30" t="inlineStr">
        <is>
          <t>53816-95</t>
        </is>
      </c>
      <c r="B748" s="31" t="inlineStr">
        <is>
          <t>Valens</t>
        </is>
      </c>
      <c r="C748" s="32" t="inlineStr">
        <is>
          <t/>
        </is>
      </c>
      <c r="D748" s="33" t="n">
        <v>0.0</v>
      </c>
      <c r="E748" s="34" t="n">
        <v>2.4324324324324325</v>
      </c>
      <c r="F748" s="35" t="n">
        <v>42831.0</v>
      </c>
      <c r="G748" s="36" t="inlineStr">
        <is>
          <t>Later Stage VC</t>
        </is>
      </c>
      <c r="H748" s="37" t="inlineStr">
        <is>
          <t/>
        </is>
      </c>
      <c r="I748" s="38" t="n">
        <v>60.0</v>
      </c>
      <c r="J748" s="39" t="inlineStr">
        <is>
          <t/>
        </is>
      </c>
      <c r="K748" s="40" t="inlineStr">
        <is>
          <t>Completed</t>
        </is>
      </c>
      <c r="L748" s="41" t="inlineStr">
        <is>
          <t>Privately Held (backing)</t>
        </is>
      </c>
      <c r="M748" s="42" t="inlineStr">
        <is>
          <t>Venture Capital-Backed</t>
        </is>
      </c>
      <c r="N748" s="43" t="inlineStr">
        <is>
          <t>The company raised $60 million of venture funding in a deal led by Israel Growth Partners (IGP) on April 6, 2017. Delphi Group, Samsung Strategy and Innovation Center, The Goldman Sachs Group, MediaTek and undisclosed existing investors also participated in the round. The company intends to use the funds to speed up time to market, develop additional products per market demands and support customers with design and development projects.</t>
        </is>
      </c>
      <c r="O748" s="44" t="inlineStr">
        <is>
          <t>Amiti Ventures, Aviv Venture Capital, Delphi Automotive, Genesis Partners, Israel Growth Partners, Kreos Capital, Magma Venture Partners, MediaTek, Mitsui Global Investment, Pegatron, Samsung Strategy and Innovation Center, The Goldman Sachs Group</t>
        </is>
      </c>
      <c r="P748" s="45" t="inlineStr">
        <is>
          <t/>
        </is>
      </c>
      <c r="Q748" s="46" t="inlineStr">
        <is>
          <t>Application Specific Semiconductors</t>
        </is>
      </c>
      <c r="R748" s="47" t="inlineStr">
        <is>
          <t>Provider of semiconductor products designed for the distribution of uncompressed high-definition (HD) multimedia content. The company's technology is used for transmitting uncompressed high quality images and audio from the base stations, potentially up to a distance of 100 meters through a single cable, to remote displays as a part of their 5PlayTM system, enabling automotive enterprises to build smarter cars.</t>
        </is>
      </c>
      <c r="S748" s="48" t="inlineStr">
        <is>
          <t>Hod Hasharon, Israel</t>
        </is>
      </c>
      <c r="T748" s="49" t="inlineStr">
        <is>
          <t>www.valens.com</t>
        </is>
      </c>
      <c r="U748" s="132">
        <f>HYPERLINK("https://my.pitchbook.com?c=53816-95", "View company online")</f>
      </c>
    </row>
    <row r="749">
      <c r="A749" s="9" t="inlineStr">
        <is>
          <t>55136-62</t>
        </is>
      </c>
      <c r="B749" s="10" t="inlineStr">
        <is>
          <t>Vadem</t>
        </is>
      </c>
      <c r="C749" s="11" t="inlineStr">
        <is>
          <t/>
        </is>
      </c>
      <c r="D749" s="12" t="n">
        <v>0.007769340487034546</v>
      </c>
      <c r="E749" s="13" t="n">
        <v>6.648648648648648</v>
      </c>
      <c r="F749" s="14" t="inlineStr">
        <is>
          <t/>
        </is>
      </c>
      <c r="G749" s="15" t="inlineStr">
        <is>
          <t>Early Stage VC</t>
        </is>
      </c>
      <c r="H749" s="16" t="inlineStr">
        <is>
          <t/>
        </is>
      </c>
      <c r="I749" s="17" t="n">
        <v>5.1</v>
      </c>
      <c r="J749" s="18" t="inlineStr">
        <is>
          <t/>
        </is>
      </c>
      <c r="K749" s="19" t="inlineStr">
        <is>
          <t>Completed</t>
        </is>
      </c>
      <c r="L749" s="20" t="inlineStr">
        <is>
          <t>Privately Held (backing)</t>
        </is>
      </c>
      <c r="M749" s="21" t="inlineStr">
        <is>
          <t>Venture Capital-Backed</t>
        </is>
      </c>
      <c r="N749" s="22" t="inlineStr">
        <is>
          <t>The company raised $5.1 million of venture funding from Walden International, Fujigin Capital and IVP on an undisclosed date. Mayfield Fund and NEC also participated in the round.</t>
        </is>
      </c>
      <c r="O749" s="23" t="inlineStr">
        <is>
          <t>Fujigin Capital, IVP, Mayfield Fund, NEC Corporation, Walden International</t>
        </is>
      </c>
      <c r="P749" s="24" t="inlineStr">
        <is>
          <t/>
        </is>
      </c>
      <c r="Q749" s="25" t="inlineStr">
        <is>
          <t>Network Management Software</t>
        </is>
      </c>
      <c r="R749" s="26" t="inlineStr">
        <is>
          <t>Provider of blade server management services and internet products and technologies. The company develops software that helps in power management, remote management of server infrastructures and other critical server management functions. It also develops and markets CalliGrapher and PenOffice software providing script handwriting recognition for Win CE and Windows environments and manufactures and sells handheld personal computers, PC card host adapters and integrated circuits.</t>
        </is>
      </c>
      <c r="S749" s="27" t="inlineStr">
        <is>
          <t>Santa Clara, CA</t>
        </is>
      </c>
      <c r="T749" s="28" t="inlineStr">
        <is>
          <t>www.vadem.com</t>
        </is>
      </c>
      <c r="U749" s="131">
        <f>HYPERLINK("https://my.pitchbook.com?c=55136-62", "View company online")</f>
      </c>
    </row>
    <row r="750">
      <c r="A750" s="30" t="inlineStr">
        <is>
          <t>57732-04</t>
        </is>
      </c>
      <c r="B750" s="31" t="inlineStr">
        <is>
          <t>Vacatia</t>
        </is>
      </c>
      <c r="C750" s="32" t="inlineStr">
        <is>
          <t/>
        </is>
      </c>
      <c r="D750" s="33" t="n">
        <v>0.1250394292195184</v>
      </c>
      <c r="E750" s="34" t="n">
        <v>9.03784151295205</v>
      </c>
      <c r="F750" s="35" t="n">
        <v>42619.0</v>
      </c>
      <c r="G750" s="36" t="inlineStr">
        <is>
          <t>Early Stage VC</t>
        </is>
      </c>
      <c r="H750" s="37" t="inlineStr">
        <is>
          <t>Series A</t>
        </is>
      </c>
      <c r="I750" s="38" t="n">
        <v>12.24</v>
      </c>
      <c r="J750" s="39" t="n">
        <v>28.8</v>
      </c>
      <c r="K750" s="40" t="inlineStr">
        <is>
          <t>Completed</t>
        </is>
      </c>
      <c r="L750" s="41" t="inlineStr">
        <is>
          <t>Privately Held (backing)</t>
        </is>
      </c>
      <c r="M750" s="42" t="inlineStr">
        <is>
          <t>Venture Capital-Backed</t>
        </is>
      </c>
      <c r="N750" s="43" t="inlineStr">
        <is>
          <t>The company raised $12.23 million of Series A venture funding in a deal led by Javelin Venture Partners on September 6, 2016, putting the pre-money valuation at $16.56 million. Structure Capital, Grey Wolf VC, Otter Rock Capital, Jaws Ventures, Barry Sternlicht, ZenStone Venture Capital and Brendan Wallace also participated in the round. The funding will be used for hiring, product development and for global expansion.</t>
        </is>
      </c>
      <c r="O750" s="44" t="inlineStr">
        <is>
          <t>Barry Sternlicht, Bee Partners, Brendan Wallace, Chris Sang, Darren Bechtel, David Wu, Douglas Dillard, Egon Durban, Erik Blachford, Eugene Frantz, Greg Waldorf, Grey Wolf VC, Javelin Venture Partners, Jaws Ventures, Maveron, Meyer and Co., Otter Rock Capital, Peterson Partners, Raymond Gellein, Robert Spottswood, Robert Wuttke, Spencer Rascoff, Steven Hankin, Structure Capital, Thomas Byrne, ZenStone Venture Capital</t>
        </is>
      </c>
      <c r="P750" s="45" t="inlineStr">
        <is>
          <t/>
        </is>
      </c>
      <c r="Q750" s="46" t="inlineStr">
        <is>
          <t>Hotels and Resorts</t>
        </is>
      </c>
      <c r="R750" s="47" t="inlineStr">
        <is>
          <t>Provider of a resort rental marketplace for vacationing families. The company provides a vacation rental marketplace for resort residences with search results and instant booking for hospitality, timeshare and independent resorts.</t>
        </is>
      </c>
      <c r="S750" s="48" t="inlineStr">
        <is>
          <t>San Francisco, CA</t>
        </is>
      </c>
      <c r="T750" s="49" t="inlineStr">
        <is>
          <t>www.vacatia.com</t>
        </is>
      </c>
      <c r="U750" s="132">
        <f>HYPERLINK("https://my.pitchbook.com?c=57732-04", "View company online")</f>
      </c>
    </row>
    <row r="751">
      <c r="A751" s="9" t="inlineStr">
        <is>
          <t>153793-72</t>
        </is>
      </c>
      <c r="B751" s="10" t="inlineStr">
        <is>
          <t>V5 Systems</t>
        </is>
      </c>
      <c r="C751" s="11" t="inlineStr">
        <is>
          <t/>
        </is>
      </c>
      <c r="D751" s="12" t="n">
        <v>0.9392288320584408</v>
      </c>
      <c r="E751" s="13" t="n">
        <v>1.28276691524665</v>
      </c>
      <c r="F751" s="14" t="n">
        <v>42843.0</v>
      </c>
      <c r="G751" s="15" t="inlineStr">
        <is>
          <t>Early Stage VC</t>
        </is>
      </c>
      <c r="H751" s="16" t="inlineStr">
        <is>
          <t>Series A2</t>
        </is>
      </c>
      <c r="I751" s="17" t="n">
        <v>12.0</v>
      </c>
      <c r="J751" s="18" t="n">
        <v>80.0</v>
      </c>
      <c r="K751" s="19" t="inlineStr">
        <is>
          <t>Completed</t>
        </is>
      </c>
      <c r="L751" s="20" t="inlineStr">
        <is>
          <t>Privately Held (backing)</t>
        </is>
      </c>
      <c r="M751" s="21" t="inlineStr">
        <is>
          <t>Venture Capital-Backed</t>
        </is>
      </c>
      <c r="N751" s="22" t="inlineStr">
        <is>
          <t>The company raised $12 million of Series A2 venture funding from undisclosed investors on April 18, 2017, putting the pre-money valuation at $68 million.</t>
        </is>
      </c>
      <c r="O751" s="23" t="inlineStr">
        <is>
          <t>Cheng Uei Precision Industry Company</t>
        </is>
      </c>
      <c r="P751" s="24" t="inlineStr">
        <is>
          <t/>
        </is>
      </c>
      <c r="Q751" s="25" t="inlineStr">
        <is>
          <t>Electrical Equipment</t>
        </is>
      </c>
      <c r="R751" s="26" t="inlineStr">
        <is>
          <t>Developer of next-generation portable, wireless, solar powered outdoor security and computing platforms for the industrial IoT. The company's platforms are modular enabling V5 Systems to deploy sophisticated, multiple sensor based solutions including video, acoustic (gunshot detection) and chemical sensors which collect, analyze and relay sensor data for actionable alerts in real-time via on-edge artificial intelligence. The company also allows third-party sensors and software applications to be deployed in any configuration to our open but controlled computing architecture. All of the company's solutions run on V5 Systems proprietary power system that can be deployed in any outdoor environment in under 30 minutes without the limitations of having to tap into fixed power or modify existing land or structures to access the necessary power and connectivity.</t>
        </is>
      </c>
      <c r="S751" s="27" t="inlineStr">
        <is>
          <t>Fremont, CA</t>
        </is>
      </c>
      <c r="T751" s="28" t="inlineStr">
        <is>
          <t>www.v5systems.us</t>
        </is>
      </c>
      <c r="U751" s="131">
        <f>HYPERLINK("https://my.pitchbook.com?c=153793-72", "View company online")</f>
      </c>
    </row>
    <row r="752">
      <c r="A752" s="30" t="inlineStr">
        <is>
          <t>59989-69</t>
        </is>
      </c>
      <c r="B752" s="31" t="inlineStr">
        <is>
          <t>UXPin</t>
        </is>
      </c>
      <c r="C752" s="32" t="inlineStr">
        <is>
          <t/>
        </is>
      </c>
      <c r="D752" s="33" t="n">
        <v>0.5452617959570532</v>
      </c>
      <c r="E752" s="34" t="n">
        <v>115.72877970085044</v>
      </c>
      <c r="F752" s="35" t="n">
        <v>42111.0</v>
      </c>
      <c r="G752" s="36" t="inlineStr">
        <is>
          <t>Early Stage VC</t>
        </is>
      </c>
      <c r="H752" s="37" t="inlineStr">
        <is>
          <t>Series A</t>
        </is>
      </c>
      <c r="I752" s="38" t="n">
        <v>5.0</v>
      </c>
      <c r="J752" s="39" t="n">
        <v>20.0</v>
      </c>
      <c r="K752" s="40" t="inlineStr">
        <is>
          <t>Completed</t>
        </is>
      </c>
      <c r="L752" s="41" t="inlineStr">
        <is>
          <t>Privately Held (backing)</t>
        </is>
      </c>
      <c r="M752" s="42" t="inlineStr">
        <is>
          <t>Venture Capital-Backed</t>
        </is>
      </c>
      <c r="N752" s="43" t="inlineStr">
        <is>
          <t>The company raised $5 million of Series A venture funding in a deal led by True Ventures on April 17, 2015, putting the pre-money valuation at $15 million. Other undisclosed investors also participated in the round.</t>
        </is>
      </c>
      <c r="O752" s="44" t="inlineStr">
        <is>
          <t>Adam Nash, Alexander Rosen, Andreessen Horowitz, Band of Angels, Blackbox, Eric Kagan, Eric Ries, Ethan Beard, Freestyle Capital, Gil Penchina, IDG Ventures USA, Individual Investor, Innovation Nest, Jeffrey Huber, Jonathan Abrams, Joshua Schachter, Julia Popowitz, Kevin Moore, Maneesh Arora, Mansour Salame, Pascal Levy-Garboua, Peter Kellner, True Ventures</t>
        </is>
      </c>
      <c r="P752" s="45" t="inlineStr">
        <is>
          <t/>
        </is>
      </c>
      <c r="Q752" s="46" t="inlineStr">
        <is>
          <t>Application Software</t>
        </is>
      </c>
      <c r="R752" s="47" t="inlineStr">
        <is>
          <t>Developer of cloud based user experience and online design tool. The company provides a platform to UX teams throughout the design process of Websites and mobile applications, with tools for wireframes, prototypes, diagrams, personas, collaboration and research.</t>
        </is>
      </c>
      <c r="S752" s="48" t="inlineStr">
        <is>
          <t>Mountain View, CA</t>
        </is>
      </c>
      <c r="T752" s="49" t="inlineStr">
        <is>
          <t>www.uxpin.com</t>
        </is>
      </c>
      <c r="U752" s="132">
        <f>HYPERLINK("https://my.pitchbook.com?c=59989-69", "View company online")</f>
      </c>
    </row>
    <row r="753">
      <c r="A753" s="9" t="inlineStr">
        <is>
          <t>54388-36</t>
        </is>
      </c>
      <c r="B753" s="10" t="inlineStr">
        <is>
          <t>Uwanna</t>
        </is>
      </c>
      <c r="C753" s="11" t="inlineStr">
        <is>
          <t/>
        </is>
      </c>
      <c r="D753" s="12" t="n">
        <v>0.0</v>
      </c>
      <c r="E753" s="13" t="n">
        <v>0.21927011757520232</v>
      </c>
      <c r="F753" s="14" t="n">
        <v>42143.0</v>
      </c>
      <c r="G753" s="15" t="inlineStr">
        <is>
          <t>Early Stage VC</t>
        </is>
      </c>
      <c r="H753" s="16" t="inlineStr">
        <is>
          <t>Series A2</t>
        </is>
      </c>
      <c r="I753" s="17" t="inlineStr">
        <is>
          <t/>
        </is>
      </c>
      <c r="J753" s="18" t="inlineStr">
        <is>
          <t/>
        </is>
      </c>
      <c r="K753" s="19" t="inlineStr">
        <is>
          <t>Failed/Cancelled</t>
        </is>
      </c>
      <c r="L753" s="20" t="inlineStr">
        <is>
          <t>Privately Held (backing)</t>
        </is>
      </c>
      <c r="M753" s="21" t="inlineStr">
        <is>
          <t>Venture Capital-Backed</t>
        </is>
      </c>
      <c r="N753" s="22" t="inlineStr">
        <is>
          <t>The company was planning to raise Series A2 venture funding from Avalon Ventures and other undisclosed investors on May 19, 2015. Subsequently the deal was cancelled. Prior to that the company raised $1 million of Series A1 venture funding from undisclosed investors on August 6, 2014, putting the company's pre-money valuation at $3.34 million.</t>
        </is>
      </c>
      <c r="O753" s="23" t="inlineStr">
        <is>
          <t>Avalon Ventures</t>
        </is>
      </c>
      <c r="P753" s="24" t="inlineStr">
        <is>
          <t/>
        </is>
      </c>
      <c r="Q753" s="25" t="inlineStr">
        <is>
          <t>Application Software</t>
        </is>
      </c>
      <c r="R753" s="26" t="inlineStr">
        <is>
          <t>Provider of advertising platform integrated with social media networks. The company helps neighborhoods, organizations, meeting events, sporting events and other organizations monetize their mobile websites and smartphone apps with local and national sponsorship's.</t>
        </is>
      </c>
      <c r="S753" s="27" t="inlineStr">
        <is>
          <t>San Diego, CA</t>
        </is>
      </c>
      <c r="T753" s="28" t="inlineStr">
        <is>
          <t>www.uwanna.com</t>
        </is>
      </c>
      <c r="U753" s="131">
        <f>HYPERLINK("https://my.pitchbook.com?c=54388-36", "View company online")</f>
      </c>
    </row>
    <row r="754">
      <c r="A754" s="30" t="inlineStr">
        <is>
          <t>123222-34</t>
        </is>
      </c>
      <c r="B754" s="31" t="inlineStr">
        <is>
          <t>UVify</t>
        </is>
      </c>
      <c r="C754" s="32" t="inlineStr">
        <is>
          <t/>
        </is>
      </c>
      <c r="D754" s="33" t="n">
        <v>0.1616130667435499</v>
      </c>
      <c r="E754" s="34" t="n">
        <v>0.3700423183474031</v>
      </c>
      <c r="F754" s="35" t="n">
        <v>42398.0</v>
      </c>
      <c r="G754" s="36" t="inlineStr">
        <is>
          <t>Early Stage VC</t>
        </is>
      </c>
      <c r="H754" s="37" t="inlineStr">
        <is>
          <t>Series A</t>
        </is>
      </c>
      <c r="I754" s="38" t="n">
        <v>4.0</v>
      </c>
      <c r="J754" s="39" t="n">
        <v>14.63</v>
      </c>
      <c r="K754" s="40" t="inlineStr">
        <is>
          <t>Completed</t>
        </is>
      </c>
      <c r="L754" s="41" t="inlineStr">
        <is>
          <t>Privately Held (backing)</t>
        </is>
      </c>
      <c r="M754" s="42" t="inlineStr">
        <is>
          <t>Venture Capital-Backed</t>
        </is>
      </c>
      <c r="N754" s="43" t="inlineStr">
        <is>
          <t>The company raised $4 million of Series A venture funding from NCSoft on January 29, 2016, putting the company's pre-money valuation at $10.63 million. Earlier, the company had raised $1.01 million of venture funding from K Cube Ventures, Korea Institute of Startup and Entrepreneurship Development and Small and Medium Business Administration on September 2, 2015.</t>
        </is>
      </c>
      <c r="O754" s="44" t="inlineStr">
        <is>
          <t>K Cube Ventures, Korea Institute of Startup and Entrepreneurship Development, NCSoft, Small and Medium Business Administration</t>
        </is>
      </c>
      <c r="P754" s="45" t="inlineStr">
        <is>
          <t/>
        </is>
      </c>
      <c r="Q754" s="46" t="inlineStr">
        <is>
          <t>Aerospace and Defense</t>
        </is>
      </c>
      <c r="R754" s="47" t="inlineStr">
        <is>
          <t>Developer of autonomous unmanned drones. The company is engaged in the design, research and development of unmanned drones to conduct real-time, image-based monitoring of the environment.</t>
        </is>
      </c>
      <c r="S754" s="48" t="inlineStr">
        <is>
          <t>San Jose, CA</t>
        </is>
      </c>
      <c r="T754" s="49" t="inlineStr">
        <is>
          <t>www.uvify.com</t>
        </is>
      </c>
      <c r="U754" s="132">
        <f>HYPERLINK("https://my.pitchbook.com?c=123222-34", "View company online")</f>
      </c>
    </row>
    <row r="755">
      <c r="A755" s="9" t="inlineStr">
        <is>
          <t>120212-38</t>
        </is>
      </c>
      <c r="B755" s="10" t="inlineStr">
        <is>
          <t>Uvamo</t>
        </is>
      </c>
      <c r="C755" s="11" t="inlineStr">
        <is>
          <t/>
        </is>
      </c>
      <c r="D755" s="12" t="n">
        <v>0.0</v>
      </c>
      <c r="E755" s="13" t="n">
        <v>0.5203458116501595</v>
      </c>
      <c r="F755" s="14" t="n">
        <v>42005.0</v>
      </c>
      <c r="G755" s="15" t="inlineStr">
        <is>
          <t>Early Stage VC</t>
        </is>
      </c>
      <c r="H755" s="16" t="inlineStr">
        <is>
          <t/>
        </is>
      </c>
      <c r="I755" s="17" t="inlineStr">
        <is>
          <t/>
        </is>
      </c>
      <c r="J755" s="18" t="inlineStr">
        <is>
          <t/>
        </is>
      </c>
      <c r="K755" s="19" t="inlineStr">
        <is>
          <t>Completed</t>
        </is>
      </c>
      <c r="L755" s="20" t="inlineStr">
        <is>
          <t>Privately Held (backing)</t>
        </is>
      </c>
      <c r="M755" s="21" t="inlineStr">
        <is>
          <t>Venture Capital-Backed</t>
        </is>
      </c>
      <c r="N755" s="22" t="inlineStr">
        <is>
          <t>The company raised an undisclosed amount of venture funding from CrossPacific Capital partners in 2015.</t>
        </is>
      </c>
      <c r="O755" s="23" t="inlineStr">
        <is>
          <t>CrossPacific Capital Partners</t>
        </is>
      </c>
      <c r="P755" s="24" t="inlineStr">
        <is>
          <t/>
        </is>
      </c>
      <c r="Q755" s="25" t="inlineStr">
        <is>
          <t>Internet Retail</t>
        </is>
      </c>
      <c r="R755" s="26" t="inlineStr">
        <is>
          <t>Provider of an online P2P marketplace for insurance. The company operates an online platform through which investors can invest into a pool of property and casualty insurance policies that are offered directly to fellow members.</t>
        </is>
      </c>
      <c r="S755" s="27" t="inlineStr">
        <is>
          <t>Chicago, IL</t>
        </is>
      </c>
      <c r="T755" s="28" t="inlineStr">
        <is>
          <t>www.uvamo.com</t>
        </is>
      </c>
      <c r="U755" s="131">
        <f>HYPERLINK("https://my.pitchbook.com?c=120212-38", "View company online")</f>
      </c>
    </row>
    <row r="756">
      <c r="A756" s="30" t="inlineStr">
        <is>
          <t>103340-71</t>
        </is>
      </c>
      <c r="B756" s="31" t="inlineStr">
        <is>
          <t>uTrack TV</t>
        </is>
      </c>
      <c r="C756" s="32" t="inlineStr">
        <is>
          <t/>
        </is>
      </c>
      <c r="D756" s="33" t="n">
        <v>-0.12001079352491592</v>
      </c>
      <c r="E756" s="34" t="n">
        <v>6.8898691090290205</v>
      </c>
      <c r="F756" s="35" t="n">
        <v>42110.0</v>
      </c>
      <c r="G756" s="36" t="inlineStr">
        <is>
          <t>Accelerator/Incubator</t>
        </is>
      </c>
      <c r="H756" s="37" t="inlineStr">
        <is>
          <t/>
        </is>
      </c>
      <c r="I756" s="38" t="inlineStr">
        <is>
          <t/>
        </is>
      </c>
      <c r="J756" s="39" t="inlineStr">
        <is>
          <t/>
        </is>
      </c>
      <c r="K756" s="40" t="inlineStr">
        <is>
          <t>Completed</t>
        </is>
      </c>
      <c r="L756" s="41" t="inlineStr">
        <is>
          <t>Privately Held (backing)</t>
        </is>
      </c>
      <c r="M756" s="42" t="inlineStr">
        <is>
          <t>Venture Capital-Backed</t>
        </is>
      </c>
      <c r="N756" s="43" t="inlineStr">
        <is>
          <t>The company joined 500 Startups on April 16, 2015.</t>
        </is>
      </c>
      <c r="O756" s="44" t="inlineStr">
        <is>
          <t>500 Startups, Rukn, Tenmou</t>
        </is>
      </c>
      <c r="P756" s="45" t="inlineStr">
        <is>
          <t/>
        </is>
      </c>
      <c r="Q756" s="46" t="inlineStr">
        <is>
          <t>Broadcasting, Radio and Television</t>
        </is>
      </c>
      <c r="R756" s="47" t="inlineStr">
        <is>
          <t>Operator of an online sports television channel. The company's sports channel specializes in live broadcast of any event through mobile application technology which is compatible with any connected device, enabling users to watch with any internet speed available nowadays.</t>
        </is>
      </c>
      <c r="S756" s="48" t="inlineStr">
        <is>
          <t>San Francisco, CA</t>
        </is>
      </c>
      <c r="T756" s="49" t="inlineStr">
        <is>
          <t>www.utrack.live</t>
        </is>
      </c>
      <c r="U756" s="132">
        <f>HYPERLINK("https://my.pitchbook.com?c=103340-71", "View company online")</f>
      </c>
    </row>
    <row r="757">
      <c r="A757" s="9" t="inlineStr">
        <is>
          <t>110528-56</t>
        </is>
      </c>
      <c r="B757" s="10" t="inlineStr">
        <is>
          <t>UtilityAPI</t>
        </is>
      </c>
      <c r="C757" s="11" t="inlineStr">
        <is>
          <t/>
        </is>
      </c>
      <c r="D757" s="12" t="n">
        <v>0.1526648736781156</v>
      </c>
      <c r="E757" s="13" t="n">
        <v>1.101838434391861</v>
      </c>
      <c r="F757" s="14" t="inlineStr">
        <is>
          <t/>
        </is>
      </c>
      <c r="G757" s="15" t="inlineStr">
        <is>
          <t>Angel (individual)</t>
        </is>
      </c>
      <c r="H757" s="16" t="inlineStr">
        <is>
          <t>Angel</t>
        </is>
      </c>
      <c r="I757" s="17" t="inlineStr">
        <is>
          <t/>
        </is>
      </c>
      <c r="J757" s="18" t="inlineStr">
        <is>
          <t/>
        </is>
      </c>
      <c r="K757" s="19" t="inlineStr">
        <is>
          <t>Completed</t>
        </is>
      </c>
      <c r="L757" s="20" t="inlineStr">
        <is>
          <t>Privately Held (backing)</t>
        </is>
      </c>
      <c r="M757" s="21" t="inlineStr">
        <is>
          <t>Venture Capital-Backed</t>
        </is>
      </c>
      <c r="N757" s="22" t="inlineStr">
        <is>
          <t>The company raised angel funding from Golden Angels Investors on an undisclosed date. Previously, the company joined Tumml as part of its Cohort 1 on September 19, 2016 and received $15,000 in funding. As part of the transaction the funding was received as grant.</t>
        </is>
      </c>
      <c r="O757" s="23" t="inlineStr">
        <is>
          <t>Better Ventures, Energy Excelerator, Golden Angels Investors, Investors' Circle, Powerhouse (Accelerator), Tumml, U.S. Department of Energy</t>
        </is>
      </c>
      <c r="P757" s="24" t="inlineStr">
        <is>
          <t/>
        </is>
      </c>
      <c r="Q757" s="25" t="inlineStr">
        <is>
          <t>Application Software</t>
        </is>
      </c>
      <c r="R757" s="26" t="inlineStr">
        <is>
          <t>Provider of energy data analysis and monitoring tools designed to offer utility bills and usage data. The company's energy data analysis and monitoring tools help in evaluating and validating energy usage and savings, enabling energy innovators and property managers to securely share electric utility data.</t>
        </is>
      </c>
      <c r="S757" s="27" t="inlineStr">
        <is>
          <t>Oakland, CA</t>
        </is>
      </c>
      <c r="T757" s="28" t="inlineStr">
        <is>
          <t>www.utilityapi.com</t>
        </is>
      </c>
      <c r="U757" s="131">
        <f>HYPERLINK("https://my.pitchbook.com?c=110528-56", "View company online")</f>
      </c>
    </row>
    <row r="758">
      <c r="A758" s="30" t="inlineStr">
        <is>
          <t>159281-92</t>
        </is>
      </c>
      <c r="B758" s="31" t="inlineStr">
        <is>
          <t>Utilis</t>
        </is>
      </c>
      <c r="C758" s="32" t="inlineStr">
        <is>
          <t/>
        </is>
      </c>
      <c r="D758" s="33" t="n">
        <v>0.03866705769007756</v>
      </c>
      <c r="E758" s="34" t="n">
        <v>0.2769179117005204</v>
      </c>
      <c r="F758" s="35" t="n">
        <v>42810.0</v>
      </c>
      <c r="G758" s="36" t="inlineStr">
        <is>
          <t>Accelerator/Incubator</t>
        </is>
      </c>
      <c r="H758" s="37" t="inlineStr">
        <is>
          <t/>
        </is>
      </c>
      <c r="I758" s="38" t="n">
        <v>0.03</v>
      </c>
      <c r="J758" s="39" t="inlineStr">
        <is>
          <t/>
        </is>
      </c>
      <c r="K758" s="40" t="inlineStr">
        <is>
          <t>Completed</t>
        </is>
      </c>
      <c r="L758" s="41" t="inlineStr">
        <is>
          <t>Privately Held (backing)</t>
        </is>
      </c>
      <c r="M758" s="42" t="inlineStr">
        <is>
          <t>Venture Capital-Backed</t>
        </is>
      </c>
      <c r="N758" s="43" t="inlineStr">
        <is>
          <t>The company joined Imagine H2O as a part of its IH2O accelerator programme on March 16. 2017, and received $25,000 amount in funding.</t>
        </is>
      </c>
      <c r="O758" s="44" t="inlineStr">
        <is>
          <t>Imagine H2O, Maverick Ventures</t>
        </is>
      </c>
      <c r="P758" s="45" t="inlineStr">
        <is>
          <t/>
        </is>
      </c>
      <c r="Q758" s="46" t="inlineStr">
        <is>
          <t>Business/Productivity Software</t>
        </is>
      </c>
      <c r="R758" s="47" t="inlineStr">
        <is>
          <t>Developer of leakage detection software designed to detect underground leaks in potable water supply systems. The company's leakage detection software uses satellite imagery to locate the source and volume of leakage in an urban water network and spot leakage in underground distribution pipes, enabling leakage repairing companies to repair those leakages.</t>
        </is>
      </c>
      <c r="S758" s="48" t="inlineStr">
        <is>
          <t>Rosh Ha'ayin, Israel</t>
        </is>
      </c>
      <c r="T758" s="49" t="inlineStr">
        <is>
          <t>www.utiliscorp.com</t>
        </is>
      </c>
      <c r="U758" s="132">
        <f>HYPERLINK("https://my.pitchbook.com?c=159281-92", "View company online")</f>
      </c>
    </row>
    <row r="759">
      <c r="A759" s="9" t="inlineStr">
        <is>
          <t>61280-20</t>
        </is>
      </c>
      <c r="B759" s="10" t="inlineStr">
        <is>
          <t>UST Global</t>
        </is>
      </c>
      <c r="C759" s="11" t="inlineStr">
        <is>
          <t/>
        </is>
      </c>
      <c r="D759" s="12" t="n">
        <v>0.7802447844596543</v>
      </c>
      <c r="E759" s="13" t="n">
        <v>25.08747613546803</v>
      </c>
      <c r="F759" s="14" t="n">
        <v>42114.0</v>
      </c>
      <c r="G759" s="15" t="inlineStr">
        <is>
          <t>Grant</t>
        </is>
      </c>
      <c r="H759" s="16" t="inlineStr">
        <is>
          <t/>
        </is>
      </c>
      <c r="I759" s="17" t="n">
        <v>30.0</v>
      </c>
      <c r="J759" s="18" t="inlineStr">
        <is>
          <t/>
        </is>
      </c>
      <c r="K759" s="19" t="inlineStr">
        <is>
          <t>Completed</t>
        </is>
      </c>
      <c r="L759" s="20" t="inlineStr">
        <is>
          <t>Privately Held (backing)</t>
        </is>
      </c>
      <c r="M759" s="21" t="inlineStr">
        <is>
          <t>Venture Capital-Backed</t>
        </is>
      </c>
      <c r="N759" s="22" t="inlineStr">
        <is>
          <t>The company received $30 million of grant funding from Madhya Pradesh government on April 20, 2015. The company intends to use the funding to enable citizens to perform various citizen centric services such as electronic bill payments and filing of grievances on a digitally enabled platform. Prior to that the company raised an undisclosed amount of venture funding from Blumberg Capital on January 27, 2014.</t>
        </is>
      </c>
      <c r="O759" s="23" t="inlineStr">
        <is>
          <t>Blumberg Capital, Madhya Pradesh government</t>
        </is>
      </c>
      <c r="P759" s="24" t="inlineStr">
        <is>
          <t/>
        </is>
      </c>
      <c r="Q759" s="25" t="inlineStr">
        <is>
          <t>Automation/Workflow Software</t>
        </is>
      </c>
      <c r="R759" s="26" t="inlineStr">
        <is>
          <t>Provider of end-to-end information technology services. The company uses a client-centric global engagement model that combines local, senior, on-site resources with the cost, scale and quality advantages of off-shore operations.</t>
        </is>
      </c>
      <c r="S759" s="27" t="inlineStr">
        <is>
          <t>Aliso Viejo, CA</t>
        </is>
      </c>
      <c r="T759" s="28" t="inlineStr">
        <is>
          <t>www.ust-global.com</t>
        </is>
      </c>
      <c r="U759" s="131">
        <f>HYPERLINK("https://my.pitchbook.com?c=61280-20", "View company online")</f>
      </c>
    </row>
    <row r="760">
      <c r="A760" s="30" t="inlineStr">
        <is>
          <t>42159-88</t>
        </is>
      </c>
      <c r="B760" s="31" t="inlineStr">
        <is>
          <t>USGI Medical</t>
        </is>
      </c>
      <c r="C760" s="32" t="inlineStr">
        <is>
          <t/>
        </is>
      </c>
      <c r="D760" s="33" t="n">
        <v>0.0</v>
      </c>
      <c r="E760" s="34" t="n">
        <v>1.5675675675675675</v>
      </c>
      <c r="F760" s="35" t="n">
        <v>42030.0</v>
      </c>
      <c r="G760" s="36" t="inlineStr">
        <is>
          <t>Later Stage VC</t>
        </is>
      </c>
      <c r="H760" s="37" t="inlineStr">
        <is>
          <t>Series 3</t>
        </is>
      </c>
      <c r="I760" s="38" t="n">
        <v>15.0</v>
      </c>
      <c r="J760" s="39" t="n">
        <v>120.35</v>
      </c>
      <c r="K760" s="40" t="inlineStr">
        <is>
          <t>Completed</t>
        </is>
      </c>
      <c r="L760" s="41" t="inlineStr">
        <is>
          <t>Privately Held (backing)</t>
        </is>
      </c>
      <c r="M760" s="42" t="inlineStr">
        <is>
          <t>Venture Capital-Backed</t>
        </is>
      </c>
      <c r="N760" s="43" t="inlineStr">
        <is>
          <t>The company raised $15 million of Series 3 venture funding from Capital One, Adams Street Partners, Alta Partners, InterWest Partners and TriplePoint Capital January 26, 2015, putting the company's pre-money valuation at $105.35 million. This funding provides USGI with the capital resources to extend the commercial launch of POSE™ (Primary Obesity Surgery, Endolumenal) in Europe and the Middle East and begin pre-commercialization activities for the procedure in the U.S., as the company completes the follow-up phase of its U.S. pivotal study known as ESSENTIAL™, and prepares to submit an application to FDA for approval. This money will also fund the crossover study as part of the ESSENTIAL trial, health economics research and several important studies in Europe. Previously, the company received $4.5 million of senior debt financing from GE Healthcare Financial Services on July 22, 2014.</t>
        </is>
      </c>
      <c r="O760" s="44" t="inlineStr">
        <is>
          <t>Adams Street Partners, Alta Partners, InterWest Partners, TriplePoint Capital</t>
        </is>
      </c>
      <c r="P760" s="45" t="inlineStr">
        <is>
          <t/>
        </is>
      </c>
      <c r="Q760" s="46" t="inlineStr">
        <is>
          <t>Surgical Devices</t>
        </is>
      </c>
      <c r="R760" s="47" t="inlineStr">
        <is>
          <t>Developer of technologies to enable incision-less surgery. The company provides the surgeons an operating platform and specialized tools they need to perform surgery through a patient's mouth or other natural orifices, reducing the need for external incisions into the abdomen.</t>
        </is>
      </c>
      <c r="S760" s="48" t="inlineStr">
        <is>
          <t>San Clemente, CA</t>
        </is>
      </c>
      <c r="T760" s="49" t="inlineStr">
        <is>
          <t>www.usgimedical.com</t>
        </is>
      </c>
      <c r="U760" s="132">
        <f>HYPERLINK("https://my.pitchbook.com?c=42159-88", "View company online")</f>
      </c>
    </row>
    <row r="761">
      <c r="A761" s="9" t="inlineStr">
        <is>
          <t>57081-79</t>
        </is>
      </c>
      <c r="B761" s="10" t="inlineStr">
        <is>
          <t>UserZoom</t>
        </is>
      </c>
      <c r="C761" s="11" t="inlineStr">
        <is>
          <t/>
        </is>
      </c>
      <c r="D761" s="12" t="n">
        <v>0.5061880668605288</v>
      </c>
      <c r="E761" s="13" t="n">
        <v>6.217887539608247</v>
      </c>
      <c r="F761" s="14" t="inlineStr">
        <is>
          <t/>
        </is>
      </c>
      <c r="G761" s="15" t="inlineStr">
        <is>
          <t>Secondary Transaction - Private</t>
        </is>
      </c>
      <c r="H761" s="16" t="inlineStr">
        <is>
          <t/>
        </is>
      </c>
      <c r="I761" s="17" t="inlineStr">
        <is>
          <t/>
        </is>
      </c>
      <c r="J761" s="18" t="inlineStr">
        <is>
          <t/>
        </is>
      </c>
      <c r="K761" s="19" t="inlineStr">
        <is>
          <t>Completed</t>
        </is>
      </c>
      <c r="L761" s="20" t="inlineStr">
        <is>
          <t>Privately Held (backing)</t>
        </is>
      </c>
      <c r="M761" s="21" t="inlineStr">
        <is>
          <t>Venture Capital-Backed</t>
        </is>
      </c>
      <c r="N761" s="22" t="inlineStr">
        <is>
          <t>Active Venture Partners sold its stake in the company on an undisclosed date.</t>
        </is>
      </c>
      <c r="O761" s="23" t="inlineStr">
        <is>
          <t>StepStone Group, Sunstone Partners, Trident Capital</t>
        </is>
      </c>
      <c r="P761" s="24" t="inlineStr">
        <is>
          <t/>
        </is>
      </c>
      <c r="Q761" s="25" t="inlineStr">
        <is>
          <t>Social/Platform Software</t>
        </is>
      </c>
      <c r="R761" s="26" t="inlineStr">
        <is>
          <t>Provider of consultancy and usability analysis services. The company provides a data-driven platform to test usability and measure user experience (UX). It focuses on assisting businesses in gaining actionable insights, scaling their user research and boosting return on investment (ROI).</t>
        </is>
      </c>
      <c r="S761" s="27" t="inlineStr">
        <is>
          <t>San Jose, CA</t>
        </is>
      </c>
      <c r="T761" s="28" t="inlineStr">
        <is>
          <t>www.userzoom.com</t>
        </is>
      </c>
      <c r="U761" s="131">
        <f>HYPERLINK("https://my.pitchbook.com?c=57081-79", "View company online")</f>
      </c>
    </row>
    <row r="762">
      <c r="A762" s="30" t="inlineStr">
        <is>
          <t>53397-10</t>
        </is>
      </c>
      <c r="B762" s="31" t="inlineStr">
        <is>
          <t>UserVoice</t>
        </is>
      </c>
      <c r="C762" s="32" t="n">
        <v>3.23</v>
      </c>
      <c r="D762" s="33" t="n">
        <v>0.014480579947897101</v>
      </c>
      <c r="E762" s="34" t="n">
        <v>63.228361638825895</v>
      </c>
      <c r="F762" s="35" t="n">
        <v>41547.0</v>
      </c>
      <c r="G762" s="36" t="inlineStr">
        <is>
          <t>Later Stage VC</t>
        </is>
      </c>
      <c r="H762" s="37" t="inlineStr">
        <is>
          <t/>
        </is>
      </c>
      <c r="I762" s="38" t="n">
        <v>2.0</v>
      </c>
      <c r="J762" s="39" t="inlineStr">
        <is>
          <t/>
        </is>
      </c>
      <c r="K762" s="40" t="inlineStr">
        <is>
          <t>Completed</t>
        </is>
      </c>
      <c r="L762" s="41" t="inlineStr">
        <is>
          <t>Privately Held (backing)</t>
        </is>
      </c>
      <c r="M762" s="42" t="inlineStr">
        <is>
          <t>Venture Capital-Backed</t>
        </is>
      </c>
      <c r="N762" s="43" t="inlineStr">
        <is>
          <t>The company raised $2 million of venture funding from Baseline Ventures, Founders Fund and David Shen Ventures on September 30, 2013. The Acceleration Group and Western Technology Investment also participated in this round.</t>
        </is>
      </c>
      <c r="O762" s="44" t="inlineStr">
        <is>
          <t>Aayush Phumbhra, Alexander Hoye, Baseline Ventures, Betaworks, David McClure, David Shen, David Shen Ventures, Dharmesh Shah, Founders Fund, Howard Lindzon, Individual Investor, LocalGlobe, Mike Davidson, Naval Ravikant, Net Discovery, Peter Lehrman, Reza Hussein, Robin Klein, Saul Klein, Shan Mehta, Steve Anderson, SV Angel, Tekton Ventures, The Acceleration Group, Western Technology Investment</t>
        </is>
      </c>
      <c r="P762" s="45" t="inlineStr">
        <is>
          <t/>
        </is>
      </c>
      <c r="Q762" s="46" t="inlineStr">
        <is>
          <t>Social/Platform Software</t>
        </is>
      </c>
      <c r="R762" s="47" t="inlineStr">
        <is>
          <t>Provider of product management and customer support services. The company's platform provides knowledge base management tools that enable businesses to collect, analyze, manage and act on customer feedback across various channels.</t>
        </is>
      </c>
      <c r="S762" s="48" t="inlineStr">
        <is>
          <t>San Francisco, CA</t>
        </is>
      </c>
      <c r="T762" s="49" t="inlineStr">
        <is>
          <t>www.uservoice.com</t>
        </is>
      </c>
      <c r="U762" s="132">
        <f>HYPERLINK("https://my.pitchbook.com?c=53397-10", "View company online")</f>
      </c>
    </row>
    <row r="763">
      <c r="A763" s="9" t="inlineStr">
        <is>
          <t>54118-45</t>
        </is>
      </c>
      <c r="B763" s="10" t="inlineStr">
        <is>
          <t>UserTesting</t>
        </is>
      </c>
      <c r="C763" s="11" t="inlineStr">
        <is>
          <t/>
        </is>
      </c>
      <c r="D763" s="12" t="n">
        <v>0.14313844585981292</v>
      </c>
      <c r="E763" s="13" t="n">
        <v>143.96676025167181</v>
      </c>
      <c r="F763" s="14" t="n">
        <v>42412.0</v>
      </c>
      <c r="G763" s="15" t="inlineStr">
        <is>
          <t>Later Stage VC</t>
        </is>
      </c>
      <c r="H763" s="16" t="inlineStr">
        <is>
          <t>Series D</t>
        </is>
      </c>
      <c r="I763" s="17" t="n">
        <v>27.0</v>
      </c>
      <c r="J763" s="18" t="n">
        <v>215.0</v>
      </c>
      <c r="K763" s="19" t="inlineStr">
        <is>
          <t>Completed</t>
        </is>
      </c>
      <c r="L763" s="20" t="inlineStr">
        <is>
          <t>Privately Held (backing)</t>
        </is>
      </c>
      <c r="M763" s="21" t="inlineStr">
        <is>
          <t>Venture Capital-Backed</t>
        </is>
      </c>
      <c r="N763" s="22" t="inlineStr">
        <is>
          <t>The company raised $27 million of Series D venture funding from Intercept Ventures and undisclosed investors on February 12, 2016, putting the pre-money valuation at $188 million. Previously, undisclosed investors sold their stake in the company to OpenView Venture Partners for $573,000 on August 28, 2015.</t>
        </is>
      </c>
      <c r="O763" s="23" t="inlineStr">
        <is>
          <t>Accel, Clearstone Venture Partners, D. E. Shaw &amp; Co., Greenspring Associates, Inspiration Ventures, Intercept Ventures, Kern Whelan Capital, OpenView Venture Partners, Wasabi Ventures</t>
        </is>
      </c>
      <c r="P763" s="24" t="inlineStr">
        <is>
          <t/>
        </is>
      </c>
      <c r="Q763" s="25" t="inlineStr">
        <is>
          <t>Media and Information Services (B2B)</t>
        </is>
      </c>
      <c r="R763" s="26" t="inlineStr">
        <is>
          <t>Provider of an user experience testing platform designed to improve customer insights. The company's user experience testing platform helps in increasing revenue and boosting conversion rates by testing landing pages, emails and advertisements, enabling marketers, product managers and UX designers to access users in their target audience, who deliver audio, video and written feedback on websites or applications in less than one hour.</t>
        </is>
      </c>
      <c r="S763" s="27" t="inlineStr">
        <is>
          <t>Mountain View, CA</t>
        </is>
      </c>
      <c r="T763" s="28" t="inlineStr">
        <is>
          <t>www.usertesting.com</t>
        </is>
      </c>
      <c r="U763" s="131">
        <f>HYPERLINK("https://my.pitchbook.com?c=54118-45", "View company online")</f>
      </c>
    </row>
    <row r="764">
      <c r="A764" s="30" t="inlineStr">
        <is>
          <t>59193-28</t>
        </is>
      </c>
      <c r="B764" s="31" t="inlineStr">
        <is>
          <t>User Replay</t>
        </is>
      </c>
      <c r="C764" s="32" t="inlineStr">
        <is>
          <t/>
        </is>
      </c>
      <c r="D764" s="33" t="n">
        <v>3.529720465005447</v>
      </c>
      <c r="E764" s="34" t="n">
        <v>4.624452407982253</v>
      </c>
      <c r="F764" s="35" t="n">
        <v>42424.0</v>
      </c>
      <c r="G764" s="36" t="inlineStr">
        <is>
          <t>Later Stage VC</t>
        </is>
      </c>
      <c r="H764" s="37" t="inlineStr">
        <is>
          <t/>
        </is>
      </c>
      <c r="I764" s="38" t="n">
        <v>4.7</v>
      </c>
      <c r="J764" s="39" t="inlineStr">
        <is>
          <t/>
        </is>
      </c>
      <c r="K764" s="40" t="inlineStr">
        <is>
          <t>Completed</t>
        </is>
      </c>
      <c r="L764" s="41" t="inlineStr">
        <is>
          <t>Privately Held (backing)</t>
        </is>
      </c>
      <c r="M764" s="42" t="inlineStr">
        <is>
          <t>Venture Capital-Backed</t>
        </is>
      </c>
      <c r="N764" s="43" t="inlineStr">
        <is>
          <t>The company raised $4.7 million of venture funding from Longwall Ventures, Episode 1 Ventures and EC1 Capital on February 24, 2016. The FSE Group also participated in the round. The funding will be used to support their rapid expansion in the US market and increase the pace of product innovation. It also received $350,000 of grant funding from Innovate UK on the same day.</t>
        </is>
      </c>
      <c r="O764" s="44" t="inlineStr">
        <is>
          <t>Damien Lane, EC1 Capital, Episode 1 Ventures, Individual Investor, Innovate UK, Longwall Ventures, Robin Klein, Simon Murdoch, Star-Achats, The FSE Group</t>
        </is>
      </c>
      <c r="P764" s="45" t="inlineStr">
        <is>
          <t/>
        </is>
      </c>
      <c r="Q764" s="46" t="inlineStr">
        <is>
          <t>Software Development Applications</t>
        </is>
      </c>
      <c r="R764" s="47" t="inlineStr">
        <is>
          <t>Provider of a website monitoring service for businesses. The company offers customer experience management software that enables its users to find and fix site bugs, resolve disputes, recover abandoned virtual shopping baskets and prevent fraudulent transactions.</t>
        </is>
      </c>
      <c r="S764" s="48" t="inlineStr">
        <is>
          <t>Reading, United Kingdom</t>
        </is>
      </c>
      <c r="T764" s="49" t="inlineStr">
        <is>
          <t>www.userreplay.com</t>
        </is>
      </c>
      <c r="U764" s="132">
        <f>HYPERLINK("https://my.pitchbook.com?c=59193-28", "View company online")</f>
      </c>
    </row>
    <row r="765">
      <c r="A765" s="9" t="inlineStr">
        <is>
          <t>113770-36</t>
        </is>
      </c>
      <c r="B765" s="10" t="inlineStr">
        <is>
          <t>uSens</t>
        </is>
      </c>
      <c r="C765" s="11" t="inlineStr">
        <is>
          <t/>
        </is>
      </c>
      <c r="D765" s="12" t="n">
        <v>0.593316099471156</v>
      </c>
      <c r="E765" s="13" t="n">
        <v>9.394167356639723</v>
      </c>
      <c r="F765" s="14" t="n">
        <v>42432.0</v>
      </c>
      <c r="G765" s="15" t="inlineStr">
        <is>
          <t>Early Stage VC</t>
        </is>
      </c>
      <c r="H765" s="16" t="inlineStr">
        <is>
          <t>Series A</t>
        </is>
      </c>
      <c r="I765" s="17" t="n">
        <v>20.0</v>
      </c>
      <c r="J765" s="18" t="n">
        <v>84.53</v>
      </c>
      <c r="K765" s="19" t="inlineStr">
        <is>
          <t>Completed</t>
        </is>
      </c>
      <c r="L765" s="20" t="inlineStr">
        <is>
          <t>Privately Held (backing)</t>
        </is>
      </c>
      <c r="M765" s="21" t="inlineStr">
        <is>
          <t>Venture Capital-Backed</t>
        </is>
      </c>
      <c r="N765" s="22" t="inlineStr">
        <is>
          <t>The company raised $20 million of Series A venture funding in a deal led by Kinzon Capital on March 3, 2016, putting the company's pre-money valuation at $66.35 million. LeBox Capital, Maison Capital, Fulcrum Capital Group, Great Capital, Morningside Group, Fortune Venture Capital, Oriental Fortune Capital, iResearch Consulting, Chord Capital, ARM Innovation Ecosystem Accelerator, Stone Capital, IDG Capital, ChuanCheng Fund, IDG Ventures USA and Chalor Capital and other undisclosed investors also participated. The investment will help the company launch its inside-out 26DOF (degrees of freedom) hand-tracking and 6DOF head-tracking tools for VR and AR. Previously, the company raised $301,719 of product crowdfunding via Kickstarter on May 7, 2015.</t>
        </is>
      </c>
      <c r="O765" s="23" t="inlineStr">
        <is>
          <t>ARM Innovation Ecosystem Accelerator, Chalor Capital, Chord Capital, ChuanCheng Fund, Fortune Venture Capital, Fulcrum Capital Group, Great Capital, IDG Capital, IDG Ventures USA, iResearch Consulting Group, Kinzon Capital, LeBox Capital, Maison Capital, Morningside Group, Oriental Fortune Capital, Stone Capital</t>
        </is>
      </c>
      <c r="P765" s="24" t="inlineStr">
        <is>
          <t/>
        </is>
      </c>
      <c r="Q765" s="25" t="inlineStr">
        <is>
          <t>Electronics (B2C)</t>
        </is>
      </c>
      <c r="R765" s="26" t="inlineStr">
        <is>
          <t>Provider of three dimension interactive software designed to bridge the gap between virtual reality and the real world. The company's three dimension interactive software offer 3D gesture recognition on mobile platforms that combines virtual and augmented reality and the service's massive, innovative power brings the true presence to the Oculus Rift and HTC Vive, as well as to mobile devices with the Samsung GearVR, Google Daydream and Cardboard and also provide inside-out 3D hand tracking as well as 6DOF head position tracking for both mobile and tethered AR/VR systems, enabling businesses to develop their talents with the help of freedom and space provided by the software.</t>
        </is>
      </c>
      <c r="S765" s="27" t="inlineStr">
        <is>
          <t>San Jose, CA</t>
        </is>
      </c>
      <c r="T765" s="28" t="inlineStr">
        <is>
          <t>www.usens.com</t>
        </is>
      </c>
      <c r="U765" s="131">
        <f>HYPERLINK("https://my.pitchbook.com?c=113770-36", "View company online")</f>
      </c>
    </row>
    <row r="766">
      <c r="A766" s="30" t="inlineStr">
        <is>
          <t>167328-46</t>
        </is>
      </c>
      <c r="B766" s="31" t="inlineStr">
        <is>
          <t>UsedSportsExchange</t>
        </is>
      </c>
      <c r="C766" s="32" t="inlineStr">
        <is>
          <t/>
        </is>
      </c>
      <c r="D766" s="33" t="n">
        <v>-0.006275078279455305</v>
      </c>
      <c r="E766" s="34" t="n">
        <v>1.0973942728916937</v>
      </c>
      <c r="F766" s="35" t="inlineStr">
        <is>
          <t/>
        </is>
      </c>
      <c r="G766" s="36" t="inlineStr">
        <is>
          <t>Early Stage VC</t>
        </is>
      </c>
      <c r="H766" s="37" t="inlineStr">
        <is>
          <t/>
        </is>
      </c>
      <c r="I766" s="38" t="inlineStr">
        <is>
          <t/>
        </is>
      </c>
      <c r="J766" s="39" t="inlineStr">
        <is>
          <t/>
        </is>
      </c>
      <c r="K766" s="40" t="inlineStr">
        <is>
          <t>Completed</t>
        </is>
      </c>
      <c r="L766" s="41" t="inlineStr">
        <is>
          <t>Privately Held (backing)</t>
        </is>
      </c>
      <c r="M766" s="42" t="inlineStr">
        <is>
          <t>Venture Capital-Backed</t>
        </is>
      </c>
      <c r="N766" s="43" t="inlineStr">
        <is>
          <t>The company raised venture funding from K&amp;L Group on an undisclosed date.</t>
        </is>
      </c>
      <c r="O766" s="44" t="inlineStr">
        <is>
          <t>K&amp;L Group</t>
        </is>
      </c>
      <c r="P766" s="45" t="inlineStr">
        <is>
          <t/>
        </is>
      </c>
      <c r="Q766" s="46" t="inlineStr">
        <is>
          <t>Accessories</t>
        </is>
      </c>
      <c r="R766" s="47" t="inlineStr">
        <is>
          <t>Developer of a marketplace for finding new and used sports gear. The company develops a marketplace for the sale and purchase of new or used sporting goods, sports related merchandise and sports memorabilia.</t>
        </is>
      </c>
      <c r="S766" s="48" t="inlineStr">
        <is>
          <t>Los Angeles, CA</t>
        </is>
      </c>
      <c r="T766" s="49" t="inlineStr">
        <is>
          <t/>
        </is>
      </c>
      <c r="U766" s="132">
        <f>HYPERLINK("https://my.pitchbook.com?c=167328-46", "View company online")</f>
      </c>
    </row>
    <row r="767">
      <c r="A767" s="9" t="inlineStr">
        <is>
          <t>173551-15</t>
        </is>
      </c>
      <c r="B767" s="10" t="inlineStr">
        <is>
          <t>USAutoNews.com</t>
        </is>
      </c>
      <c r="C767" s="97">
        <f>HYPERLINK("https://my.pitchbook.com?rrp=173551-15&amp;type=c", "This Company's information is not available to download. Need this Company? Request availability")</f>
      </c>
      <c r="D767" s="12" t="inlineStr">
        <is>
          <t/>
        </is>
      </c>
      <c r="E767" s="13" t="inlineStr">
        <is>
          <t/>
        </is>
      </c>
      <c r="F767" s="14" t="inlineStr">
        <is>
          <t/>
        </is>
      </c>
      <c r="G767" s="15" t="inlineStr">
        <is>
          <t/>
        </is>
      </c>
      <c r="H767" s="16" t="inlineStr">
        <is>
          <t/>
        </is>
      </c>
      <c r="I767" s="17" t="inlineStr">
        <is>
          <t/>
        </is>
      </c>
      <c r="J767" s="18" t="inlineStr">
        <is>
          <t/>
        </is>
      </c>
      <c r="K767" s="19" t="inlineStr">
        <is>
          <t/>
        </is>
      </c>
      <c r="L767" s="20" t="inlineStr">
        <is>
          <t/>
        </is>
      </c>
      <c r="M767" s="21" t="inlineStr">
        <is>
          <t/>
        </is>
      </c>
      <c r="N767" s="22" t="inlineStr">
        <is>
          <t/>
        </is>
      </c>
      <c r="O767" s="23" t="inlineStr">
        <is>
          <t/>
        </is>
      </c>
      <c r="P767" s="24" t="inlineStr">
        <is>
          <t/>
        </is>
      </c>
      <c r="Q767" s="25" t="inlineStr">
        <is>
          <t/>
        </is>
      </c>
      <c r="R767" s="26" t="inlineStr">
        <is>
          <t/>
        </is>
      </c>
      <c r="S767" s="27" t="inlineStr">
        <is>
          <t/>
        </is>
      </c>
      <c r="T767" s="28" t="inlineStr">
        <is>
          <t/>
        </is>
      </c>
      <c r="U767" s="29" t="inlineStr">
        <is>
          <t/>
        </is>
      </c>
    </row>
    <row r="768">
      <c r="A768" s="30" t="inlineStr">
        <is>
          <t>11318-59</t>
        </is>
      </c>
      <c r="B768" s="31" t="inlineStr">
        <is>
          <t>US Renewables Group</t>
        </is>
      </c>
      <c r="C768" s="32" t="inlineStr">
        <is>
          <t/>
        </is>
      </c>
      <c r="D768" s="33" t="n">
        <v>0.0</v>
      </c>
      <c r="E768" s="34" t="n">
        <v>2.4054054054054053</v>
      </c>
      <c r="F768" s="35" t="n">
        <v>41120.0</v>
      </c>
      <c r="G768" s="36" t="inlineStr">
        <is>
          <t>Later Stage VC</t>
        </is>
      </c>
      <c r="H768" s="37" t="inlineStr">
        <is>
          <t/>
        </is>
      </c>
      <c r="I768" s="38" t="n">
        <v>0.06</v>
      </c>
      <c r="J768" s="39" t="inlineStr">
        <is>
          <t/>
        </is>
      </c>
      <c r="K768" s="40" t="inlineStr">
        <is>
          <t>Completed</t>
        </is>
      </c>
      <c r="L768" s="41" t="inlineStr">
        <is>
          <t>Privately Held (backing)</t>
        </is>
      </c>
      <c r="M768" s="42" t="inlineStr">
        <is>
          <t>Venture Capital-Backed</t>
        </is>
      </c>
      <c r="N768" s="43" t="inlineStr">
        <is>
          <t>The company raised $600,000 of venture funding from Saints Capital on July 30, 2012.</t>
        </is>
      </c>
      <c r="O768" s="44" t="inlineStr">
        <is>
          <t>Rustic Canyon Partners, Saints Capital</t>
        </is>
      </c>
      <c r="P768" s="45" t="inlineStr">
        <is>
          <t/>
        </is>
      </c>
      <c r="Q768" s="46" t="inlineStr">
        <is>
          <t>Energy Exploration</t>
        </is>
      </c>
      <c r="R768" s="47" t="inlineStr">
        <is>
          <t>Provider of investment services for bio-fuel industries. The company seeks out renewable stationary power generation and clean fuel assets primarily in North America and has made 18 diversified investments across three investment funds.</t>
        </is>
      </c>
      <c r="S768" s="48" t="inlineStr">
        <is>
          <t>Santa Monica, CA</t>
        </is>
      </c>
      <c r="T768" s="49" t="inlineStr">
        <is>
          <t>www.usregroup.com</t>
        </is>
      </c>
      <c r="U768" s="132">
        <f>HYPERLINK("https://my.pitchbook.com?c=11318-59", "View company online")</f>
      </c>
    </row>
    <row r="769">
      <c r="A769" s="9" t="inlineStr">
        <is>
          <t>108316-09</t>
        </is>
      </c>
      <c r="B769" s="10" t="inlineStr">
        <is>
          <t>Urth Caffe</t>
        </is>
      </c>
      <c r="C769" s="11" t="inlineStr">
        <is>
          <t/>
        </is>
      </c>
      <c r="D769" s="12" t="n">
        <v>-0.771545463982066</v>
      </c>
      <c r="E769" s="13" t="n">
        <v>23.68165183817358</v>
      </c>
      <c r="F769" s="14" t="inlineStr">
        <is>
          <t/>
        </is>
      </c>
      <c r="G769" s="15" t="inlineStr">
        <is>
          <t>Early Stage VC</t>
        </is>
      </c>
      <c r="H769" s="16" t="inlineStr">
        <is>
          <t/>
        </is>
      </c>
      <c r="I769" s="17" t="inlineStr">
        <is>
          <t/>
        </is>
      </c>
      <c r="J769" s="18" t="inlineStr">
        <is>
          <t/>
        </is>
      </c>
      <c r="K769" s="19" t="inlineStr">
        <is>
          <t>Completed</t>
        </is>
      </c>
      <c r="L769" s="20" t="inlineStr">
        <is>
          <t>Privately Held (backing)</t>
        </is>
      </c>
      <c r="M769" s="21" t="inlineStr">
        <is>
          <t>Venture Capital-Backed</t>
        </is>
      </c>
      <c r="N769" s="22" t="inlineStr">
        <is>
          <t>The company raised venture funding from Juvo Capital on an undisclosed date.</t>
        </is>
      </c>
      <c r="O769" s="23" t="inlineStr">
        <is>
          <t>Juvo Capital</t>
        </is>
      </c>
      <c r="P769" s="24" t="inlineStr">
        <is>
          <t/>
        </is>
      </c>
      <c r="Q769" s="25" t="inlineStr">
        <is>
          <t>Beverages</t>
        </is>
      </c>
      <c r="R769" s="26" t="inlineStr">
        <is>
          <t>Producer of organic coffee. The company specializes in production and distribution of organic coffees and fine teas.</t>
        </is>
      </c>
      <c r="S769" s="27" t="inlineStr">
        <is>
          <t>Los Angeles, CA</t>
        </is>
      </c>
      <c r="T769" s="28" t="inlineStr">
        <is>
          <t>www.urthcaffe.com</t>
        </is>
      </c>
      <c r="U769" s="131">
        <f>HYPERLINK("https://my.pitchbook.com?c=108316-09", "View company online")</f>
      </c>
    </row>
    <row r="770">
      <c r="A770" s="30" t="inlineStr">
        <is>
          <t>41947-75</t>
        </is>
      </c>
      <c r="B770" s="31" t="inlineStr">
        <is>
          <t>Urigen Pharmaceuticals</t>
        </is>
      </c>
      <c r="C770" s="32" t="n">
        <v>0.0</v>
      </c>
      <c r="D770" s="33" t="n">
        <v>-0.32767826990450255</v>
      </c>
      <c r="E770" s="34" t="n">
        <v>26.15616921269096</v>
      </c>
      <c r="F770" s="35" t="n">
        <v>41551.0</v>
      </c>
      <c r="G770" s="36" t="inlineStr">
        <is>
          <t>Debt - General</t>
        </is>
      </c>
      <c r="H770" s="37" t="inlineStr">
        <is>
          <t/>
        </is>
      </c>
      <c r="I770" s="38" t="n">
        <v>0.86</v>
      </c>
      <c r="J770" s="39" t="inlineStr">
        <is>
          <t/>
        </is>
      </c>
      <c r="K770" s="40" t="inlineStr">
        <is>
          <t>Completed</t>
        </is>
      </c>
      <c r="L770" s="41" t="inlineStr">
        <is>
          <t>Privately Held (backing)</t>
        </is>
      </c>
      <c r="M770" s="42" t="inlineStr">
        <is>
          <t>Venture Capital-Backed</t>
        </is>
      </c>
      <c r="N770" s="43" t="inlineStr">
        <is>
          <t>The company received $856,000 of debt financing from an undisclosed investor on October 4, 2013.</t>
        </is>
      </c>
      <c r="O770" s="44" t="inlineStr">
        <is>
          <t>Aisling Capital, CHL Medical Partners, UCL Business</t>
        </is>
      </c>
      <c r="P770" s="45" t="inlineStr">
        <is>
          <t/>
        </is>
      </c>
      <c r="Q770" s="46" t="inlineStr">
        <is>
          <t>Pharmaceuticals</t>
        </is>
      </c>
      <c r="R770" s="47" t="inlineStr">
        <is>
          <t>Urigen Pharmaceuticals, Inc. was incorporated in Delaware on August 12, 1997. It was formerly known as Valentis, Inc. and was formed as the result of the merger of Megabios Corp. and GeneMedicine, Inc. in March 1999. The Company specializes in the development of innovative products for patients with urological ailments including, specifically, the development of innovative products for amelioration Painful Bladder Syndrome/Interstitial Cystitis ('PBS' or 'PBS/IC'), Urethritis, Nocturia and Overactive Bladder ('OAB'). Urigen's two clinical stage products target significant unmet medical needs with meaningful market opportunities in urology: URG101, a bladder instillation for Painful Bladder Syndrome/Interstitial Cystitis (PBS/IC), URG301, a female urethral suppository for urethritis and nocturia. It is developing an IND to initiate an exploratory study to evaluate the safety and efficacy of an intraurethral suppository to treat urethritis, nocturia and the symptoms of acute urinary urgency associated with overactive bladder. Approved prescription drugs used to treat overactive bladder. These approved drugs include oxybutynin (Ditropan(r), Ditropan XL(r) and Oxytrol(r), a skin patch); tolterodine (Detrol(r), Detrol LA(r)); trospium (Sanctura(r)); solifenacin (Vesicare(r)); and darifenacin (Enablex(r))-demonstrate remarkably similar efficacy. The production and marketing of its potential products would be subjected to extensive regulation for safety, efficacy and quality by numerous governmental authorities in the United States and other countries.</t>
        </is>
      </c>
      <c r="S770" s="48" t="inlineStr">
        <is>
          <t>San Francisco, CA</t>
        </is>
      </c>
      <c r="T770" s="49" t="inlineStr">
        <is>
          <t>www.valentis.com</t>
        </is>
      </c>
      <c r="U770" s="132">
        <f>HYPERLINK("https://my.pitchbook.com?c=41947-75", "View company online")</f>
      </c>
    </row>
    <row r="771">
      <c r="A771" s="9" t="inlineStr">
        <is>
          <t>151186-24</t>
        </is>
      </c>
      <c r="B771" s="10" t="inlineStr">
        <is>
          <t>Uriel Solar</t>
        </is>
      </c>
      <c r="C771" s="11" t="inlineStr">
        <is>
          <t/>
        </is>
      </c>
      <c r="D771" s="12" t="inlineStr">
        <is>
          <t/>
        </is>
      </c>
      <c r="E771" s="13" t="inlineStr">
        <is>
          <t/>
        </is>
      </c>
      <c r="F771" s="14" t="n">
        <v>40875.0</v>
      </c>
      <c r="G771" s="15" t="inlineStr">
        <is>
          <t>Early Stage VC</t>
        </is>
      </c>
      <c r="H771" s="16" t="inlineStr">
        <is>
          <t>Series A</t>
        </is>
      </c>
      <c r="I771" s="17" t="n">
        <v>3.87</v>
      </c>
      <c r="J771" s="18" t="n">
        <v>7.42</v>
      </c>
      <c r="K771" s="19" t="inlineStr">
        <is>
          <t>Completed</t>
        </is>
      </c>
      <c r="L771" s="20" t="inlineStr">
        <is>
          <t>Privately Held (backing)</t>
        </is>
      </c>
      <c r="M771" s="21" t="inlineStr">
        <is>
          <t>Venture Capital-Backed</t>
        </is>
      </c>
      <c r="N771" s="22" t="inlineStr">
        <is>
          <t>The company raised $3.87 million of Series A funding from undisclosed investors on November 28, 2011, putting the pre-money valuation at $3.55 million. Ryan Herman also participated in this round.</t>
        </is>
      </c>
      <c r="O771" s="23" t="inlineStr">
        <is>
          <t/>
        </is>
      </c>
      <c r="P771" s="24" t="inlineStr">
        <is>
          <t/>
        </is>
      </c>
      <c r="Q771" s="25" t="inlineStr">
        <is>
          <t>Energy Production</t>
        </is>
      </c>
      <c r="R771" s="26" t="inlineStr">
        <is>
          <t>Owner and operator of renewable energy production company. The company offers a disruptive thin film photo-voltaic solar cell technology as the primary source of electric energy generation in America.</t>
        </is>
      </c>
      <c r="S771" s="27" t="inlineStr">
        <is>
          <t>Westlake Village, CA</t>
        </is>
      </c>
      <c r="T771" s="28" t="inlineStr">
        <is>
          <t>www.urielsolar.net</t>
        </is>
      </c>
      <c r="U771" s="131">
        <f>HYPERLINK("https://my.pitchbook.com?c=151186-24", "View company online")</f>
      </c>
    </row>
    <row r="772">
      <c r="A772" s="30" t="inlineStr">
        <is>
          <t>57848-95</t>
        </is>
      </c>
      <c r="B772" s="31" t="inlineStr">
        <is>
          <t>Urbita</t>
        </is>
      </c>
      <c r="C772" s="32" t="inlineStr">
        <is>
          <t/>
        </is>
      </c>
      <c r="D772" s="33" t="n">
        <v>-0.015449037829426368</v>
      </c>
      <c r="E772" s="34" t="n">
        <v>10.645781941010387</v>
      </c>
      <c r="F772" s="35" t="n">
        <v>41275.0</v>
      </c>
      <c r="G772" s="36" t="inlineStr">
        <is>
          <t>Seed Round</t>
        </is>
      </c>
      <c r="H772" s="37" t="inlineStr">
        <is>
          <t>Seed</t>
        </is>
      </c>
      <c r="I772" s="38" t="n">
        <v>0.65</v>
      </c>
      <c r="J772" s="39" t="inlineStr">
        <is>
          <t/>
        </is>
      </c>
      <c r="K772" s="40" t="inlineStr">
        <is>
          <t>Completed</t>
        </is>
      </c>
      <c r="L772" s="41" t="inlineStr">
        <is>
          <t>Privately Held (backing)</t>
        </is>
      </c>
      <c r="M772" s="42" t="inlineStr">
        <is>
          <t>Venture Capital-Backed</t>
        </is>
      </c>
      <c r="N772" s="43" t="inlineStr">
        <is>
          <t>The company raised $650,000 of seed funding from Real Ventures, RealAssets and Jacaranda Ventures in January 2013. Yona Shtern, Andy Kleinman and other undisclosed individual investors also participated in this round. Prior to that the company raised $25,000 of seed funding from NXTP Labs on March 1, 2012. Ariel Arrieta also participated in this round. Earlier that year the company joined FounderFuel as a part of its 2012 cohort and received an undisclosed amount in funding.</t>
        </is>
      </c>
      <c r="O772" s="44" t="inlineStr">
        <is>
          <t>Andy Kleinman, Ariel Arrieta, FounderFuel, Individual Investor, Jacaranda Ventures, NXTP Labs, Real Ventures, RealAssets, Yona Shtern</t>
        </is>
      </c>
      <c r="P772" s="45" t="inlineStr">
        <is>
          <t/>
        </is>
      </c>
      <c r="Q772" s="46" t="inlineStr">
        <is>
          <t>Information Services (B2C)</t>
        </is>
      </c>
      <c r="R772" s="47" t="inlineStr">
        <is>
          <t>Operator of a platform that allows people to share their favorite places with others on the Web. The company operates a social network that enables users to share information and photos about their favorite local places, with links to interactive maps and opportunities for other members to like and follow their entries.</t>
        </is>
      </c>
      <c r="S772" s="48" t="inlineStr">
        <is>
          <t>Buenos Aires, Argentina</t>
        </is>
      </c>
      <c r="T772" s="49" t="inlineStr">
        <is>
          <t>www.urbita.com</t>
        </is>
      </c>
      <c r="U772" s="132">
        <f>HYPERLINK("https://my.pitchbook.com?c=57848-95", "View company online")</f>
      </c>
    </row>
    <row r="773">
      <c r="A773" s="9" t="inlineStr">
        <is>
          <t>96849-82</t>
        </is>
      </c>
      <c r="B773" s="10" t="inlineStr">
        <is>
          <t>Urbit</t>
        </is>
      </c>
      <c r="C773" s="11" t="inlineStr">
        <is>
          <t/>
        </is>
      </c>
      <c r="D773" s="12" t="n">
        <v>1.0283146240526901</v>
      </c>
      <c r="E773" s="13" t="n">
        <v>4.440601618567721</v>
      </c>
      <c r="F773" s="14" t="n">
        <v>42550.0</v>
      </c>
      <c r="G773" s="15" t="inlineStr">
        <is>
          <t>Early Stage VC</t>
        </is>
      </c>
      <c r="H773" s="16" t="inlineStr">
        <is>
          <t/>
        </is>
      </c>
      <c r="I773" s="17" t="n">
        <v>0.29</v>
      </c>
      <c r="J773" s="18" t="inlineStr">
        <is>
          <t/>
        </is>
      </c>
      <c r="K773" s="19" t="inlineStr">
        <is>
          <t>Completed</t>
        </is>
      </c>
      <c r="L773" s="20" t="inlineStr">
        <is>
          <t>Privately Held (backing)</t>
        </is>
      </c>
      <c r="M773" s="21" t="inlineStr">
        <is>
          <t>Venture Capital-Backed</t>
        </is>
      </c>
      <c r="N773" s="22" t="inlineStr">
        <is>
          <t>The company raised $209,100 of venture funding from Andreessen Horowitz, Ben Davenport and Alex Morcos via an undisclosed crowdfunding platform on June 29, 2016. ZhenFund, Jaan Tallinn, Tim Draper and Founders Fund also participated in this round. The funding will be used to fund development of the company's platform.</t>
        </is>
      </c>
      <c r="O773" s="23" t="inlineStr">
        <is>
          <t>Alex Morcos, Andreessen Horowitz, Ben Davenport, Founders Fund, Jaan Tallinn, Timothy Draper, ZhenFund</t>
        </is>
      </c>
      <c r="P773" s="24" t="inlineStr">
        <is>
          <t/>
        </is>
      </c>
      <c r="Q773" s="25" t="inlineStr">
        <is>
          <t>Network Management Software</t>
        </is>
      </c>
      <c r="R773" s="26" t="inlineStr">
        <is>
          <t>Provider of a network operating system. The company provides a new operating system with a new programming language, which treats address space as property of the user.</t>
        </is>
      </c>
      <c r="S773" s="27" t="inlineStr">
        <is>
          <t>San Francisco, CA</t>
        </is>
      </c>
      <c r="T773" s="28" t="inlineStr">
        <is>
          <t>www.urbit.org</t>
        </is>
      </c>
      <c r="U773" s="131">
        <f>HYPERLINK("https://my.pitchbook.com?c=96849-82", "View company online")</f>
      </c>
    </row>
    <row r="774">
      <c r="A774" s="30" t="inlineStr">
        <is>
          <t>53695-54</t>
        </is>
      </c>
      <c r="B774" s="31" t="inlineStr">
        <is>
          <t>UrbanSitter</t>
        </is>
      </c>
      <c r="C774" s="32" t="inlineStr">
        <is>
          <t/>
        </is>
      </c>
      <c r="D774" s="33" t="n">
        <v>0.3420841726567941</v>
      </c>
      <c r="E774" s="34" t="n">
        <v>31.68220395888045</v>
      </c>
      <c r="F774" s="35" t="n">
        <v>42817.0</v>
      </c>
      <c r="G774" s="36" t="inlineStr">
        <is>
          <t>Early Stage VC</t>
        </is>
      </c>
      <c r="H774" s="37" t="inlineStr">
        <is>
          <t/>
        </is>
      </c>
      <c r="I774" s="38" t="n">
        <v>3.58</v>
      </c>
      <c r="J774" s="39" t="inlineStr">
        <is>
          <t/>
        </is>
      </c>
      <c r="K774" s="40" t="inlineStr">
        <is>
          <t>Completed</t>
        </is>
      </c>
      <c r="L774" s="41" t="inlineStr">
        <is>
          <t>Privately Held (backing)</t>
        </is>
      </c>
      <c r="M774" s="42" t="inlineStr">
        <is>
          <t>Venture Capital-Backed</t>
        </is>
      </c>
      <c r="N774" s="43" t="inlineStr">
        <is>
          <t>The company raised $3.58 million of a planned $12.03 million of venture funding from undisclosed investors on March 23, 2017.</t>
        </is>
      </c>
      <c r="O774" s="44" t="inlineStr">
        <is>
          <t>A-Grade Investments, Aspect Venture Partners, Canaan Partners, DBL Partners, First Round Capital, Menlo Ventures, Primal Ventures, Russell Siegelman, Rustic Canyon Partners</t>
        </is>
      </c>
      <c r="P774" s="45" t="inlineStr">
        <is>
          <t/>
        </is>
      </c>
      <c r="Q774" s="46" t="inlineStr">
        <is>
          <t>Social/Platform Software</t>
        </is>
      </c>
      <c r="R774" s="47" t="inlineStr">
        <is>
          <t>Provider of an online platform to book babysitters. The company offers a platform that enables babysitters to post their credentials and availability and parents to search and book sitters online.</t>
        </is>
      </c>
      <c r="S774" s="48" t="inlineStr">
        <is>
          <t>San Francisco, CA</t>
        </is>
      </c>
      <c r="T774" s="49" t="inlineStr">
        <is>
          <t>www.urbansitter.com</t>
        </is>
      </c>
      <c r="U774" s="132">
        <f>HYPERLINK("https://my.pitchbook.com?c=53695-54", "View company online")</f>
      </c>
    </row>
    <row r="775">
      <c r="A775" s="9" t="inlineStr">
        <is>
          <t>55602-28</t>
        </is>
      </c>
      <c r="B775" s="10" t="inlineStr">
        <is>
          <t>Urban Remedy</t>
        </is>
      </c>
      <c r="C775" s="11" t="n">
        <v>4.6</v>
      </c>
      <c r="D775" s="12" t="n">
        <v>0.7896346812121751</v>
      </c>
      <c r="E775" s="13" t="n">
        <v>37.364777895065295</v>
      </c>
      <c r="F775" s="14" t="n">
        <v>41793.0</v>
      </c>
      <c r="G775" s="15" t="inlineStr">
        <is>
          <t>Seed Round</t>
        </is>
      </c>
      <c r="H775" s="16" t="inlineStr">
        <is>
          <t>Series A</t>
        </is>
      </c>
      <c r="I775" s="17" t="n">
        <v>5.0</v>
      </c>
      <c r="J775" s="18" t="n">
        <v>29.99</v>
      </c>
      <c r="K775" s="19" t="inlineStr">
        <is>
          <t>Completed</t>
        </is>
      </c>
      <c r="L775" s="20" t="inlineStr">
        <is>
          <t>Privately Held (backing)</t>
        </is>
      </c>
      <c r="M775" s="21" t="inlineStr">
        <is>
          <t>Venture Capital-Backed</t>
        </is>
      </c>
      <c r="N775" s="22" t="inlineStr">
        <is>
          <t>The company raised $5 million of Series A seed funding from lead investor Venture51 on June 06, 2014, putting the pre-money valuation at $24.99 million. Slow Ventures also participated in the round.</t>
        </is>
      </c>
      <c r="O775" s="23" t="inlineStr">
        <is>
          <t>Mike Jones, Mindfull Investors, Obvious Ventures, Science, Slow Ventures, Stoneway Capital, Venture51</t>
        </is>
      </c>
      <c r="P775" s="24" t="inlineStr">
        <is>
          <t/>
        </is>
      </c>
      <c r="Q775" s="25" t="inlineStr">
        <is>
          <t>Beverages</t>
        </is>
      </c>
      <c r="R775" s="26" t="inlineStr">
        <is>
          <t>Provider of pressed juice and nutrition-based drinks, snacks and meals. The company operates retail stores as well as offers online retail of ready-to-eat meals, snacks and cold pressed juices which are organic, non-GMO, gluten free and have low glycemic.</t>
        </is>
      </c>
      <c r="S775" s="27" t="inlineStr">
        <is>
          <t>Santa Monica, CA</t>
        </is>
      </c>
      <c r="T775" s="28" t="inlineStr">
        <is>
          <t>www.urbanremedy.com</t>
        </is>
      </c>
      <c r="U775" s="131">
        <f>HYPERLINK("https://my.pitchbook.com?c=55602-28", "View company online")</f>
      </c>
    </row>
    <row r="776">
      <c r="A776" s="30" t="inlineStr">
        <is>
          <t>55759-87</t>
        </is>
      </c>
      <c r="B776" s="31" t="inlineStr">
        <is>
          <t>Urban FT</t>
        </is>
      </c>
      <c r="C776" s="32" t="n">
        <v>1.4</v>
      </c>
      <c r="D776" s="33" t="n">
        <v>0.2347809961811484</v>
      </c>
      <c r="E776" s="34" t="n">
        <v>0.6390288593678425</v>
      </c>
      <c r="F776" s="35" t="inlineStr">
        <is>
          <t/>
        </is>
      </c>
      <c r="G776" s="36" t="inlineStr">
        <is>
          <t>Early Stage VC</t>
        </is>
      </c>
      <c r="H776" s="37" t="inlineStr">
        <is>
          <t/>
        </is>
      </c>
      <c r="I776" s="38" t="inlineStr">
        <is>
          <t/>
        </is>
      </c>
      <c r="J776" s="39" t="inlineStr">
        <is>
          <t/>
        </is>
      </c>
      <c r="K776" s="40" t="inlineStr">
        <is>
          <t>Upcoming</t>
        </is>
      </c>
      <c r="L776" s="41" t="inlineStr">
        <is>
          <t>Privately Held (backing)</t>
        </is>
      </c>
      <c r="M776" s="42" t="inlineStr">
        <is>
          <t>Venture Capital-Backed</t>
        </is>
      </c>
      <c r="N776" s="43" t="inlineStr">
        <is>
          <t>The company is planning to raise an undisclosed amount of venture funding in February 2016. Previously, the company raised $2 million of venture funding from undisclosed investors on December 1, 2014. The company is being actively tracked by PitchBook.</t>
        </is>
      </c>
      <c r="O776" s="44" t="inlineStr">
        <is>
          <t/>
        </is>
      </c>
      <c r="P776" s="45" t="inlineStr">
        <is>
          <t/>
        </is>
      </c>
      <c r="Q776" s="46" t="inlineStr">
        <is>
          <t>Financial Software</t>
        </is>
      </c>
      <c r="R776" s="47" t="inlineStr">
        <is>
          <t>Provider of digital banking platform designed to enhance digital banking services for customers of financial institutions. The company's digital banking platform enables financial institutions with advanced analytics and the ability to push targeted deals and allows customers to manage their finances and discover venues and deals.</t>
        </is>
      </c>
      <c r="S776" s="48" t="inlineStr">
        <is>
          <t>New York, NY</t>
        </is>
      </c>
      <c r="T776" s="49" t="inlineStr">
        <is>
          <t>www.urbanft.com</t>
        </is>
      </c>
      <c r="U776" s="132">
        <f>HYPERLINK("https://my.pitchbook.com?c=55759-87", "View company online")</f>
      </c>
    </row>
    <row r="777">
      <c r="A777" s="9" t="inlineStr">
        <is>
          <t>43016-41</t>
        </is>
      </c>
      <c r="B777" s="10" t="inlineStr">
        <is>
          <t>Urban Airship</t>
        </is>
      </c>
      <c r="C777" s="11" t="inlineStr">
        <is>
          <t/>
        </is>
      </c>
      <c r="D777" s="12" t="n">
        <v>0.6204278552782282</v>
      </c>
      <c r="E777" s="13" t="n">
        <v>27.987946123299846</v>
      </c>
      <c r="F777" s="14" t="n">
        <v>42055.0</v>
      </c>
      <c r="G777" s="15" t="inlineStr">
        <is>
          <t>Later Stage VC</t>
        </is>
      </c>
      <c r="H777" s="16" t="inlineStr">
        <is>
          <t>Series D</t>
        </is>
      </c>
      <c r="I777" s="17" t="n">
        <v>21.0</v>
      </c>
      <c r="J777" s="18" t="n">
        <v>155.89</v>
      </c>
      <c r="K777" s="19" t="inlineStr">
        <is>
          <t>Completed</t>
        </is>
      </c>
      <c r="L777" s="20" t="inlineStr">
        <is>
          <t>Privately Held (backing)</t>
        </is>
      </c>
      <c r="M777" s="21" t="inlineStr">
        <is>
          <t>Venture Capital-Backed</t>
        </is>
      </c>
      <c r="N777" s="22" t="inlineStr">
        <is>
          <t>The company raised $21 million of Series D venture funding from True Ventures, Foundry Group and QuestMark Partners on February 20, 2015, putting the pre-money valuation at $134.89 million. Franklin Park Associates, Verizon Ventures, August Capital, ORIX Growth Capital, Portland Incubator Experiment and Rick Webb also participated in this round.</t>
        </is>
      </c>
      <c r="O777" s="23" t="inlineStr">
        <is>
          <t>August Capital, Bullpen Capital, Chris DeVore, Christopher Sacca, First Round Capital, Founder's Co-Op, Foundry Group, Franklin Park Associates, Intel Capital, Lowercase Capital, ORIX Growth Capital, Pete Grillo, Portland Incubator Experiment, QuestMark Partners, Rick Webb, Salesforce Ventures, Transmedia Capital, True Ventures, Verizon Ventures</t>
        </is>
      </c>
      <c r="P777" s="24" t="inlineStr">
        <is>
          <t/>
        </is>
      </c>
      <c r="Q777" s="25" t="inlineStr">
        <is>
          <t>Media and Information Services (B2B)</t>
        </is>
      </c>
      <c r="R777" s="26" t="inlineStr">
        <is>
          <t>Provider of mobile push messaging software designed to help businesses drive customer growth. The company's push messaging software helps businesses to build relationships with their always-connected customers through services that streamline delivering cross-platform mobile push messages, enabling marketers and developers deliver more than one billion mobile moments that inspire interest and drive action.</t>
        </is>
      </c>
      <c r="S777" s="27" t="inlineStr">
        <is>
          <t>Portland, OR</t>
        </is>
      </c>
      <c r="T777" s="28" t="inlineStr">
        <is>
          <t>www.urbanairship.com</t>
        </is>
      </c>
      <c r="U777" s="131">
        <f>HYPERLINK("https://my.pitchbook.com?c=43016-41", "View company online")</f>
      </c>
    </row>
    <row r="778">
      <c r="A778" s="30" t="inlineStr">
        <is>
          <t>181058-86</t>
        </is>
      </c>
      <c r="B778" s="31" t="inlineStr">
        <is>
          <t>Upwork</t>
        </is>
      </c>
      <c r="C778" s="32" t="inlineStr">
        <is>
          <t/>
        </is>
      </c>
      <c r="D778" s="33" t="n">
        <v>4.666215208250776</v>
      </c>
      <c r="E778" s="34" t="n">
        <v>741.2201481142159</v>
      </c>
      <c r="F778" s="35" t="n">
        <v>41968.0</v>
      </c>
      <c r="G778" s="36" t="inlineStr">
        <is>
          <t>Early Stage VC</t>
        </is>
      </c>
      <c r="H778" s="37" t="inlineStr">
        <is>
          <t>Series B1</t>
        </is>
      </c>
      <c r="I778" s="38" t="n">
        <v>30.0</v>
      </c>
      <c r="J778" s="39" t="n">
        <v>850.0</v>
      </c>
      <c r="K778" s="40" t="inlineStr">
        <is>
          <t>Completed</t>
        </is>
      </c>
      <c r="L778" s="41" t="inlineStr">
        <is>
          <t>Privately Held (backing)</t>
        </is>
      </c>
      <c r="M778" s="42" t="inlineStr">
        <is>
          <t>Venture Capital-Backed</t>
        </is>
      </c>
      <c r="N778" s="43" t="inlineStr">
        <is>
          <t>The company raised $30 million of Series B venture funding in a deal led by Benchmark Capital on November 25, 2014, putting the pre-money valuation at $820 million. T. Rowe Price, FirstMark Capital, Jackson Square Ventures, New Enterprise Associates, Globespan Capital Partners, Kleiner Perkins Caufield &amp; Byers and Stripes Group also participated in the round. To reach that global market, the company will use the funding to improve its technology including its matching tools to reduce the amount of time it takes for businesses and workers to connect.</t>
        </is>
      </c>
      <c r="O778" s="44" t="inlineStr">
        <is>
          <t>Benchmark Capital, C&amp;T Access Ventures Fund, Cambrian Ventures, CrossBridge Venture Partners, Duff Ackerman &amp; Goodrich, Firstmark, FirstMark Capital, Focus Ventures, GC&amp;H Investments, Globespan Capital Partners, GSV Capital, Industry Ventures, Integral Capital Partners, Jackson Square Ventures, Kennet Partners, Kleiner Perkins Caufield &amp; Byers, Lawrence Lenihan, New Enterprise Associates, Sherpalo Ventures, Sigma Partners, Stripes Group, SV Angel, T. Rowe Price</t>
        </is>
      </c>
      <c r="P778" s="45" t="inlineStr">
        <is>
          <t/>
        </is>
      </c>
      <c r="Q778" s="46" t="inlineStr">
        <is>
          <t>Human Capital Services</t>
        </is>
      </c>
      <c r="R778" s="47" t="inlineStr">
        <is>
          <t>Provider of freelancing services intended to help independent professionals in finding their perfect projects. The company's freelancing services includes Web development services, mobile development services, designing services, writing services, virtual assistants, customer services, accounting and consulting, enabling its clients with talented freelancers to get the work done at the right time.</t>
        </is>
      </c>
      <c r="S778" s="48" t="inlineStr">
        <is>
          <t>Mountain View, CA</t>
        </is>
      </c>
      <c r="T778" s="49" t="inlineStr">
        <is>
          <t>www.upwork.com</t>
        </is>
      </c>
      <c r="U778" s="132">
        <f>HYPERLINK("https://my.pitchbook.com?c=181058-86", "View company online")</f>
      </c>
    </row>
    <row r="779">
      <c r="A779" s="9" t="inlineStr">
        <is>
          <t>54159-49</t>
        </is>
      </c>
      <c r="B779" s="10" t="inlineStr">
        <is>
          <t>UpWest Labs</t>
        </is>
      </c>
      <c r="C779" s="11" t="inlineStr">
        <is>
          <t/>
        </is>
      </c>
      <c r="D779" s="12" t="n">
        <v>-0.5375866159184834</v>
      </c>
      <c r="E779" s="13" t="n">
        <v>5.356324515904472</v>
      </c>
      <c r="F779" s="14" t="inlineStr">
        <is>
          <t/>
        </is>
      </c>
      <c r="G779" s="15" t="inlineStr">
        <is>
          <t>Early Stage VC</t>
        </is>
      </c>
      <c r="H779" s="16" t="inlineStr">
        <is>
          <t/>
        </is>
      </c>
      <c r="I779" s="17" t="inlineStr">
        <is>
          <t/>
        </is>
      </c>
      <c r="J779" s="18" t="inlineStr">
        <is>
          <t/>
        </is>
      </c>
      <c r="K779" s="19" t="inlineStr">
        <is>
          <t>Completed</t>
        </is>
      </c>
      <c r="L779" s="20" t="inlineStr">
        <is>
          <t>Privately Held (backing)</t>
        </is>
      </c>
      <c r="M779" s="21" t="inlineStr">
        <is>
          <t>Venture Capital-Backed</t>
        </is>
      </c>
      <c r="N779" s="22" t="inlineStr">
        <is>
          <t>The company raised venture funding from SGVC, Kaedan Capital and Oren Zeev on an undisclosed date. Liron Petrushka, Gideon Michonik and Ofir Azury also participated.</t>
        </is>
      </c>
      <c r="O779" s="23" t="inlineStr">
        <is>
          <t>Individual Investor, Kaedan Capital, SGVC</t>
        </is>
      </c>
      <c r="P779" s="24" t="inlineStr">
        <is>
          <t/>
        </is>
      </c>
      <c r="Q779" s="25" t="inlineStr">
        <is>
          <t>Other Financial Services</t>
        </is>
      </c>
      <c r="R779" s="26" t="inlineStr">
        <is>
          <t>Provider of incubation and acceleration services. The company offers a mentorship-based three month program which provides startups with seed investment and access to a network of customers and capital.</t>
        </is>
      </c>
      <c r="S779" s="27" t="inlineStr">
        <is>
          <t>Palo Alto, CA</t>
        </is>
      </c>
      <c r="T779" s="28" t="inlineStr">
        <is>
          <t>www.upwestlabs.com</t>
        </is>
      </c>
      <c r="U779" s="131">
        <f>HYPERLINK("https://my.pitchbook.com?c=54159-49", "View company online")</f>
      </c>
    </row>
    <row r="780">
      <c r="A780" s="30" t="inlineStr">
        <is>
          <t>55620-28</t>
        </is>
      </c>
      <c r="B780" s="31" t="inlineStr">
        <is>
          <t>Upthere</t>
        </is>
      </c>
      <c r="C780" s="32" t="inlineStr">
        <is>
          <t/>
        </is>
      </c>
      <c r="D780" s="33" t="n">
        <v>-0.20934029674670718</v>
      </c>
      <c r="E780" s="34" t="n">
        <v>3.528825082583373</v>
      </c>
      <c r="F780" s="35" t="n">
        <v>42347.0</v>
      </c>
      <c r="G780" s="36" t="inlineStr">
        <is>
          <t>Debt - General</t>
        </is>
      </c>
      <c r="H780" s="37" t="inlineStr">
        <is>
          <t/>
        </is>
      </c>
      <c r="I780" s="38" t="n">
        <v>20.0</v>
      </c>
      <c r="J780" s="39" t="inlineStr">
        <is>
          <t/>
        </is>
      </c>
      <c r="K780" s="40" t="inlineStr">
        <is>
          <t>Completed</t>
        </is>
      </c>
      <c r="L780" s="41" t="inlineStr">
        <is>
          <t>Privately Held (backing)</t>
        </is>
      </c>
      <c r="M780" s="42" t="inlineStr">
        <is>
          <t>Venture Capital-Backed</t>
        </is>
      </c>
      <c r="N780" s="43" t="inlineStr">
        <is>
          <t>The company raised $77 million of venture funding in a deal led by Kleiner Perkins Caufield and Byers and Western Digital Capital on July 27, 2016. Elevation Partners, Floodgate Fund, GV, NTT Docomo Ventures and Square 1 Bank also participated. The company intends to use the funds to advance its technology. Previously, the company raised $39 million of Series B venture funding from NTT Docomo Ventures, Western Digital Capital and other undisclosed investors on November , 2013, putting the company's pre-money valuation at $141 million.</t>
        </is>
      </c>
      <c r="O780" s="44" t="inlineStr">
        <is>
          <t>Dell Technologies Capital, Elevation Partners, Floodgate Fund, GV, Kleiner Perkins Caufield &amp; Byers, NTT Docomo Ventures, Western Digital, Western Digital Capital</t>
        </is>
      </c>
      <c r="P780" s="45" t="inlineStr">
        <is>
          <t/>
        </is>
      </c>
      <c r="Q780" s="46" t="inlineStr">
        <is>
          <t>Social/Platform Software</t>
        </is>
      </c>
      <c r="R780" s="47" t="inlineStr">
        <is>
          <t>Provider of a consumer cloud-storage platform. The company's platform builds a full technology stack from the ground up to help consumers keep, find and share important and meaningful content. Its product is available for Android phone, iPhone, Mac, Windows and Web.</t>
        </is>
      </c>
      <c r="S780" s="48" t="inlineStr">
        <is>
          <t>Redwood City, CA</t>
        </is>
      </c>
      <c r="T780" s="49" t="inlineStr">
        <is>
          <t>www.upthere.com</t>
        </is>
      </c>
      <c r="U780" s="132">
        <f>HYPERLINK("https://my.pitchbook.com?c=55620-28", "View company online")</f>
      </c>
    </row>
    <row r="781">
      <c r="A781" s="9" t="inlineStr">
        <is>
          <t>54948-79</t>
        </is>
      </c>
      <c r="B781" s="10" t="inlineStr">
        <is>
          <t>Upstart Network</t>
        </is>
      </c>
      <c r="C781" s="11" t="inlineStr">
        <is>
          <t/>
        </is>
      </c>
      <c r="D781" s="12" t="n">
        <v>0.14956631597450915</v>
      </c>
      <c r="E781" s="13" t="n">
        <v>48.88445751520549</v>
      </c>
      <c r="F781" s="14" t="n">
        <v>42796.0</v>
      </c>
      <c r="G781" s="15" t="inlineStr">
        <is>
          <t>Later Stage VC</t>
        </is>
      </c>
      <c r="H781" s="16" t="inlineStr">
        <is>
          <t>Series C1</t>
        </is>
      </c>
      <c r="I781" s="17" t="n">
        <v>32.5</v>
      </c>
      <c r="J781" s="18" t="n">
        <v>210.0</v>
      </c>
      <c r="K781" s="19" t="inlineStr">
        <is>
          <t>Completed</t>
        </is>
      </c>
      <c r="L781" s="20" t="inlineStr">
        <is>
          <t>Privately Held (backing)</t>
        </is>
      </c>
      <c r="M781" s="21" t="inlineStr">
        <is>
          <t>Venture Capital-Backed</t>
        </is>
      </c>
      <c r="N781" s="22" t="inlineStr">
        <is>
          <t>The company raised $32.5 million of Series C1 venture funding in a deal led by Rakuten and another undisclosed investor on March 2, 2017, putting the pre-money valuation at $177.5 million. Khosla Ventures, First Round Capital, Blue Ivy Ventures and Third Point Ventures also participated in the round. The company will use the funds to further fuel its current growth trajectory.</t>
        </is>
      </c>
      <c r="O781" s="23" t="inlineStr">
        <is>
          <t>Andrew Palmer, Blue Ivy Ventures, Collaborative Fund, Correlation Ventures, CrunchFund, Eric Schmidt, First Round Capital, Founders Fund, Green D Ventures, GV, Innovation Endeavors, Joe Liemandt, Joshua Kopelman, Khosla Ventures, Kleiner Perkins Caufield &amp; Byers, Koa Labs, Marc Benioff, Mark Cuban, New Enterprise Associates, Rakuten, Scott Banister, Third Point Ventures</t>
        </is>
      </c>
      <c r="P781" s="24" t="inlineStr">
        <is>
          <t/>
        </is>
      </c>
      <c r="Q781" s="25" t="inlineStr">
        <is>
          <t>Financial Software</t>
        </is>
      </c>
      <c r="R781" s="26" t="inlineStr">
        <is>
          <t>Operator of an online lending marketplace intended to provide personal loans. The company's online lending marketplace offers 3-year and 5-year fixed loans based on signals of customer's potential, including schools attended, area of study, academic performance and work history, enabling customers to pay for a coding bootcamp, eliminate student debt or pay off credit cards.</t>
        </is>
      </c>
      <c r="S781" s="27" t="inlineStr">
        <is>
          <t>San Carlos, CA</t>
        </is>
      </c>
      <c r="T781" s="28" t="inlineStr">
        <is>
          <t>www.upstart.com</t>
        </is>
      </c>
      <c r="U781" s="131">
        <f>HYPERLINK("https://my.pitchbook.com?c=54948-79", "View company online")</f>
      </c>
    </row>
    <row r="782">
      <c r="A782" s="30" t="inlineStr">
        <is>
          <t>152735-50</t>
        </is>
      </c>
      <c r="B782" s="31" t="inlineStr">
        <is>
          <t>Upsight</t>
        </is>
      </c>
      <c r="C782" s="32" t="inlineStr">
        <is>
          <t/>
        </is>
      </c>
      <c r="D782" s="33" t="n">
        <v>-0.26999842642719385</v>
      </c>
      <c r="E782" s="34" t="n">
        <v>9.464536570468773</v>
      </c>
      <c r="F782" s="35" t="inlineStr">
        <is>
          <t/>
        </is>
      </c>
      <c r="G782" s="36" t="inlineStr">
        <is>
          <t>Early Stage VC</t>
        </is>
      </c>
      <c r="H782" s="37" t="inlineStr">
        <is>
          <t/>
        </is>
      </c>
      <c r="I782" s="38" t="inlineStr">
        <is>
          <t/>
        </is>
      </c>
      <c r="J782" s="39" t="inlineStr">
        <is>
          <t/>
        </is>
      </c>
      <c r="K782" s="40" t="inlineStr">
        <is>
          <t>Completed</t>
        </is>
      </c>
      <c r="L782" s="41" t="inlineStr">
        <is>
          <t>Privately Held (backing)</t>
        </is>
      </c>
      <c r="M782" s="42" t="inlineStr">
        <is>
          <t>Venture Capital-Backed</t>
        </is>
      </c>
      <c r="N782" s="43" t="inlineStr">
        <is>
          <t>The company raised an undisclosed amount of venture funding from Plaza Ventures and Sand Hill Angels.</t>
        </is>
      </c>
      <c r="O782" s="44" t="inlineStr">
        <is>
          <t>Altos Ventures, Auren Hoffman, Battery Ventures, e.ventures, Extreme Venture Partners, GGV Capital, Greg Thomson, James Hong, Jameson Hsu, LaunchTime, Maverick Capital, Mike Sego, Morgan Creek Capital Management, Plaza Ventures, Primary Venture Partners, Sand Hill Angels, Tandem Capital, William Lohse</t>
        </is>
      </c>
      <c r="P782" s="45" t="inlineStr">
        <is>
          <t/>
        </is>
      </c>
      <c r="Q782" s="46" t="inlineStr">
        <is>
          <t>Business/Productivity Software</t>
        </is>
      </c>
      <c r="R782" s="47" t="inlineStr">
        <is>
          <t>Provider of a business analytics and marketing platform for application developers. The company's platform provides business with key performance indicators and turns them into custom metrics to see what is impacting application performance. The platform also provides a tool through its dashboard enabling developers to share performance data with specific stakeholders.</t>
        </is>
      </c>
      <c r="S782" s="48" t="inlineStr">
        <is>
          <t>San Francisco, CA</t>
        </is>
      </c>
      <c r="T782" s="49" t="inlineStr">
        <is>
          <t>www.upsight.com</t>
        </is>
      </c>
      <c r="U782" s="132">
        <f>HYPERLINK("https://my.pitchbook.com?c=152735-50", "View company online")</f>
      </c>
    </row>
    <row r="783">
      <c r="A783" s="9" t="inlineStr">
        <is>
          <t>64516-51</t>
        </is>
      </c>
      <c r="B783" s="10" t="inlineStr">
        <is>
          <t>Uproxx Media Group</t>
        </is>
      </c>
      <c r="C783" s="11" t="n">
        <v>100.0</v>
      </c>
      <c r="D783" s="12" t="inlineStr">
        <is>
          <t/>
        </is>
      </c>
      <c r="E783" s="13" t="inlineStr">
        <is>
          <t/>
        </is>
      </c>
      <c r="F783" s="14" t="n">
        <v>42551.0</v>
      </c>
      <c r="G783" s="15" t="inlineStr">
        <is>
          <t>Early Stage VC</t>
        </is>
      </c>
      <c r="H783" s="16" t="inlineStr">
        <is>
          <t>Series B</t>
        </is>
      </c>
      <c r="I783" s="17" t="n">
        <v>18.5</v>
      </c>
      <c r="J783" s="18" t="n">
        <v>100.0</v>
      </c>
      <c r="K783" s="19" t="inlineStr">
        <is>
          <t>Completed</t>
        </is>
      </c>
      <c r="L783" s="20" t="inlineStr">
        <is>
          <t>Privately Held (backing)</t>
        </is>
      </c>
      <c r="M783" s="21" t="inlineStr">
        <is>
          <t>Venture Capital-Backed</t>
        </is>
      </c>
      <c r="N783" s="22" t="inlineStr">
        <is>
          <t>The company raised $18.5 million of Series B venture funding led by WPP Ventures on June 30, 2016, putting the pre-money valuation at $81.5 million. Institutional Venture Partners (IVP) and Advancit Capital also participated. The company will use the funding to globally expand its studio and scale its coverage of news, sports, and entertainment.</t>
        </is>
      </c>
      <c r="O783" s="23" t="inlineStr">
        <is>
          <t>Advancit Capital, Baron Davis, Brendan Wallace, Chris DeWolfe, IVP, Jermaine O'Neal, Mike Lazerow, Otter Rock Capital, The San Francisco 49ers, United Talent Agency, WPP Ventures, Ziffren Brittenham LLP</t>
        </is>
      </c>
      <c r="P783" s="24" t="inlineStr">
        <is>
          <t/>
        </is>
      </c>
      <c r="Q783" s="25" t="inlineStr">
        <is>
          <t>Social Content</t>
        </is>
      </c>
      <c r="R783" s="26" t="inlineStr">
        <is>
          <t>Operator of a male-focused digital media and content company. The company specializes in the production and publishing of male focused online and mobile news, entertainment and lifestyle content. It offers Uproxx for news, sports &amp; culture; Hitfix for entertainment reviews &amp; recaps and BroBible for young men's lifestyle.</t>
        </is>
      </c>
      <c r="S783" s="27" t="inlineStr">
        <is>
          <t>Culver City, CA</t>
        </is>
      </c>
      <c r="T783" s="28" t="inlineStr">
        <is>
          <t>www.uproxxmediagroup.com</t>
        </is>
      </c>
      <c r="U783" s="131">
        <f>HYPERLINK("https://my.pitchbook.com?c=64516-51", "View company online")</f>
      </c>
    </row>
    <row r="784">
      <c r="A784" s="30" t="inlineStr">
        <is>
          <t>57062-26</t>
        </is>
      </c>
      <c r="B784" s="31" t="inlineStr">
        <is>
          <t>UpOut</t>
        </is>
      </c>
      <c r="C784" s="32" t="inlineStr">
        <is>
          <t/>
        </is>
      </c>
      <c r="D784" s="33" t="n">
        <v>0.32374369333473574</v>
      </c>
      <c r="E784" s="34" t="n">
        <v>37.07577326774084</v>
      </c>
      <c r="F784" s="35" t="n">
        <v>41942.0</v>
      </c>
      <c r="G784" s="36" t="inlineStr">
        <is>
          <t>Seed Round</t>
        </is>
      </c>
      <c r="H784" s="37" t="inlineStr">
        <is>
          <t>Seed</t>
        </is>
      </c>
      <c r="I784" s="38" t="inlineStr">
        <is>
          <t/>
        </is>
      </c>
      <c r="J784" s="39" t="inlineStr">
        <is>
          <t/>
        </is>
      </c>
      <c r="K784" s="40" t="inlineStr">
        <is>
          <t>Completed</t>
        </is>
      </c>
      <c r="L784" s="41" t="inlineStr">
        <is>
          <t>Privately Held (backing)</t>
        </is>
      </c>
      <c r="M784" s="42" t="inlineStr">
        <is>
          <t>Venture Capital-Backed</t>
        </is>
      </c>
      <c r="N784" s="43" t="inlineStr">
        <is>
          <t>The company raised an undisclosed amount of seed funding from Bodley Group, IDG Ventures USA and Sierra Angels on October 30, 2014.</t>
        </is>
      </c>
      <c r="O784" s="44" t="inlineStr">
        <is>
          <t>Bodley Group, IDG Ventures USA, Michael Liou, North Bay Angels, Sand Hill Angels, Sierra Angels, Tandem Capital, Tsingyuan Ventures</t>
        </is>
      </c>
      <c r="P784" s="45" t="inlineStr">
        <is>
          <t/>
        </is>
      </c>
      <c r="Q784" s="46" t="inlineStr">
        <is>
          <t>Information Services (B2C)</t>
        </is>
      </c>
      <c r="R784" s="47" t="inlineStr">
        <is>
          <t>Provider of an online event-discovery platform. The company provides information about entertainment events for the underground culture, including happy hours, loft rock concerts, bike parties, masquerades, burlesque and other social events along with an invite-only membership for the users.</t>
        </is>
      </c>
      <c r="S784" s="48" t="inlineStr">
        <is>
          <t>San Francisco, CA</t>
        </is>
      </c>
      <c r="T784" s="49" t="inlineStr">
        <is>
          <t>www.upout.com</t>
        </is>
      </c>
      <c r="U784" s="132">
        <f>HYPERLINK("https://my.pitchbook.com?c=57062-26", "View company online")</f>
      </c>
    </row>
    <row r="785">
      <c r="A785" s="9" t="inlineStr">
        <is>
          <t>117536-77</t>
        </is>
      </c>
      <c r="B785" s="10" t="inlineStr">
        <is>
          <t>Upload</t>
        </is>
      </c>
      <c r="C785" s="11" t="inlineStr">
        <is>
          <t/>
        </is>
      </c>
      <c r="D785" s="12" t="n">
        <v>1.4827904536172274</v>
      </c>
      <c r="E785" s="13" t="n">
        <v>76.27231555431631</v>
      </c>
      <c r="F785" s="14" t="n">
        <v>42801.0</v>
      </c>
      <c r="G785" s="15" t="inlineStr">
        <is>
          <t>Early Stage VC</t>
        </is>
      </c>
      <c r="H785" s="16" t="inlineStr">
        <is>
          <t>Series A</t>
        </is>
      </c>
      <c r="I785" s="17" t="n">
        <v>4.6</v>
      </c>
      <c r="J785" s="18" t="n">
        <v>34.83</v>
      </c>
      <c r="K785" s="19" t="inlineStr">
        <is>
          <t>Completed</t>
        </is>
      </c>
      <c r="L785" s="20" t="inlineStr">
        <is>
          <t>Privately Held (backing)</t>
        </is>
      </c>
      <c r="M785" s="21" t="inlineStr">
        <is>
          <t>Venture Capital-Backed</t>
        </is>
      </c>
      <c r="N785" s="22" t="inlineStr">
        <is>
          <t>The company raised $4.6 million of Series A venture funding from Colopl on March 7, 2017, putting the pre-money valuation at $30.23 million. General Catalyst, NetEase, Sparkland Capital, Unity Ventures, CRCM, GREE, Greycroft's GC Tracker fund, Outpost Capital, David Chao and Julia Popowitz also participated in this round. The funds will be used to expand the company's three core domains: co-working, education and media, with a focus on Upload LA and the official launch of Upload EDU.</t>
        </is>
      </c>
      <c r="O785" s="23" t="inlineStr">
        <is>
          <t>ChinaRock Capital Management, COLOPL, David Chao, General Catalyst Partners, GREE, Greg Castle, Greycroft Partners, Joe Kraus, Julia Popowitz, NetEase, Outpost Capital, Philip Rosedale, Presence Capital, Shanda Group, Sparkland Capital, Sunny Dhillon, Tony Parisi, Unity Ventures, Virtual Reality Investments</t>
        </is>
      </c>
      <c r="P785" s="24" t="inlineStr">
        <is>
          <t/>
        </is>
      </c>
      <c r="Q785" s="25" t="inlineStr">
        <is>
          <t>Information Services (B2C)</t>
        </is>
      </c>
      <c r="R785" s="26" t="inlineStr">
        <is>
          <t>Operator of a media platform to provide information related to virtual reality topics. The company offers a platform that publishes virtual reality industry driven events, covers industry news and creates tools to connect the community.</t>
        </is>
      </c>
      <c r="S785" s="27" t="inlineStr">
        <is>
          <t>San Francisco, CA</t>
        </is>
      </c>
      <c r="T785" s="28" t="inlineStr">
        <is>
          <t>www.uploadvr.com</t>
        </is>
      </c>
      <c r="U785" s="131">
        <f>HYPERLINK("https://my.pitchbook.com?c=117536-77", "View company online")</f>
      </c>
    </row>
    <row r="786">
      <c r="A786" s="30" t="inlineStr">
        <is>
          <t>99445-24</t>
        </is>
      </c>
      <c r="B786" s="31" t="inlineStr">
        <is>
          <t>UpLift</t>
        </is>
      </c>
      <c r="C786" s="32" t="inlineStr">
        <is>
          <t/>
        </is>
      </c>
      <c r="D786" s="33" t="n">
        <v>0.0</v>
      </c>
      <c r="E786" s="34" t="n">
        <v>0.9718818197079067</v>
      </c>
      <c r="F786" s="35" t="n">
        <v>41954.0</v>
      </c>
      <c r="G786" s="36" t="inlineStr">
        <is>
          <t>Early Stage VC</t>
        </is>
      </c>
      <c r="H786" s="37" t="inlineStr">
        <is>
          <t>Series A</t>
        </is>
      </c>
      <c r="I786" s="38" t="n">
        <v>8.2</v>
      </c>
      <c r="J786" s="39" t="n">
        <v>33.56</v>
      </c>
      <c r="K786" s="40" t="inlineStr">
        <is>
          <t>Completed</t>
        </is>
      </c>
      <c r="L786" s="41" t="inlineStr">
        <is>
          <t>Privately Held (backing)</t>
        </is>
      </c>
      <c r="M786" s="42" t="inlineStr">
        <is>
          <t>Venture Capital-Backed</t>
        </is>
      </c>
      <c r="N786" s="43" t="inlineStr">
        <is>
          <t>The company raised $8.2 million of Series A venture funding in a deal led by IDG Ventures USA on November 11, 2014, putting the pre-money valuation at $25.36 million. PAR Capital Management, Thayer Ventures, LaunchCapital, Accelerate St Louis and other individual investors also participated in this round. This financing enables UpLift to expand its platform applications for both merchants and third party service providers, introduce UpLift into new verticals, and integrate additional data sources for all its markets.</t>
        </is>
      </c>
      <c r="O786" s="44" t="inlineStr">
        <is>
          <t>IDG Ventures USA, Individual Investor, LaunchCapital, PAR Capital Management, Thayer Ventures</t>
        </is>
      </c>
      <c r="P786" s="45" t="inlineStr">
        <is>
          <t/>
        </is>
      </c>
      <c r="Q786" s="46" t="inlineStr">
        <is>
          <t>Media and Information Services (B2B)</t>
        </is>
      </c>
      <c r="R786" s="47" t="inlineStr">
        <is>
          <t>Developer of a payment marketing platform designed to facilitate payment patters. The company's payment marketing platform empowers large online merchants to promote preferred payment types, drive acquisition and increased usage of merchant co-branded cards, build brand loyalty and propel channel shift, enabling travel and e-commerce industries build merchant brand affinity and create long-lasting customer and donor relationships.</t>
        </is>
      </c>
      <c r="S786" s="48" t="inlineStr">
        <is>
          <t>Sunnyvale, CA</t>
        </is>
      </c>
      <c r="T786" s="49" t="inlineStr">
        <is>
          <t>www.uplift.com</t>
        </is>
      </c>
      <c r="U786" s="132">
        <f>HYPERLINK("https://my.pitchbook.com?c=99445-24", "View company online")</f>
      </c>
    </row>
    <row r="787">
      <c r="A787" s="9" t="inlineStr">
        <is>
          <t>155877-58</t>
        </is>
      </c>
      <c r="B787" s="10" t="inlineStr">
        <is>
          <t>UpLabs</t>
        </is>
      </c>
      <c r="C787" s="11" t="inlineStr">
        <is>
          <t/>
        </is>
      </c>
      <c r="D787" s="12" t="n">
        <v>1.0503892543229896</v>
      </c>
      <c r="E787" s="13" t="n">
        <v>15.521530004580853</v>
      </c>
      <c r="F787" s="14" t="n">
        <v>42458.0</v>
      </c>
      <c r="G787" s="15" t="inlineStr">
        <is>
          <t>Early Stage VC</t>
        </is>
      </c>
      <c r="H787" s="16" t="inlineStr">
        <is>
          <t/>
        </is>
      </c>
      <c r="I787" s="17" t="inlineStr">
        <is>
          <t/>
        </is>
      </c>
      <c r="J787" s="18" t="inlineStr">
        <is>
          <t/>
        </is>
      </c>
      <c r="K787" s="19" t="inlineStr">
        <is>
          <t>Completed</t>
        </is>
      </c>
      <c r="L787" s="20" t="inlineStr">
        <is>
          <t>Privately Held (backing)</t>
        </is>
      </c>
      <c r="M787" s="21" t="inlineStr">
        <is>
          <t>Venture Capital-Backed</t>
        </is>
      </c>
      <c r="N787" s="22" t="inlineStr">
        <is>
          <t>The company raised an undisclosed amount of venture funding from Sparkland Capital and Zillionize on March 29, 2016.</t>
        </is>
      </c>
      <c r="O787" s="23" t="inlineStr">
        <is>
          <t>Sparkland Capital, Y Combinator, Zillionize</t>
        </is>
      </c>
      <c r="P787" s="24" t="inlineStr">
        <is>
          <t/>
        </is>
      </c>
      <c r="Q787" s="25" t="inlineStr">
        <is>
          <t>Application Software</t>
        </is>
      </c>
      <c r="R787" s="26" t="inlineStr">
        <is>
          <t>Provider of an online platform for application development. The company provides an online platform for designers and developers to find and share resources to build apps and sites.</t>
        </is>
      </c>
      <c r="S787" s="27" t="inlineStr">
        <is>
          <t>Mountain View, CA</t>
        </is>
      </c>
      <c r="T787" s="28" t="inlineStr">
        <is>
          <t>www.uplabs.com</t>
        </is>
      </c>
      <c r="U787" s="131">
        <f>HYPERLINK("https://my.pitchbook.com?c=155877-58", "View company online")</f>
      </c>
    </row>
    <row r="788">
      <c r="A788" s="30" t="inlineStr">
        <is>
          <t>113726-98</t>
        </is>
      </c>
      <c r="B788" s="31" t="inlineStr">
        <is>
          <t>UpKeep Maintenance Management</t>
        </is>
      </c>
      <c r="C788" s="32" t="inlineStr">
        <is>
          <t/>
        </is>
      </c>
      <c r="D788" s="33" t="n">
        <v>0.5724321578726757</v>
      </c>
      <c r="E788" s="34" t="n">
        <v>7.099425378109976</v>
      </c>
      <c r="F788" s="35" t="n">
        <v>42825.0</v>
      </c>
      <c r="G788" s="36" t="inlineStr">
        <is>
          <t>Early Stage VC</t>
        </is>
      </c>
      <c r="H788" s="37" t="inlineStr">
        <is>
          <t/>
        </is>
      </c>
      <c r="I788" s="38" t="inlineStr">
        <is>
          <t/>
        </is>
      </c>
      <c r="J788" s="39" t="inlineStr">
        <is>
          <t/>
        </is>
      </c>
      <c r="K788" s="40" t="inlineStr">
        <is>
          <t>Completed</t>
        </is>
      </c>
      <c r="L788" s="41" t="inlineStr">
        <is>
          <t>Privately Held (backing)</t>
        </is>
      </c>
      <c r="M788" s="42" t="inlineStr">
        <is>
          <t>Venture Capital-Backed</t>
        </is>
      </c>
      <c r="N788" s="43" t="inlineStr">
        <is>
          <t>The company raised an undisclosed amount of venture funding from FundersClub on March 31, 2017. The company also graduated from Y Combinator as a part of Winter 2017 Batch and received $120,000 in funding on March 20, 2017.</t>
        </is>
      </c>
      <c r="O788" s="44" t="inlineStr">
        <is>
          <t>FundersClub, Y Combinator</t>
        </is>
      </c>
      <c r="P788" s="45" t="inlineStr">
        <is>
          <t/>
        </is>
      </c>
      <c r="Q788" s="46" t="inlineStr">
        <is>
          <t>Business/Productivity Software</t>
        </is>
      </c>
      <c r="R788" s="47" t="inlineStr">
        <is>
          <t>Developer of an enterprise asset and maintenance management created for managing work orders in manufacturing on mobile devices. The company's maintenance management software UpKeep, stores, maintains and monitors work orders, inventory, reports, costs and view reports and also facilitates seamless communication within teams for creating new inventory requests, enabling maintenance technicians and managers to speed up the maintenance work order process, increase visibility, enhance productivity and save money and time.</t>
        </is>
      </c>
      <c r="S788" s="48" t="inlineStr">
        <is>
          <t>Los Angeles, CA</t>
        </is>
      </c>
      <c r="T788" s="49" t="inlineStr">
        <is>
          <t>www.onupkeep.com</t>
        </is>
      </c>
      <c r="U788" s="132">
        <f>HYPERLINK("https://my.pitchbook.com?c=113726-98", "View company online")</f>
      </c>
    </row>
    <row r="789">
      <c r="A789" s="9" t="inlineStr">
        <is>
          <t>54869-86</t>
        </is>
      </c>
      <c r="B789" s="10" t="inlineStr">
        <is>
          <t>UpGuard</t>
        </is>
      </c>
      <c r="C789" s="11" t="inlineStr">
        <is>
          <t/>
        </is>
      </c>
      <c r="D789" s="12" t="n">
        <v>0.0</v>
      </c>
      <c r="E789" s="13" t="n">
        <v>0.031073446327683617</v>
      </c>
      <c r="F789" s="14" t="n">
        <v>42593.0</v>
      </c>
      <c r="G789" s="15" t="inlineStr">
        <is>
          <t>Early Stage VC</t>
        </is>
      </c>
      <c r="H789" s="16" t="inlineStr">
        <is>
          <t>Series B</t>
        </is>
      </c>
      <c r="I789" s="17" t="n">
        <v>15.5</v>
      </c>
      <c r="J789" s="18" t="inlineStr">
        <is>
          <t/>
        </is>
      </c>
      <c r="K789" s="19" t="inlineStr">
        <is>
          <t>Completed</t>
        </is>
      </c>
      <c r="L789" s="20" t="inlineStr">
        <is>
          <t>Privately Held (backing)</t>
        </is>
      </c>
      <c r="M789" s="21" t="inlineStr">
        <is>
          <t>Venture Capital-Backed</t>
        </is>
      </c>
      <c r="N789" s="22" t="inlineStr">
        <is>
          <t>The company raised $15.5 million of Series B venture funding in a deal led by Pelion Venture Partners and Square Peg Capital on August 11, 2016. Insurance Australia Group, Valar Ventures and August Capital also participated in the round. The company will use the funds to accelerate its growth strategy centered on increasing adoption of its cyber security assessment score and exploring insurance opportunities.</t>
        </is>
      </c>
      <c r="O789" s="23" t="inlineStr">
        <is>
          <t>500 Startups, Alan Jones, Anthony Marcar, Ashley Fontana, August Capital, Citrix Startup Accelerator, Insurance Australia Group, Larry Marshall, Mark Jung, Pelion Venture Partners, Scott Petry, Square Peg Capital, Starfish Ventures, Startmate, Valar Ventures</t>
        </is>
      </c>
      <c r="P789" s="24" t="inlineStr">
        <is>
          <t/>
        </is>
      </c>
      <c r="Q789" s="25" t="inlineStr">
        <is>
          <t>Social/Platform Software</t>
        </is>
      </c>
      <c r="R789" s="26" t="inlineStr">
        <is>
          <t>Provider of a digital resilience platform. The company provides a software that certifies configurations of applications hosted internally or externally, allowing companies to test complex system configurations and share them across internal teams.</t>
        </is>
      </c>
      <c r="S789" s="27" t="inlineStr">
        <is>
          <t>San Francisco, CA</t>
        </is>
      </c>
      <c r="T789" s="28" t="inlineStr">
        <is>
          <t>www.upguard.com</t>
        </is>
      </c>
      <c r="U789" s="131">
        <f>HYPERLINK("https://my.pitchbook.com?c=54869-86", "View company online")</f>
      </c>
    </row>
    <row r="790">
      <c r="A790" s="30" t="inlineStr">
        <is>
          <t>179520-76</t>
        </is>
      </c>
      <c r="B790" s="31" t="inlineStr">
        <is>
          <t>Upgrade (US)</t>
        </is>
      </c>
      <c r="C790" s="32" t="inlineStr">
        <is>
          <t/>
        </is>
      </c>
      <c r="D790" s="33" t="n">
        <v>1.8085764986476311</v>
      </c>
      <c r="E790" s="34" t="n">
        <v>1.812277703010938</v>
      </c>
      <c r="F790" s="35" t="n">
        <v>42832.0</v>
      </c>
      <c r="G790" s="36" t="inlineStr">
        <is>
          <t>Early Stage VC</t>
        </is>
      </c>
      <c r="H790" s="37" t="inlineStr">
        <is>
          <t>Series A2</t>
        </is>
      </c>
      <c r="I790" s="38" t="n">
        <v>54.25</v>
      </c>
      <c r="J790" s="39" t="n">
        <v>280.0</v>
      </c>
      <c r="K790" s="40" t="inlineStr">
        <is>
          <t>Completed</t>
        </is>
      </c>
      <c r="L790" s="41" t="inlineStr">
        <is>
          <t>Privately Held (backing)</t>
        </is>
      </c>
      <c r="M790" s="42" t="inlineStr">
        <is>
          <t>Venture Capital-Backed</t>
        </is>
      </c>
      <c r="N790" s="43" t="inlineStr">
        <is>
          <t>The company raised $54.25 million of Series A2 venture funding from Union Square Ventures, Credit Ease and FirstMark Capital on April 7, 2017, putting the pre-money valuation at $237.75 million. Noah Holdings, Ribbit Capital, Sands Capital Ventures, SVB Financial Group, Uprising, Vy Capital and Yuri Milner also participated in this round. Of the total amount, $12 million was raised via convertible debt. This brings the company's total Series A funding to $60 million.</t>
        </is>
      </c>
      <c r="O790" s="44" t="inlineStr">
        <is>
          <t>CreditEase, FirstMark Capital, Noah Holdings, Ribbit Capital, Sands Capital Ventures, Silicon Valley Bank, Union Square Ventures, Uprising, Vy Capital, Yuri Milner</t>
        </is>
      </c>
      <c r="P790" s="45" t="inlineStr">
        <is>
          <t/>
        </is>
      </c>
      <c r="Q790" s="46" t="inlineStr">
        <is>
          <t>Other Financial Services</t>
        </is>
      </c>
      <c r="R790" s="47" t="inlineStr">
        <is>
          <t>Provider of marketing tools intended to help users in understanding and improving their credit score. The company's marketing tools through an online platform, enables the clients to check their credit rate, choose the optimum offer and accept or deposit any loan.</t>
        </is>
      </c>
      <c r="S790" s="48" t="inlineStr">
        <is>
          <t>San Francisco, CA</t>
        </is>
      </c>
      <c r="T790" s="49" t="inlineStr">
        <is>
          <t>www.upgrade.com</t>
        </is>
      </c>
      <c r="U790" s="132">
        <f>HYPERLINK("https://my.pitchbook.com?c=179520-76", "View company online")</f>
      </c>
    </row>
    <row r="791">
      <c r="A791" s="9" t="inlineStr">
        <is>
          <t>59262-58</t>
        </is>
      </c>
      <c r="B791" s="10" t="inlineStr">
        <is>
          <t>UpCounsel</t>
        </is>
      </c>
      <c r="C791" s="11" t="inlineStr">
        <is>
          <t/>
        </is>
      </c>
      <c r="D791" s="12" t="n">
        <v>-0.6803951763933597</v>
      </c>
      <c r="E791" s="13" t="n">
        <v>32.60983285106351</v>
      </c>
      <c r="F791" s="14" t="n">
        <v>42201.0</v>
      </c>
      <c r="G791" s="15" t="inlineStr">
        <is>
          <t>Early Stage VC</t>
        </is>
      </c>
      <c r="H791" s="16" t="inlineStr">
        <is>
          <t>Series A</t>
        </is>
      </c>
      <c r="I791" s="17" t="n">
        <v>10.0</v>
      </c>
      <c r="J791" s="18" t="n">
        <v>31.71</v>
      </c>
      <c r="K791" s="19" t="inlineStr">
        <is>
          <t>Completed</t>
        </is>
      </c>
      <c r="L791" s="20" t="inlineStr">
        <is>
          <t>Privately Held (backing)</t>
        </is>
      </c>
      <c r="M791" s="21" t="inlineStr">
        <is>
          <t>Venture Capital-Backed</t>
        </is>
      </c>
      <c r="N791" s="22" t="inlineStr">
        <is>
          <t>The company raised $10 million of Series A venture funding in a deal led by Menlo Ventures on July 16, 2015, putting the company's pre-money valuation at $21.71 million. Homebrew, Cota Capital, Jared Kopf, BluePointe Ventures, ZenStone Venture Capital and Compound Ventures also participated in the round. The funds will be used to expand the company's sales and marketing teams. It also raised $2.4 million seed funding in a deal led by Compound Ventures and Crosslink Capital on August 6, 2014, putting the company's pre-money valuation at $8.69 million. Homebrew, RONA Holdings, FundersClub, Iowa City Capital Partners, Barbara Corcoran Venture Partners, Joshua Baer, Ben Pouladian and Anthony Marlowe also participated in the round. The company intends to use the funds to continue to expand operations into other major business hubs in states like Illinois (Chicago) and Texas (Austin, Dallas and San Antonio).</t>
        </is>
      </c>
      <c r="O791" s="23" t="inlineStr">
        <is>
          <t>Adam Sharp, AngelPad, Anthony Marlowe, Barbara Corcoran Venture Partners, Ben Pouladian, BluePointe Ventures, Bobby Yazdani, Collaborative Fund, Compound Ventures, Cota Capital, Crosslink Capital, Dan Rose, FundersClub, Haroon Mokhtarzada, Homebrew, Idris Mokhtarzada, Iowa City Capital Partners, Jared Kopf, Johnny Goodman, Joshua Baer, Justin Darcy, Menlo Ventures, Noosheen Hashemi, Paul Holliman, RONA Holdings, Shawn V. Gruver, Signatures Capital, Streamlined Ventures, SV Angel, Thomas Korte, Ullas Naik, ZenStone Venture Capital</t>
        </is>
      </c>
      <c r="P791" s="24" t="inlineStr">
        <is>
          <t/>
        </is>
      </c>
      <c r="Q791" s="25" t="inlineStr">
        <is>
          <t>Legal Services (B2B)</t>
        </is>
      </c>
      <c r="R791" s="26" t="inlineStr">
        <is>
          <t>Provider of an online workplace for businesses to find, hire and work with legal attorneys. The company provides a marketplace for large and small businesses to access a community of independent lawyers for legal needs.</t>
        </is>
      </c>
      <c r="S791" s="27" t="inlineStr">
        <is>
          <t>San Francisco, CA</t>
        </is>
      </c>
      <c r="T791" s="28" t="inlineStr">
        <is>
          <t>www.upcounsel.com</t>
        </is>
      </c>
      <c r="U791" s="131">
        <f>HYPERLINK("https://my.pitchbook.com?c=59262-58", "View company online")</f>
      </c>
    </row>
    <row r="792">
      <c r="A792" s="30" t="inlineStr">
        <is>
          <t>168664-33</t>
        </is>
      </c>
      <c r="B792" s="31" t="inlineStr">
        <is>
          <t>Upbeat</t>
        </is>
      </c>
      <c r="C792" s="32" t="inlineStr">
        <is>
          <t/>
        </is>
      </c>
      <c r="D792" s="33" t="inlineStr">
        <is>
          <t/>
        </is>
      </c>
      <c r="E792" s="34" t="inlineStr">
        <is>
          <t/>
        </is>
      </c>
      <c r="F792" s="35" t="n">
        <v>42893.0</v>
      </c>
      <c r="G792" s="36" t="inlineStr">
        <is>
          <t>Seed Round</t>
        </is>
      </c>
      <c r="H792" s="37" t="inlineStr">
        <is>
          <t>Seed</t>
        </is>
      </c>
      <c r="I792" s="38" t="n">
        <v>1.5</v>
      </c>
      <c r="J792" s="39" t="inlineStr">
        <is>
          <t/>
        </is>
      </c>
      <c r="K792" s="40" t="inlineStr">
        <is>
          <t>Completed</t>
        </is>
      </c>
      <c r="L792" s="41" t="inlineStr">
        <is>
          <t>Privately Held (backing)</t>
        </is>
      </c>
      <c r="M792" s="42" t="inlineStr">
        <is>
          <t>Venture Capital-Backed</t>
        </is>
      </c>
      <c r="N792" s="43" t="inlineStr">
        <is>
          <t>The company raised $1.5 million of Seed funding from Firstrock Capital, SV Angel and Charles River Ventures on June 7, 2017. Draper Associates, Maverick Capital, Kleiner Perkins Caufield Byers, StartX, UpHonest Capital, Quest Venture Partners, Y Combinator, 500 Startups, Esther Dyson, Philip Kaplan and other undisclosed investors also participated.</t>
        </is>
      </c>
      <c r="O792" s="44" t="inlineStr">
        <is>
          <t>500 Startups, Charles River Ventures, Draper Associates, Esther Dyson, Firstrock Capital, Kleiner Perkins Caufield &amp; Byers, Maverick Capital, Maverick Ventures (San Francisco), Philip Kaplan, Quest Venture Partners, Stanford StartX, StartX, SV Angel, UpHonest Capital, Y Combinator</t>
        </is>
      </c>
      <c r="P792" s="45" t="inlineStr">
        <is>
          <t/>
        </is>
      </c>
      <c r="Q792" s="46" t="inlineStr">
        <is>
          <t>Social/Platform Software</t>
        </is>
      </c>
      <c r="R792" s="47" t="inlineStr">
        <is>
          <t>Provider of public relation services designed to offer accountability advice. The company's public relation services include services from public relation experts who guides the media outreach process, as well as offers real-time analytics on dashboard for all media outreach efforts, enabling clients to launch outreach campaigns.</t>
        </is>
      </c>
      <c r="S792" s="48" t="inlineStr">
        <is>
          <t>San Francisco, CA</t>
        </is>
      </c>
      <c r="T792" s="49" t="inlineStr">
        <is>
          <t>www.upbeatpr.com</t>
        </is>
      </c>
      <c r="U792" s="132">
        <f>HYPERLINK("https://my.pitchbook.com?c=168664-33", "View company online")</f>
      </c>
    </row>
    <row r="793">
      <c r="A793" s="9" t="inlineStr">
        <is>
          <t>56881-36</t>
        </is>
      </c>
      <c r="B793" s="10" t="inlineStr">
        <is>
          <t>uParts</t>
        </is>
      </c>
      <c r="C793" s="11" t="inlineStr">
        <is>
          <t/>
        </is>
      </c>
      <c r="D793" s="12" t="n">
        <v>0.0</v>
      </c>
      <c r="E793" s="13" t="n">
        <v>0.3489464040311498</v>
      </c>
      <c r="F793" s="14" t="n">
        <v>41730.0</v>
      </c>
      <c r="G793" s="15" t="inlineStr">
        <is>
          <t>Secondary Transaction - Private</t>
        </is>
      </c>
      <c r="H793" s="16" t="inlineStr">
        <is>
          <t/>
        </is>
      </c>
      <c r="I793" s="17" t="inlineStr">
        <is>
          <t/>
        </is>
      </c>
      <c r="J793" s="18" t="inlineStr">
        <is>
          <t/>
        </is>
      </c>
      <c r="K793" s="19" t="inlineStr">
        <is>
          <t>Completed</t>
        </is>
      </c>
      <c r="L793" s="20" t="inlineStr">
        <is>
          <t>Privately Held (backing)</t>
        </is>
      </c>
      <c r="M793" s="21" t="inlineStr">
        <is>
          <t>Venture Capital-Backed</t>
        </is>
      </c>
      <c r="N793" s="22" t="inlineStr">
        <is>
          <t>Fraser McCombs Capital sold its stake in the company to an undisclosed investor in April 2014.</t>
        </is>
      </c>
      <c r="O793" s="23" t="inlineStr">
        <is>
          <t>Kamran Pourzanjani, Upfront Ventures</t>
        </is>
      </c>
      <c r="P793" s="24" t="inlineStr">
        <is>
          <t/>
        </is>
      </c>
      <c r="Q793" s="25" t="inlineStr">
        <is>
          <t>Social/Platform Software</t>
        </is>
      </c>
      <c r="R793" s="26" t="inlineStr">
        <is>
          <t>Provider of an electronic parts procurement platform. The company's cloud-based platform enables repair shops and insurance carriers to obtain part information, communicate with suppliers and procure auto parts.</t>
        </is>
      </c>
      <c r="S793" s="27" t="inlineStr">
        <is>
          <t>Irvine, CA</t>
        </is>
      </c>
      <c r="T793" s="28" t="inlineStr">
        <is>
          <t>www.uparts.com</t>
        </is>
      </c>
      <c r="U793" s="131">
        <f>HYPERLINK("https://my.pitchbook.com?c=56881-36", "View company online")</f>
      </c>
    </row>
    <row r="794">
      <c r="A794" s="30" t="inlineStr">
        <is>
          <t>64320-49</t>
        </is>
      </c>
      <c r="B794" s="31" t="inlineStr">
        <is>
          <t>Unyq</t>
        </is>
      </c>
      <c r="C794" s="32" t="inlineStr">
        <is>
          <t/>
        </is>
      </c>
      <c r="D794" s="33" t="n">
        <v>0.19673184820873518</v>
      </c>
      <c r="E794" s="34" t="n">
        <v>5.592492144739748</v>
      </c>
      <c r="F794" s="35" t="n">
        <v>42746.0</v>
      </c>
      <c r="G794" s="36" t="inlineStr">
        <is>
          <t>Early Stage VC</t>
        </is>
      </c>
      <c r="H794" s="37" t="inlineStr">
        <is>
          <t>Series A</t>
        </is>
      </c>
      <c r="I794" s="38" t="n">
        <v>4.28</v>
      </c>
      <c r="J794" s="39" t="n">
        <v>12.23</v>
      </c>
      <c r="K794" s="40" t="inlineStr">
        <is>
          <t>Completed</t>
        </is>
      </c>
      <c r="L794" s="41" t="inlineStr">
        <is>
          <t>Privately Held (backing)</t>
        </is>
      </c>
      <c r="M794" s="42" t="inlineStr">
        <is>
          <t>Venture Capital-Backed</t>
        </is>
      </c>
      <c r="N794" s="43" t="inlineStr">
        <is>
          <t>The company raised $4.27 million of Series A venture funding from Graph Ventures and HealthTech Capital on January 11, 2017, putting the pre-money valuation at $7.95 million. A portion of the funding was raised via crowdfunding platform Fundable.</t>
        </is>
      </c>
      <c r="O794" s="44" t="inlineStr">
        <is>
          <t>Anthony Guilder, Bob Bradley, Center for Translation of Rehabilitation Engineering Advances and Technology, Foundation for Physical Therapy, Graph Ventures, HealthTech Capital, Jim Wirth, Justin Dorfman, New England Pediatric Device Consortium, Pediatric Orthopaedic Society of North America, Robert Dorfman, Seedchange</t>
        </is>
      </c>
      <c r="P794" s="45" t="inlineStr">
        <is>
          <t/>
        </is>
      </c>
      <c r="Q794" s="46" t="inlineStr">
        <is>
          <t>Other Devices and Supplies</t>
        </is>
      </c>
      <c r="R794" s="47" t="inlineStr">
        <is>
          <t>Developer of prosthetic covers designed to restore body symmetry. The company's prosthetic covers are customized with 3D prints and different color combinations, enabling amputees to access stylish life enhancing devices.</t>
        </is>
      </c>
      <c r="S794" s="48" t="inlineStr">
        <is>
          <t>San Francisco, CA</t>
        </is>
      </c>
      <c r="T794" s="49" t="inlineStr">
        <is>
          <t>www.unyq.com</t>
        </is>
      </c>
      <c r="U794" s="132">
        <f>HYPERLINK("https://my.pitchbook.com?c=64320-49", "View company online")</f>
      </c>
    </row>
    <row r="795">
      <c r="A795" s="9" t="inlineStr">
        <is>
          <t>118961-65</t>
        </is>
      </c>
      <c r="B795" s="10" t="inlineStr">
        <is>
          <t>Unsugarcoat Media</t>
        </is>
      </c>
      <c r="C795" s="11" t="inlineStr">
        <is>
          <t/>
        </is>
      </c>
      <c r="D795" s="12" t="n">
        <v>0.0</v>
      </c>
      <c r="E795" s="13" t="n">
        <v>0.16216216216216217</v>
      </c>
      <c r="F795" s="14" t="n">
        <v>42184.0</v>
      </c>
      <c r="G795" s="15" t="inlineStr">
        <is>
          <t>Seed Round</t>
        </is>
      </c>
      <c r="H795" s="16" t="inlineStr">
        <is>
          <t>Seed</t>
        </is>
      </c>
      <c r="I795" s="17" t="n">
        <v>0.31</v>
      </c>
      <c r="J795" s="18" t="n">
        <v>0.91</v>
      </c>
      <c r="K795" s="19" t="inlineStr">
        <is>
          <t>Completed</t>
        </is>
      </c>
      <c r="L795" s="20" t="inlineStr">
        <is>
          <t>Privately Held (backing)</t>
        </is>
      </c>
      <c r="M795" s="21" t="inlineStr">
        <is>
          <t>Venture Capital-Backed</t>
        </is>
      </c>
      <c r="N795" s="22" t="inlineStr">
        <is>
          <t>The company raised $310,000 of seed funding from undisclosed investors on June 29, 2015, putting the company's pre-money valuation at $597,870.</t>
        </is>
      </c>
      <c r="O795" s="23" t="inlineStr">
        <is>
          <t/>
        </is>
      </c>
      <c r="P795" s="24" t="inlineStr">
        <is>
          <t/>
        </is>
      </c>
      <c r="Q795" s="25" t="inlineStr">
        <is>
          <t>Other Business Products and Services</t>
        </is>
      </c>
      <c r="R795" s="26" t="inlineStr">
        <is>
          <t>The company is currently operating in stealth mode.</t>
        </is>
      </c>
      <c r="S795" s="27" t="inlineStr">
        <is>
          <t>San Mateo, CA</t>
        </is>
      </c>
      <c r="T795" s="28" t="inlineStr">
        <is>
          <t>www.unsugarcoat.com</t>
        </is>
      </c>
      <c r="U795" s="131">
        <f>HYPERLINK("https://my.pitchbook.com?c=118961-65", "View company online")</f>
      </c>
    </row>
    <row r="796">
      <c r="A796" s="30" t="inlineStr">
        <is>
          <t>102790-00</t>
        </is>
      </c>
      <c r="B796" s="31" t="inlineStr">
        <is>
          <t>UnSpun</t>
        </is>
      </c>
      <c r="C796" s="32" t="inlineStr">
        <is>
          <t/>
        </is>
      </c>
      <c r="D796" s="33" t="n">
        <v>0.0</v>
      </c>
      <c r="E796" s="34" t="n">
        <v>0.05405405405405406</v>
      </c>
      <c r="F796" s="35" t="n">
        <v>42138.0</v>
      </c>
      <c r="G796" s="36" t="inlineStr">
        <is>
          <t>Accelerator/Incubator</t>
        </is>
      </c>
      <c r="H796" s="37" t="inlineStr">
        <is>
          <t/>
        </is>
      </c>
      <c r="I796" s="38" t="n">
        <v>0.02</v>
      </c>
      <c r="J796" s="39" t="inlineStr">
        <is>
          <t/>
        </is>
      </c>
      <c r="K796" s="40" t="inlineStr">
        <is>
          <t>Completed</t>
        </is>
      </c>
      <c r="L796" s="41" t="inlineStr">
        <is>
          <t>Privately Held (backing)</t>
        </is>
      </c>
      <c r="M796" s="42" t="inlineStr">
        <is>
          <t>Venture Capital-Backed</t>
        </is>
      </c>
      <c r="N796" s="43" t="inlineStr">
        <is>
          <t>The company joined Highland Capital Partners as a part of its Summer@Highland Class of 2015 on May 14, 2015 and received $20,000 in funding.</t>
        </is>
      </c>
      <c r="O796" s="44" t="inlineStr">
        <is>
          <t>Highland Capital Partners</t>
        </is>
      </c>
      <c r="P796" s="45" t="inlineStr">
        <is>
          <t/>
        </is>
      </c>
      <c r="Q796" s="46" t="inlineStr">
        <is>
          <t>Synthetic Textiles</t>
        </is>
      </c>
      <c r="R796" s="47" t="inlineStr">
        <is>
          <t>Developer of textile product producing technologies. The company's textile product producing technologies use additive manufacturing, robotic controls and polymer synthesis to reinvent soft goods.</t>
        </is>
      </c>
      <c r="S796" s="48" t="inlineStr">
        <is>
          <t>Palo Alto, CA</t>
        </is>
      </c>
      <c r="T796" s="49" t="inlineStr">
        <is>
          <t>www.unspuntech.com</t>
        </is>
      </c>
      <c r="U796" s="132">
        <f>HYPERLINK("https://my.pitchbook.com?c=102790-00", "View company online")</f>
      </c>
    </row>
    <row r="797">
      <c r="A797" s="9" t="inlineStr">
        <is>
          <t>52213-96</t>
        </is>
      </c>
      <c r="B797" s="10" t="inlineStr">
        <is>
          <t>Unsocial</t>
        </is>
      </c>
      <c r="C797" s="11" t="inlineStr">
        <is>
          <t/>
        </is>
      </c>
      <c r="D797" s="12" t="n">
        <v>-0.0069593515102783395</v>
      </c>
      <c r="E797" s="13" t="n">
        <v>0.5152259744743164</v>
      </c>
      <c r="F797" s="14" t="n">
        <v>40997.0</v>
      </c>
      <c r="G797" s="15" t="inlineStr">
        <is>
          <t>Early Stage VC</t>
        </is>
      </c>
      <c r="H797" s="16" t="inlineStr">
        <is>
          <t>Series A</t>
        </is>
      </c>
      <c r="I797" s="17" t="n">
        <v>1.5</v>
      </c>
      <c r="J797" s="18" t="n">
        <v>4.2</v>
      </c>
      <c r="K797" s="19" t="inlineStr">
        <is>
          <t>Completed</t>
        </is>
      </c>
      <c r="L797" s="20" t="inlineStr">
        <is>
          <t>Privately Held (backing)</t>
        </is>
      </c>
      <c r="M797" s="21" t="inlineStr">
        <is>
          <t>Venture Capital-Backed</t>
        </is>
      </c>
      <c r="N797" s="22" t="inlineStr">
        <is>
          <t>The company received $1.5 million of Series A venture funding from undisclosed investors on on March 29, 2012, putting the pre-money valuation at $3 million. The funding was raised in tranches.</t>
        </is>
      </c>
      <c r="O797" s="23" t="inlineStr">
        <is>
          <t>Individual Investor</t>
        </is>
      </c>
      <c r="P797" s="24" t="inlineStr">
        <is>
          <t/>
        </is>
      </c>
      <c r="Q797" s="25" t="inlineStr">
        <is>
          <t>Communication Software</t>
        </is>
      </c>
      <c r="R797" s="26" t="inlineStr">
        <is>
          <t>Developer of a mobile software which helps in connecting professionals. The company develops an application which connects new people at business events like conferences and tradeshows and provides secure mobile communications for voice, video and data between mobile devices.</t>
        </is>
      </c>
      <c r="S797" s="27" t="inlineStr">
        <is>
          <t>Thousand Oaks, CA</t>
        </is>
      </c>
      <c r="T797" s="28" t="inlineStr">
        <is>
          <t>www.unsocialinc.com</t>
        </is>
      </c>
      <c r="U797" s="131">
        <f>HYPERLINK("https://my.pitchbook.com?c=52213-96", "View company online")</f>
      </c>
    </row>
    <row r="798">
      <c r="A798" s="30" t="inlineStr">
        <is>
          <t>59198-59</t>
        </is>
      </c>
      <c r="B798" s="31" t="inlineStr">
        <is>
          <t>Unsilo</t>
        </is>
      </c>
      <c r="C798" s="32" t="inlineStr">
        <is>
          <t/>
        </is>
      </c>
      <c r="D798" s="33" t="n">
        <v>0.34880318229029383</v>
      </c>
      <c r="E798" s="34" t="n">
        <v>0.3446134680843598</v>
      </c>
      <c r="F798" s="35" t="n">
        <v>42692.0</v>
      </c>
      <c r="G798" s="36" t="inlineStr">
        <is>
          <t>Early Stage VC</t>
        </is>
      </c>
      <c r="H798" s="37" t="inlineStr">
        <is>
          <t/>
        </is>
      </c>
      <c r="I798" s="38" t="n">
        <v>2.1</v>
      </c>
      <c r="J798" s="39" t="inlineStr">
        <is>
          <t/>
        </is>
      </c>
      <c r="K798" s="40" t="inlineStr">
        <is>
          <t>Completed</t>
        </is>
      </c>
      <c r="L798" s="41" t="inlineStr">
        <is>
          <t>Privately Held (backing)</t>
        </is>
      </c>
      <c r="M798" s="42" t="inlineStr">
        <is>
          <t>Venture Capital-Backed</t>
        </is>
      </c>
      <c r="N798" s="43" t="inlineStr">
        <is>
          <t>The company raised $2.1 million of venture funding from Infosys on November 18, 2016.</t>
        </is>
      </c>
      <c r="O798" s="44" t="inlineStr">
        <is>
          <t>Capnova, Infosys, Scale Capital</t>
        </is>
      </c>
      <c r="P798" s="45" t="inlineStr">
        <is>
          <t/>
        </is>
      </c>
      <c r="Q798" s="46" t="inlineStr">
        <is>
          <t>Media and Information Services (B2B)</t>
        </is>
      </c>
      <c r="R798" s="47" t="inlineStr">
        <is>
          <t>Provider of automated text intelligence tools. The company provides tools for modern search and discovery services. It's analytics engine uses pervasive semantics and machine learning to extract the substance of every document.</t>
        </is>
      </c>
      <c r="S798" s="48" t="inlineStr">
        <is>
          <t>Aarhus, Denmark</t>
        </is>
      </c>
      <c r="T798" s="49" t="inlineStr">
        <is>
          <t>site.unsilo.com</t>
        </is>
      </c>
      <c r="U798" s="132">
        <f>HYPERLINK("https://my.pitchbook.com?c=59198-59", "View company online")</f>
      </c>
    </row>
    <row r="799">
      <c r="A799" s="9" t="inlineStr">
        <is>
          <t>98454-52</t>
        </is>
      </c>
      <c r="B799" s="10" t="inlineStr">
        <is>
          <t>Unshackled Ventures</t>
        </is>
      </c>
      <c r="C799" s="11" t="inlineStr">
        <is>
          <t/>
        </is>
      </c>
      <c r="D799" s="12" t="n">
        <v>0.7228514524288122</v>
      </c>
      <c r="E799" s="13" t="n">
        <v>3.406779661016949</v>
      </c>
      <c r="F799" s="14" t="inlineStr">
        <is>
          <t/>
        </is>
      </c>
      <c r="G799" s="15" t="inlineStr">
        <is>
          <t>Early Stage VC</t>
        </is>
      </c>
      <c r="H799" s="16" t="inlineStr">
        <is>
          <t/>
        </is>
      </c>
      <c r="I799" s="17" t="n">
        <v>3.5</v>
      </c>
      <c r="J799" s="18" t="inlineStr">
        <is>
          <t/>
        </is>
      </c>
      <c r="K799" s="19" t="inlineStr">
        <is>
          <t>Completed</t>
        </is>
      </c>
      <c r="L799" s="20" t="inlineStr">
        <is>
          <t>Privately Held (backing)</t>
        </is>
      </c>
      <c r="M799" s="21" t="inlineStr">
        <is>
          <t>Venture Capital-Backed</t>
        </is>
      </c>
      <c r="N799" s="22" t="inlineStr">
        <is>
          <t>The company raised $3.5 million of venture funding from Mind the Bridge Foundation, Stanford Angels and Entrepreneurs and TYTL Ventures on an undisclosed date. AME Cloud Ventures, Edge Harris Ventures, Emerson Collective, First Round Capital, Structure Capital, TriplePoint Capital, 500 Startups, Bantam Group and 44 individual investors also participated in this round.</t>
        </is>
      </c>
      <c r="O799" s="23" t="inlineStr">
        <is>
          <t>500 Startups, AME Cloud Ventures, Avnish Patel, Bantam Group, Brad Garlinghouse, Bradley Feld, Brett Cummings, Cynthia Padnos, David Straus, Dinesh Patel, Don Morrison, Edge Harris Ventures, Emerson Collective, Eric Chen, First Round Capital, Harris Barton, Howard Wolf, James Reinhart, Jay Eum, Joe Lonsdale, John O'Conne, Joshua Kopelman, Lance White, Marco Marinucci, Maurice Werdegar, Mike Walsh, Mind the Bridge Foundation, Mitali Pattnaik, Naval Ravikant, Nick Wyman, Nitin Khanna, NKM Capital, Osman Rashid, Pankaj Jain, Pankaj Shah, Rahim Fazal, Rajiv Parikh, Ravi Belani, Richard Firshein, Rudy Ruano, Samir Kaji, Sanjay Reddy, Shamik Mehta, Shamir Karkal, Stanford Angels and Entrepreneurs, Structure Capital, Sumit Gupta, Telemachus Luu, Trevor Zimmerman, TriplePoint Capital, TYLT Ventures, Ullas Naik, Victor Chiang, Vijay Chattha, Vivek Shah</t>
        </is>
      </c>
      <c r="P799" s="24" t="inlineStr">
        <is>
          <t/>
        </is>
      </c>
      <c r="Q799" s="25" t="inlineStr">
        <is>
          <t>Other Commercial Services</t>
        </is>
      </c>
      <c r="R799" s="26" t="inlineStr">
        <is>
          <t>Provider of angel and early stage venture capital funding. The company provides financial services that extends the entrepreneurship opportunity to all entrepreneurs in country.</t>
        </is>
      </c>
      <c r="S799" s="27" t="inlineStr">
        <is>
          <t>Palo Alto, CA</t>
        </is>
      </c>
      <c r="T799" s="28" t="inlineStr">
        <is>
          <t>www.unshackledvc.com</t>
        </is>
      </c>
      <c r="U799" s="131">
        <f>HYPERLINK("https://my.pitchbook.com?c=98454-52", "View company online")</f>
      </c>
    </row>
    <row r="800">
      <c r="A800" s="30" t="inlineStr">
        <is>
          <t>128107-99</t>
        </is>
      </c>
      <c r="B800" s="31" t="inlineStr">
        <is>
          <t>Unreel.me</t>
        </is>
      </c>
      <c r="C800" s="32" t="inlineStr">
        <is>
          <t/>
        </is>
      </c>
      <c r="D800" s="33" t="n">
        <v>0.1584628461105847</v>
      </c>
      <c r="E800" s="34" t="n">
        <v>9.65789212994445</v>
      </c>
      <c r="F800" s="35" t="n">
        <v>42430.0</v>
      </c>
      <c r="G800" s="36" t="inlineStr">
        <is>
          <t>Seed Round</t>
        </is>
      </c>
      <c r="H800" s="37" t="inlineStr">
        <is>
          <t>Seed</t>
        </is>
      </c>
      <c r="I800" s="38" t="n">
        <v>0.5</v>
      </c>
      <c r="J800" s="39" t="inlineStr">
        <is>
          <t/>
        </is>
      </c>
      <c r="K800" s="40" t="inlineStr">
        <is>
          <t>Completed</t>
        </is>
      </c>
      <c r="L800" s="41" t="inlineStr">
        <is>
          <t>Privately Held (backing)</t>
        </is>
      </c>
      <c r="M800" s="42" t="inlineStr">
        <is>
          <t>Venture Capital-Backed</t>
        </is>
      </c>
      <c r="N800" s="43" t="inlineStr">
        <is>
          <t>The company raised $500,000 of seed funding from Vineyard Point Associates and undisclosed angel investors on March 1, 2016. Previously the company raised $1 million of seed funding in a deal led by Digital Ignition on January 14, 2016.</t>
        </is>
      </c>
      <c r="O800" s="44" t="inlineStr">
        <is>
          <t>Adam Yarnold, Building 20 Labs, Gordon Whitener, Jackson Huynh, Poise Ventures, Steel Pier Capital Advisors, Vineyard Point Associates</t>
        </is>
      </c>
      <c r="P800" s="45" t="inlineStr">
        <is>
          <t/>
        </is>
      </c>
      <c r="Q800" s="46" t="inlineStr">
        <is>
          <t>Application Software</t>
        </is>
      </c>
      <c r="R800" s="47" t="inlineStr">
        <is>
          <t>Provider of an online video-streaming platform. The company's platform enables users to search trending videos, scenes and moments. It also provides tools enabling users to build their own video streaming sites and apps.</t>
        </is>
      </c>
      <c r="S800" s="48" t="inlineStr">
        <is>
          <t>Foster City, CA</t>
        </is>
      </c>
      <c r="T800" s="49" t="inlineStr">
        <is>
          <t>www.unreel.me</t>
        </is>
      </c>
      <c r="U800" s="132">
        <f>HYPERLINK("https://my.pitchbook.com?c=128107-99", "View company online")</f>
      </c>
    </row>
    <row r="801">
      <c r="A801" s="9" t="inlineStr">
        <is>
          <t>95645-26</t>
        </is>
      </c>
      <c r="B801" s="10" t="inlineStr">
        <is>
          <t>Unravel Data Systems</t>
        </is>
      </c>
      <c r="C801" s="11" t="inlineStr">
        <is>
          <t/>
        </is>
      </c>
      <c r="D801" s="12" t="n">
        <v>1.6940901604303296</v>
      </c>
      <c r="E801" s="13" t="n">
        <v>0.9791705907402296</v>
      </c>
      <c r="F801" s="14" t="n">
        <v>42626.0</v>
      </c>
      <c r="G801" s="15" t="inlineStr">
        <is>
          <t>Early Stage VC</t>
        </is>
      </c>
      <c r="H801" s="16" t="inlineStr">
        <is>
          <t>Series A</t>
        </is>
      </c>
      <c r="I801" s="17" t="n">
        <v>7.15</v>
      </c>
      <c r="J801" s="18" t="n">
        <v>25.63</v>
      </c>
      <c r="K801" s="19" t="inlineStr">
        <is>
          <t>Completed</t>
        </is>
      </c>
      <c r="L801" s="20" t="inlineStr">
        <is>
          <t>Privately Held (backing)</t>
        </is>
      </c>
      <c r="M801" s="21" t="inlineStr">
        <is>
          <t>Venture Capital-Backed</t>
        </is>
      </c>
      <c r="N801" s="22" t="inlineStr">
        <is>
          <t>The company raised $7.15 million of Series A venture funding in a deal led by Menlo Ventures on September 13, 2016, putting the pre-money valuation at $18.48 million. Data Elite Services also participated. The company intends to use the funds to continue to launch and expand operations.</t>
        </is>
      </c>
      <c r="O801" s="23" t="inlineStr">
        <is>
          <t>Cisco Entrepreneurs in Residence, Data Elite, Menlo Ventures</t>
        </is>
      </c>
      <c r="P801" s="24" t="inlineStr">
        <is>
          <t/>
        </is>
      </c>
      <c r="Q801" s="25" t="inlineStr">
        <is>
          <t>Social/Platform Software</t>
        </is>
      </c>
      <c r="R801" s="26" t="inlineStr">
        <is>
          <t>Provider of a big data systems management platform. The company offers a performance management platform for big data systems and also helps in the management of modern data applications and systems.</t>
        </is>
      </c>
      <c r="S801" s="27" t="inlineStr">
        <is>
          <t>Menlo Park, CA</t>
        </is>
      </c>
      <c r="T801" s="28" t="inlineStr">
        <is>
          <t>www.unraveldata.com</t>
        </is>
      </c>
      <c r="U801" s="131">
        <f>HYPERLINK("https://my.pitchbook.com?c=95645-26", "View company online")</f>
      </c>
    </row>
    <row r="802">
      <c r="A802" s="30" t="inlineStr">
        <is>
          <t>169533-82</t>
        </is>
      </c>
      <c r="B802" s="31" t="inlineStr">
        <is>
          <t>Unravel Analytics</t>
        </is>
      </c>
      <c r="C802" s="32" t="inlineStr">
        <is>
          <t/>
        </is>
      </c>
      <c r="D802" s="33" t="n">
        <v>0.0</v>
      </c>
      <c r="E802" s="34" t="n">
        <v>0.1694915254237288</v>
      </c>
      <c r="F802" s="35" t="n">
        <v>42594.0</v>
      </c>
      <c r="G802" s="36" t="inlineStr">
        <is>
          <t>Early Stage VC</t>
        </is>
      </c>
      <c r="H802" s="37" t="inlineStr">
        <is>
          <t/>
        </is>
      </c>
      <c r="I802" s="38" t="n">
        <v>0.49</v>
      </c>
      <c r="J802" s="39" t="inlineStr">
        <is>
          <t/>
        </is>
      </c>
      <c r="K802" s="40" t="inlineStr">
        <is>
          <t>Completed</t>
        </is>
      </c>
      <c r="L802" s="41" t="inlineStr">
        <is>
          <t>Privately Held (backing)</t>
        </is>
      </c>
      <c r="M802" s="42" t="inlineStr">
        <is>
          <t>Venture Capital-Backed</t>
        </is>
      </c>
      <c r="N802" s="43" t="inlineStr">
        <is>
          <t>The company raised EUR 440,000 of venture funding from Tribal.vc and other undisclosed investors on August 12, 2016. The funds will be used for further software development and to target international sales.</t>
        </is>
      </c>
      <c r="O802" s="44" t="inlineStr">
        <is>
          <t>Tribal.vc</t>
        </is>
      </c>
      <c r="P802" s="45" t="inlineStr">
        <is>
          <t/>
        </is>
      </c>
      <c r="Q802" s="46" t="inlineStr">
        <is>
          <t>Business/Productivity Software</t>
        </is>
      </c>
      <c r="R802" s="47" t="inlineStr">
        <is>
          <t>Developer of quality assurance tool. The company develops a tool for detection of problems that prevent online conversions, break analytics and advertising tracking through its quality auditing software.</t>
        </is>
      </c>
      <c r="S802" s="48" t="inlineStr">
        <is>
          <t>Dublin, Ireland</t>
        </is>
      </c>
      <c r="T802" s="49" t="inlineStr">
        <is>
          <t>www.unravel.io</t>
        </is>
      </c>
      <c r="U802" s="132">
        <f>HYPERLINK("https://my.pitchbook.com?c=169533-82", "View company online")</f>
      </c>
    </row>
    <row r="803">
      <c r="A803" s="9" t="inlineStr">
        <is>
          <t>61263-73</t>
        </is>
      </c>
      <c r="B803" s="10" t="inlineStr">
        <is>
          <t>Uno</t>
        </is>
      </c>
      <c r="C803" s="11" t="inlineStr">
        <is>
          <t/>
        </is>
      </c>
      <c r="D803" s="12" t="n">
        <v>0.7224636997015197</v>
      </c>
      <c r="E803" s="13" t="n">
        <v>1.4297939849524228</v>
      </c>
      <c r="F803" s="14" t="n">
        <v>42626.0</v>
      </c>
      <c r="G803" s="15" t="inlineStr">
        <is>
          <t>Corporate</t>
        </is>
      </c>
      <c r="H803" s="16" t="inlineStr">
        <is>
          <t>Series A</t>
        </is>
      </c>
      <c r="I803" s="17" t="n">
        <v>12.5</v>
      </c>
      <c r="J803" s="18" t="inlineStr">
        <is>
          <t/>
        </is>
      </c>
      <c r="K803" s="19" t="inlineStr">
        <is>
          <t>Completed</t>
        </is>
      </c>
      <c r="L803" s="20" t="inlineStr">
        <is>
          <t>Privately Held (backing)</t>
        </is>
      </c>
      <c r="M803" s="21" t="inlineStr">
        <is>
          <t>Venture Capital-Backed</t>
        </is>
      </c>
      <c r="N803" s="22" t="inlineStr">
        <is>
          <t>The company raised AUD 16.5 million of Series A financing from lead investor Westpac Banking Corporation on September 13, 2016. Other undisclosed investors also participated.</t>
        </is>
      </c>
      <c r="O803" s="23" t="inlineStr">
        <is>
          <t>Carter Kennedy, Envestnet|Yodlee, Finovate, Homeloans, REach Accelerator, Second Century Ventures, Village Capital, Westpac Banking, Ynext Incubator</t>
        </is>
      </c>
      <c r="P803" s="24" t="inlineStr">
        <is>
          <t/>
        </is>
      </c>
      <c r="Q803" s="25" t="inlineStr">
        <is>
          <t>Social/Platform Software</t>
        </is>
      </c>
      <c r="R803" s="26" t="inlineStr">
        <is>
          <t>Provider of an online marketplace for home loans. The company offers a Web-based platform enabling Australian consumers to search, compare and choose the home-loan product that suits their individual needs. It also offers support for the loan-application process and advice from a team of financial experts.</t>
        </is>
      </c>
      <c r="S803" s="27" t="inlineStr">
        <is>
          <t>Surry Hills, Australia</t>
        </is>
      </c>
      <c r="T803" s="28" t="inlineStr">
        <is>
          <t>www.unohomeloans.com.au</t>
        </is>
      </c>
      <c r="U803" s="131">
        <f>HYPERLINK("https://my.pitchbook.com?c=61263-73", "View company online")</f>
      </c>
    </row>
    <row r="804">
      <c r="A804" s="30" t="inlineStr">
        <is>
          <t>151474-87</t>
        </is>
      </c>
      <c r="B804" s="31" t="inlineStr">
        <is>
          <t>Unmute</t>
        </is>
      </c>
      <c r="C804" s="32" t="inlineStr">
        <is>
          <t/>
        </is>
      </c>
      <c r="D804" s="33" t="n">
        <v>-0.3492195022880672</v>
      </c>
      <c r="E804" s="34" t="n">
        <v>1.887005649717514</v>
      </c>
      <c r="F804" s="35" t="n">
        <v>42383.0</v>
      </c>
      <c r="G804" s="36" t="inlineStr">
        <is>
          <t>Seed Round</t>
        </is>
      </c>
      <c r="H804" s="37" t="inlineStr">
        <is>
          <t>Seed</t>
        </is>
      </c>
      <c r="I804" s="38" t="n">
        <v>2.2</v>
      </c>
      <c r="J804" s="39" t="n">
        <v>10.85</v>
      </c>
      <c r="K804" s="40" t="inlineStr">
        <is>
          <t>Completed</t>
        </is>
      </c>
      <c r="L804" s="41" t="inlineStr">
        <is>
          <t>Privately Held (backing)</t>
        </is>
      </c>
      <c r="M804" s="42" t="inlineStr">
        <is>
          <t>Venture Capital-Backed</t>
        </is>
      </c>
      <c r="N804" s="43" t="inlineStr">
        <is>
          <t>The company raised $2.2 million of seed funding in a deal led by Greycroft Partners on January 14, 2016, putting the company's pre-money valuation at $8.65 million. Comcast Ventures, Crosscut Ventures, Betaworks, Greylock Partners, Robert Kirkmen, David M. Stern and other undisclosed individual investors also participated in this round. The company will use the fund to expand the team and conduct growth initiatives.</t>
        </is>
      </c>
      <c r="O804" s="44" t="inlineStr">
        <is>
          <t>Bertelsmann Digital Media Investments, Betaworks, Comcast Ventures, Crosscut Ventures, David Stern, Greycroft Partners, Greylock Partners</t>
        </is>
      </c>
      <c r="P804" s="45" t="inlineStr">
        <is>
          <t/>
        </is>
      </c>
      <c r="Q804" s="46" t="inlineStr">
        <is>
          <t>Application Software</t>
        </is>
      </c>
      <c r="R804" s="47" t="inlineStr">
        <is>
          <t>Provider of an audio calling application. The company provides a conversation application with which users can host and share interactive phone calls with people around the world.</t>
        </is>
      </c>
      <c r="S804" s="48" t="inlineStr">
        <is>
          <t>Los Angeles, CA</t>
        </is>
      </c>
      <c r="T804" s="49" t="inlineStr">
        <is>
          <t>www.itsunmute.com</t>
        </is>
      </c>
      <c r="U804" s="132">
        <f>HYPERLINK("https://my.pitchbook.com?c=151474-87", "View company online")</f>
      </c>
    </row>
    <row r="805">
      <c r="A805" s="9" t="inlineStr">
        <is>
          <t>54107-02</t>
        </is>
      </c>
      <c r="B805" s="10" t="inlineStr">
        <is>
          <t>UniversityNow</t>
        </is>
      </c>
      <c r="C805" s="11" t="inlineStr">
        <is>
          <t/>
        </is>
      </c>
      <c r="D805" s="12" t="n">
        <v>-0.007347194820294773</v>
      </c>
      <c r="E805" s="13" t="n">
        <v>1.960876370106289</v>
      </c>
      <c r="F805" s="14" t="n">
        <v>42226.0</v>
      </c>
      <c r="G805" s="15" t="inlineStr">
        <is>
          <t>Later Stage VC</t>
        </is>
      </c>
      <c r="H805" s="16" t="inlineStr">
        <is>
          <t>Series E</t>
        </is>
      </c>
      <c r="I805" s="17" t="inlineStr">
        <is>
          <t/>
        </is>
      </c>
      <c r="J805" s="18" t="inlineStr">
        <is>
          <t/>
        </is>
      </c>
      <c r="K805" s="19" t="inlineStr">
        <is>
          <t>Failed/Cancelled</t>
        </is>
      </c>
      <c r="L805" s="20" t="inlineStr">
        <is>
          <t>Privately Held (backing)</t>
        </is>
      </c>
      <c r="M805" s="21" t="inlineStr">
        <is>
          <t>Venture Capital-Backed</t>
        </is>
      </c>
      <c r="N805" s="22" t="inlineStr">
        <is>
          <t>The company was in talks to receive Series E venture funding as of August 10, 2015. Subsequently the deal was cancelled. Previously, Socratic Ventures sold stake in the company on an undisclosed date and raised $3.9 million in Series D venture funding from Socratic Ventures and other undisclosed investors on January 21, 2015, putting the pre-money valuation at $35.12 million.</t>
        </is>
      </c>
      <c r="O805" s="23" t="inlineStr">
        <is>
          <t>500 Startups, Bertelsmann Capital Ventures, Bill &amp; Melinda Gates Foundation, Bronze Investments, Charles River Ventures, First Analysis Group, Floodgate Fund, Greylock Partners, Kapor Capital, Miles Lasater, Novak Biddle Venture Partners, Originate, Sean Glass, SV Angel, University Ventures, William &amp; Flora Hewlett Foundation</t>
        </is>
      </c>
      <c r="P805" s="24" t="inlineStr">
        <is>
          <t/>
        </is>
      </c>
      <c r="Q805" s="25" t="inlineStr">
        <is>
          <t>Educational Software</t>
        </is>
      </c>
      <c r="R805" s="26" t="inlineStr">
        <is>
          <t>Provider of an online education platform designed to ensure that a quality higher education is available to people everywhere. The company's educational platform provides peer-to-peer learning communities, pedagogical models and tuition models and also operates a network of online schools that provides higher education programs, enabling people to get a proper degree, who might not otherwise get a college degree, due to cost or other commitments.</t>
        </is>
      </c>
      <c r="S805" s="27" t="inlineStr">
        <is>
          <t>San Francisco, CA</t>
        </is>
      </c>
      <c r="T805" s="28" t="inlineStr">
        <is>
          <t>www.unow.com</t>
        </is>
      </c>
      <c r="U805" s="131">
        <f>HYPERLINK("https://my.pitchbook.com?c=54107-02", "View company online")</f>
      </c>
    </row>
    <row r="806">
      <c r="A806" s="30" t="inlineStr">
        <is>
          <t>52143-58</t>
        </is>
      </c>
      <c r="B806" s="31" t="inlineStr">
        <is>
          <t>University Games</t>
        </is>
      </c>
      <c r="C806" s="32" t="n">
        <v>20.22</v>
      </c>
      <c r="D806" s="33" t="n">
        <v>2.7842755857638126</v>
      </c>
      <c r="E806" s="34" t="n">
        <v>6.664799945750572</v>
      </c>
      <c r="F806" s="35" t="n">
        <v>37987.0</v>
      </c>
      <c r="G806" s="36" t="inlineStr">
        <is>
          <t>Later Stage VC</t>
        </is>
      </c>
      <c r="H806" s="37" t="inlineStr">
        <is>
          <t>Series B</t>
        </is>
      </c>
      <c r="I806" s="38" t="n">
        <v>0.72</v>
      </c>
      <c r="J806" s="39" t="inlineStr">
        <is>
          <t/>
        </is>
      </c>
      <c r="K806" s="40" t="inlineStr">
        <is>
          <t>Completed</t>
        </is>
      </c>
      <c r="L806" s="41" t="inlineStr">
        <is>
          <t>Privately Held (backing)</t>
        </is>
      </c>
      <c r="M806" s="42" t="inlineStr">
        <is>
          <t>Venture Capital-Backed</t>
        </is>
      </c>
      <c r="N806" s="43" t="inlineStr">
        <is>
          <t>The company raised $720,000 of Series B venture funding from undisclosed investors in 2004. As of March 10, 2016, the company is not planning to raise any additional funds.</t>
        </is>
      </c>
      <c r="O806" s="44" t="inlineStr">
        <is>
          <t>Mayfield Fund</t>
        </is>
      </c>
      <c r="P806" s="45" t="inlineStr">
        <is>
          <t/>
        </is>
      </c>
      <c r="Q806" s="46" t="inlineStr">
        <is>
          <t>Recreational Goods</t>
        </is>
      </c>
      <c r="R806" s="47" t="inlineStr">
        <is>
          <t>Developer of interactive and educational games for adults and children. The company has an in-house product development enabling it to specialize in products such as games, puzzles and toys.</t>
        </is>
      </c>
      <c r="S806" s="48" t="inlineStr">
        <is>
          <t>San Francisco, CA</t>
        </is>
      </c>
      <c r="T806" s="49" t="inlineStr">
        <is>
          <t>www.universitygames.com</t>
        </is>
      </c>
      <c r="U806" s="132">
        <f>HYPERLINK("https://my.pitchbook.com?c=52143-58", "View company online")</f>
      </c>
    </row>
    <row r="807">
      <c r="A807" s="9" t="inlineStr">
        <is>
          <t>153103-33</t>
        </is>
      </c>
      <c r="B807" s="10" t="inlineStr">
        <is>
          <t>Unity Biotechnology</t>
        </is>
      </c>
      <c r="C807" s="11" t="inlineStr">
        <is>
          <t/>
        </is>
      </c>
      <c r="D807" s="12" t="n">
        <v>0.9557567153035212</v>
      </c>
      <c r="E807" s="13" t="n">
        <v>0.7659948083676897</v>
      </c>
      <c r="F807" s="14" t="n">
        <v>42670.0</v>
      </c>
      <c r="G807" s="15" t="inlineStr">
        <is>
          <t>Early Stage VC</t>
        </is>
      </c>
      <c r="H807" s="16" t="inlineStr">
        <is>
          <t>Series B</t>
        </is>
      </c>
      <c r="I807" s="17" t="n">
        <v>116.0</v>
      </c>
      <c r="J807" s="18" t="n">
        <v>411.92</v>
      </c>
      <c r="K807" s="19" t="inlineStr">
        <is>
          <t>Completed</t>
        </is>
      </c>
      <c r="L807" s="20" t="inlineStr">
        <is>
          <t>Privately Held (backing)</t>
        </is>
      </c>
      <c r="M807" s="21" t="inlineStr">
        <is>
          <t>Venture Capital-Backed</t>
        </is>
      </c>
      <c r="N807" s="22" t="inlineStr">
        <is>
          <t>The company raised $116 million of Series B venture funding from ARCH Venture Partners, Venrock and Mayo Clinic Ventures on October 27, 2016, putting the pre-money valuation at $295.92 million. Partner Fund Management, Baillie Gifford, Bezos Expeditions, Fidelity Management &amp; Research and WuXi Healthcare Ventures also participated in this round. The funding will be used to expand ongoing research programs in cellular senescence and advance the first preclinical programs into human trials.</t>
        </is>
      </c>
      <c r="O807" s="23" t="inlineStr">
        <is>
          <t>ARCH Venture Partners, Baillie Gifford, Bezos Expeditions, Fidelity Management &amp; Research, Jeffrey Bezos, Mayo Clinic Ventures, Partner Fund Management, Venrock, WuXi Healthcare Investment Consulting (Shanghai)</t>
        </is>
      </c>
      <c r="P807" s="24" t="inlineStr">
        <is>
          <t/>
        </is>
      </c>
      <c r="Q807" s="25" t="inlineStr">
        <is>
          <t>Biotechnology</t>
        </is>
      </c>
      <c r="R807" s="26" t="inlineStr">
        <is>
          <t>Provider of medicine for aging-related diseases. The company develops therapeutics designed to prevent, halt or reverse diseases associated with aging, including osteoarthritis, glaucoma, heart disease and kidney failure.</t>
        </is>
      </c>
      <c r="S807" s="27" t="inlineStr">
        <is>
          <t>Brisbane, CA</t>
        </is>
      </c>
      <c r="T807" s="28" t="inlineStr">
        <is>
          <t>www.unitybiotechnology.com</t>
        </is>
      </c>
      <c r="U807" s="131">
        <f>HYPERLINK("https://my.pitchbook.com?c=153103-33", "View company online")</f>
      </c>
    </row>
    <row r="808">
      <c r="A808" s="30" t="inlineStr">
        <is>
          <t>51156-64</t>
        </is>
      </c>
      <c r="B808" s="31" t="inlineStr">
        <is>
          <t>Unity</t>
        </is>
      </c>
      <c r="C808" s="32" t="inlineStr">
        <is>
          <t/>
        </is>
      </c>
      <c r="D808" s="33" t="n">
        <v>0.14233945791836508</v>
      </c>
      <c r="E808" s="34" t="n">
        <v>424.769488964699</v>
      </c>
      <c r="F808" s="35" t="n">
        <v>42878.0</v>
      </c>
      <c r="G808" s="36" t="inlineStr">
        <is>
          <t>Later Stage VC</t>
        </is>
      </c>
      <c r="H808" s="37" t="inlineStr">
        <is>
          <t/>
        </is>
      </c>
      <c r="I808" s="38" t="n">
        <v>400.0</v>
      </c>
      <c r="J808" s="39" t="n">
        <v>2600.0</v>
      </c>
      <c r="K808" s="40" t="inlineStr">
        <is>
          <t>Completed</t>
        </is>
      </c>
      <c r="L808" s="41" t="inlineStr">
        <is>
          <t>Privately Held (backing)</t>
        </is>
      </c>
      <c r="M808" s="42" t="inlineStr">
        <is>
          <t>Venture Capital-Backed</t>
        </is>
      </c>
      <c r="N808" s="43" t="inlineStr">
        <is>
          <t>The company raised $400 million of venture funding in a deal led by Silver Lake Management on May 23, 2017, valuing the company at an estimated $2.6 billion. DFJ Growth and Sequoia Capital also participated in this round. Around half of the deal is a secondary transaction in order to provide liquidity for longtime employees and early shareholders. Previously, the company raised $181 million of Series C venture funding in a deal led by DFJ Growth on July 13, 2016, putting the company's pre-money valuation at $1.32 billion.</t>
        </is>
      </c>
      <c r="O808" s="44" t="inlineStr">
        <is>
          <t>China Investment Corporation, David Gardner, DFJ Growth, Diane Greene, Frees Fund, iGlobe Partners, London Venture Partners, Max Levchin, Sequoia Capital, Silver Lake Management, Thrive Capital, Vanedge Capital, WestSummit Capital</t>
        </is>
      </c>
      <c r="P808" s="45" t="inlineStr">
        <is>
          <t/>
        </is>
      </c>
      <c r="Q808" s="46" t="inlineStr">
        <is>
          <t>Entertainment Software</t>
        </is>
      </c>
      <c r="R808" s="47" t="inlineStr">
        <is>
          <t>Developer of a virtual reality game development platform designed to create 2D, 3D, VR and AR games and applications. The company's virtual reality game development platform offers a graphics engine and full-featured editor to develop games and applications and it easily connects to the audiences on PCs, consoles, the web, mobile devices, home entertainment systems, embedded systems, or head-mounted displays, enabling businesses to realize their creative vision fast and deliver content to virtually any media or device.</t>
        </is>
      </c>
      <c r="S808" s="48" t="inlineStr">
        <is>
          <t>San Francisco, CA</t>
        </is>
      </c>
      <c r="T808" s="49" t="inlineStr">
        <is>
          <t>www.unity3d.com</t>
        </is>
      </c>
      <c r="U808" s="132">
        <f>HYPERLINK("https://my.pitchbook.com?c=51156-64", "View company online")</f>
      </c>
    </row>
    <row r="809">
      <c r="A809" s="9" t="inlineStr">
        <is>
          <t>52722-28</t>
        </is>
      </c>
      <c r="B809" s="10" t="inlineStr">
        <is>
          <t>UnitedLex</t>
        </is>
      </c>
      <c r="C809" s="11" t="n">
        <v>58.0</v>
      </c>
      <c r="D809" s="12" t="n">
        <v>0.23614704740030298</v>
      </c>
      <c r="E809" s="13" t="n">
        <v>4.203436563735016</v>
      </c>
      <c r="F809" s="14" t="n">
        <v>42845.0</v>
      </c>
      <c r="G809" s="15" t="inlineStr">
        <is>
          <t>Secondary Transaction - Private</t>
        </is>
      </c>
      <c r="H809" s="16" t="inlineStr">
        <is>
          <t/>
        </is>
      </c>
      <c r="I809" s="17" t="inlineStr">
        <is>
          <t/>
        </is>
      </c>
      <c r="J809" s="18" t="inlineStr">
        <is>
          <t/>
        </is>
      </c>
      <c r="K809" s="19" t="inlineStr">
        <is>
          <t>Completed</t>
        </is>
      </c>
      <c r="L809" s="20" t="inlineStr">
        <is>
          <t>Privately Held (backing)</t>
        </is>
      </c>
      <c r="M809" s="21" t="inlineStr">
        <is>
          <t>Venture Capital-Backed</t>
        </is>
      </c>
      <c r="N809" s="22" t="inlineStr">
        <is>
          <t>Sequoia Capital India sold some stake in the company to Madison India Capital on April 20, 2017.</t>
        </is>
      </c>
      <c r="O809" s="23" t="inlineStr">
        <is>
          <t>Canaan Partners, Helion Venture Partners, Madison India Capital, Sequoia Capital India, WestBridge Capital (Mauritius)</t>
        </is>
      </c>
      <c r="P809" s="24" t="inlineStr">
        <is>
          <t/>
        </is>
      </c>
      <c r="Q809" s="25" t="inlineStr">
        <is>
          <t>Legal Services (B2B)</t>
        </is>
      </c>
      <c r="R809" s="26" t="inlineStr">
        <is>
          <t>Provider of legal consulting and outsourcing services designed to address the most complex business challenges. The company's legal consulting and outsourcing services integrate strategy, consulting, technology and operations to create a standard of excellence and offers litigation, contracts and sourcing, intellectual property (IP), trademark, program, immigration and law firm support services, enabling law departments, law firms and academic institutions to improve their performance, efficiency and cost optimization.</t>
        </is>
      </c>
      <c r="S809" s="27" t="inlineStr">
        <is>
          <t>Overland Park, KS</t>
        </is>
      </c>
      <c r="T809" s="28" t="inlineStr">
        <is>
          <t>www.unitedlex.com</t>
        </is>
      </c>
      <c r="U809" s="131">
        <f>HYPERLINK("https://my.pitchbook.com?c=52722-28", "View company online")</f>
      </c>
    </row>
    <row r="810">
      <c r="A810" s="30" t="inlineStr">
        <is>
          <t>11983-69</t>
        </is>
      </c>
      <c r="B810" s="31" t="inlineStr">
        <is>
          <t>United Information Technology</t>
        </is>
      </c>
      <c r="C810" s="32" t="inlineStr">
        <is>
          <t/>
        </is>
      </c>
      <c r="D810" s="33" t="n">
        <v>-0.021673761911075996</v>
      </c>
      <c r="E810" s="34" t="n">
        <v>0.7130434782608696</v>
      </c>
      <c r="F810" s="35" t="n">
        <v>40661.0</v>
      </c>
      <c r="G810" s="36" t="inlineStr">
        <is>
          <t>Later Stage VC</t>
        </is>
      </c>
      <c r="H810" s="37" t="inlineStr">
        <is>
          <t/>
        </is>
      </c>
      <c r="I810" s="38" t="inlineStr">
        <is>
          <t/>
        </is>
      </c>
      <c r="J810" s="39" t="inlineStr">
        <is>
          <t/>
        </is>
      </c>
      <c r="K810" s="40" t="inlineStr">
        <is>
          <t>Completed</t>
        </is>
      </c>
      <c r="L810" s="41" t="inlineStr">
        <is>
          <t>Privately Held (backing)</t>
        </is>
      </c>
      <c r="M810" s="42" t="inlineStr">
        <is>
          <t>Venture Capital-Backed</t>
        </is>
      </c>
      <c r="N810" s="43" t="inlineStr">
        <is>
          <t>The company raised an undisclosed amount of venture funding from Intel Capital on April 28, 2011.</t>
        </is>
      </c>
      <c r="O810" s="44" t="inlineStr">
        <is>
          <t>Canadian Broadcasting, Intel Capital, J.P. Morgan, Orchid Asia Group Management, Patricia Industries</t>
        </is>
      </c>
      <c r="P810" s="45" t="inlineStr">
        <is>
          <t/>
        </is>
      </c>
      <c r="Q810" s="46" t="inlineStr">
        <is>
          <t>Other Hardware</t>
        </is>
      </c>
      <c r="R810" s="47" t="inlineStr">
        <is>
          <t>Provider of data storage products and application software for cloud storage. The company offers storage appliance, unified storage, data management storage, disk array controller and cloud storage file system for various enterprises.</t>
        </is>
      </c>
      <c r="S810" s="48" t="inlineStr">
        <is>
          <t>Beijing, China</t>
        </is>
      </c>
      <c r="T810" s="49" t="inlineStr">
        <is>
          <t>www.uitstor.com</t>
        </is>
      </c>
      <c r="U810" s="132">
        <f>HYPERLINK("https://my.pitchbook.com?c=11983-69", "View company online")</f>
      </c>
    </row>
    <row r="811">
      <c r="A811" s="9" t="inlineStr">
        <is>
          <t>180194-14</t>
        </is>
      </c>
      <c r="B811" s="10" t="inlineStr">
        <is>
          <t>Unite (Media and Information Services)</t>
        </is>
      </c>
      <c r="C811" s="11" t="inlineStr">
        <is>
          <t/>
        </is>
      </c>
      <c r="D811" s="12" t="n">
        <v>0.0</v>
      </c>
      <c r="E811" s="13" t="n">
        <v>0.24690792487402657</v>
      </c>
      <c r="F811" s="14" t="inlineStr">
        <is>
          <t/>
        </is>
      </c>
      <c r="G811" s="15" t="inlineStr">
        <is>
          <t>Early Stage VC</t>
        </is>
      </c>
      <c r="H811" s="16" t="inlineStr">
        <is>
          <t/>
        </is>
      </c>
      <c r="I811" s="17" t="inlineStr">
        <is>
          <t/>
        </is>
      </c>
      <c r="J811" s="18" t="inlineStr">
        <is>
          <t/>
        </is>
      </c>
      <c r="K811" s="19" t="inlineStr">
        <is>
          <t>Completed</t>
        </is>
      </c>
      <c r="L811" s="20" t="inlineStr">
        <is>
          <t>Privately Held (backing)</t>
        </is>
      </c>
      <c r="M811" s="21" t="inlineStr">
        <is>
          <t>Venture Capital-Backed</t>
        </is>
      </c>
      <c r="N811" s="22" t="inlineStr">
        <is>
          <t>The company raised an undisclosed amount of venture funding from I2BF Global Ventures.</t>
        </is>
      </c>
      <c r="O811" s="23" t="inlineStr">
        <is>
          <t>I2BF Global Ventures</t>
        </is>
      </c>
      <c r="P811" s="24" t="inlineStr">
        <is>
          <t/>
        </is>
      </c>
      <c r="Q811" s="25" t="inlineStr">
        <is>
          <t>Media and Information Services (B2B)</t>
        </is>
      </c>
      <c r="R811" s="26" t="inlineStr">
        <is>
          <t>Operator of an online advertising marketplace. The company's advertising online tool offers marketplace for sellers to have the same online advertising tools that are available to big brands, enabling business to reach out to the right people with their advertising and increase their sales.</t>
        </is>
      </c>
      <c r="S811" s="27" t="inlineStr">
        <is>
          <t>Los Angeles, CA</t>
        </is>
      </c>
      <c r="T811" s="28" t="inlineStr">
        <is>
          <t>www.unite.io</t>
        </is>
      </c>
      <c r="U811" s="131">
        <f>HYPERLINK("https://my.pitchbook.com?c=180194-14", "View company online")</f>
      </c>
    </row>
    <row r="812">
      <c r="A812" s="30" t="inlineStr">
        <is>
          <t>61361-20</t>
        </is>
      </c>
      <c r="B812" s="31" t="inlineStr">
        <is>
          <t>Unitas Global</t>
        </is>
      </c>
      <c r="C812" s="32" t="n">
        <v>22.1</v>
      </c>
      <c r="D812" s="33" t="n">
        <v>2.033380652494047</v>
      </c>
      <c r="E812" s="34" t="n">
        <v>6.9458223198459015</v>
      </c>
      <c r="F812" s="35" t="inlineStr">
        <is>
          <t/>
        </is>
      </c>
      <c r="G812" s="36" t="inlineStr">
        <is>
          <t>Later Stage VC</t>
        </is>
      </c>
      <c r="H812" s="37" t="inlineStr">
        <is>
          <t>Series B</t>
        </is>
      </c>
      <c r="I812" s="38" t="inlineStr">
        <is>
          <t/>
        </is>
      </c>
      <c r="J812" s="39" t="inlineStr">
        <is>
          <t/>
        </is>
      </c>
      <c r="K812" s="40" t="inlineStr">
        <is>
          <t>Upcoming</t>
        </is>
      </c>
      <c r="L812" s="41" t="inlineStr">
        <is>
          <t>Privately Held (backing)</t>
        </is>
      </c>
      <c r="M812" s="42" t="inlineStr">
        <is>
          <t>Venture Capital-Backed</t>
        </is>
      </c>
      <c r="N812" s="43" t="inlineStr">
        <is>
          <t>The company is planning to raise Series B growth equity funding from undisclosed investors as of February 13, 2017, in a round planned to open in March 2017. Previously, the company raised $3.3 million of Series A1 venture funding from Azure Capital Partners, MK Capital, Wintrust Bank and other undisclosed investors on February 5, 2016, putting the company's pre-money valuation at $18.1 million. The proceeds of this round of investment are for working capital, a portion of which shall be applied toward the payment of salaries. The company is being actively tracked by PitchBook.</t>
        </is>
      </c>
      <c r="O812" s="44" t="inlineStr">
        <is>
          <t>Azure Capital Partners, MK Capital, Wintrust Financial</t>
        </is>
      </c>
      <c r="P812" s="45" t="inlineStr">
        <is>
          <t/>
        </is>
      </c>
      <c r="Q812" s="46" t="inlineStr">
        <is>
          <t>IT Consulting and Outsourcing</t>
        </is>
      </c>
      <c r="R812" s="47" t="inlineStr">
        <is>
          <t>Provider of secure private and hybrid cloud solutions for enterprise clients. The company designs, deploys, and manages enterprise IT infrastructure that is technology-agnostic, carrier-neutral, and globally deployed.</t>
        </is>
      </c>
      <c r="S812" s="48" t="inlineStr">
        <is>
          <t>Los Angeles, CA</t>
        </is>
      </c>
      <c r="T812" s="49" t="inlineStr">
        <is>
          <t>www.unitasglobal.com</t>
        </is>
      </c>
      <c r="U812" s="132">
        <f>HYPERLINK("https://my.pitchbook.com?c=61361-20", "View company online")</f>
      </c>
    </row>
    <row r="813">
      <c r="A813" s="9" t="inlineStr">
        <is>
          <t>179806-06</t>
        </is>
      </c>
      <c r="B813" s="10" t="inlineStr">
        <is>
          <t>Unisound (Norway)</t>
        </is>
      </c>
      <c r="C813" s="11" t="inlineStr">
        <is>
          <t/>
        </is>
      </c>
      <c r="D813" s="12" t="n">
        <v>0.0</v>
      </c>
      <c r="E813" s="13" t="n">
        <v>0.05405405405405406</v>
      </c>
      <c r="F813" s="14" t="inlineStr">
        <is>
          <t/>
        </is>
      </c>
      <c r="G813" s="15" t="inlineStr">
        <is>
          <t>Early Stage VC</t>
        </is>
      </c>
      <c r="H813" s="16" t="inlineStr">
        <is>
          <t/>
        </is>
      </c>
      <c r="I813" s="17" t="n">
        <v>0.25</v>
      </c>
      <c r="J813" s="18" t="inlineStr">
        <is>
          <t/>
        </is>
      </c>
      <c r="K813" s="19" t="inlineStr">
        <is>
          <t>Completed</t>
        </is>
      </c>
      <c r="L813" s="20" t="inlineStr">
        <is>
          <t>Privately Held (backing)</t>
        </is>
      </c>
      <c r="M813" s="21" t="inlineStr">
        <is>
          <t>Venture Capital-Backed</t>
        </is>
      </c>
      <c r="N813" s="22" t="inlineStr">
        <is>
          <t>The company joined StartupLab and received $250,000 of venture funding on an undisclosed date.</t>
        </is>
      </c>
      <c r="O813" s="23" t="inlineStr">
        <is>
          <t>Innovation (Norway), Research Council of Norway, StartupLab</t>
        </is>
      </c>
      <c r="P813" s="24" t="inlineStr">
        <is>
          <t/>
        </is>
      </c>
      <c r="Q813" s="25" t="inlineStr">
        <is>
          <t>Electronic Equipment and Instruments</t>
        </is>
      </c>
      <c r="R813" s="26" t="inlineStr">
        <is>
          <t>Developer of smart high definition 3D sound system designed to offer conference speakers. The company's smart high definition 3D sound system develops audiovisual technology equipped with newly developed hardware for audio pinpointing and tracking of sound sources that helps to detect the sound source in the room, filtrate the sound and suppress surrounding noise, enabling people communicate and interact better, without actively using the equipment.</t>
        </is>
      </c>
      <c r="S813" s="27" t="inlineStr">
        <is>
          <t>Oslo, Norway</t>
        </is>
      </c>
      <c r="T813" s="28" t="inlineStr">
        <is>
          <t/>
        </is>
      </c>
      <c r="U813" s="131">
        <f>HYPERLINK("https://my.pitchbook.com?c=179806-06", "View company online")</f>
      </c>
    </row>
    <row r="814">
      <c r="A814" s="30" t="inlineStr">
        <is>
          <t>56364-85</t>
        </is>
      </c>
      <c r="B814" s="31" t="inlineStr">
        <is>
          <t>Unison Home Ownership Investors</t>
        </is>
      </c>
      <c r="C814" s="32" t="inlineStr">
        <is>
          <t/>
        </is>
      </c>
      <c r="D814" s="33" t="n">
        <v>6.687115110482184</v>
      </c>
      <c r="E814" s="34" t="n">
        <v>1.3669544162543426</v>
      </c>
      <c r="F814" s="35" t="n">
        <v>42787.0</v>
      </c>
      <c r="G814" s="36" t="inlineStr">
        <is>
          <t>Angel (individual)</t>
        </is>
      </c>
      <c r="H814" s="37" t="inlineStr">
        <is>
          <t>Angel</t>
        </is>
      </c>
      <c r="I814" s="38" t="inlineStr">
        <is>
          <t/>
        </is>
      </c>
      <c r="J814" s="39" t="inlineStr">
        <is>
          <t/>
        </is>
      </c>
      <c r="K814" s="40" t="inlineStr">
        <is>
          <t>Completed</t>
        </is>
      </c>
      <c r="L814" s="41" t="inlineStr">
        <is>
          <t>Privately Held (backing)</t>
        </is>
      </c>
      <c r="M814" s="42" t="inlineStr">
        <is>
          <t>Venture Capital-Backed</t>
        </is>
      </c>
      <c r="N814" s="43" t="inlineStr">
        <is>
          <t>The company raised an undisclosed amount of angel funding from Ron Suber on February 21, 2017.</t>
        </is>
      </c>
      <c r="O814" s="44" t="inlineStr">
        <is>
          <t>Exigent Ventures, Ron Suber</t>
        </is>
      </c>
      <c r="P814" s="45" t="inlineStr">
        <is>
          <t/>
        </is>
      </c>
      <c r="Q814" s="46" t="inlineStr">
        <is>
          <t>Consumer Finance</t>
        </is>
      </c>
      <c r="R814" s="47" t="inlineStr">
        <is>
          <t>Provider of home ownership investments designed for long-term financing. The company's home ownership investments offers long-term investments in individual residential properties through their innovative programs in exchange for the opportunity to share gain or loss in the home's value when they decide to sell, enabling applicants to buy homes without interest or monthly payments.</t>
        </is>
      </c>
      <c r="S814" s="48" t="inlineStr">
        <is>
          <t>San Francisco, CA</t>
        </is>
      </c>
      <c r="T814" s="49" t="inlineStr">
        <is>
          <t>www.myunison.com</t>
        </is>
      </c>
      <c r="U814" s="132">
        <f>HYPERLINK("https://my.pitchbook.com?c=56364-85", "View company online")</f>
      </c>
    </row>
    <row r="815">
      <c r="A815" s="9" t="inlineStr">
        <is>
          <t>59948-11</t>
        </is>
      </c>
      <c r="B815" s="10" t="inlineStr">
        <is>
          <t>uniRow</t>
        </is>
      </c>
      <c r="C815" s="11" t="inlineStr">
        <is>
          <t/>
        </is>
      </c>
      <c r="D815" s="12" t="n">
        <v>-0.028584790981487466</v>
      </c>
      <c r="E815" s="13" t="n">
        <v>0.5362187010676325</v>
      </c>
      <c r="F815" s="14" t="n">
        <v>41765.0</v>
      </c>
      <c r="G815" s="15" t="inlineStr">
        <is>
          <t>Early Stage VC</t>
        </is>
      </c>
      <c r="H815" s="16" t="inlineStr">
        <is>
          <t/>
        </is>
      </c>
      <c r="I815" s="17" t="n">
        <v>0.21</v>
      </c>
      <c r="J815" s="18" t="inlineStr">
        <is>
          <t/>
        </is>
      </c>
      <c r="K815" s="19" t="inlineStr">
        <is>
          <t>Completed</t>
        </is>
      </c>
      <c r="L815" s="20" t="inlineStr">
        <is>
          <t>Privately Held (backing)</t>
        </is>
      </c>
      <c r="M815" s="21" t="inlineStr">
        <is>
          <t>Venture Capital-Backed</t>
        </is>
      </c>
      <c r="N815" s="22" t="inlineStr">
        <is>
          <t>The company raised $214,471 of venture funding from undisclosed investors on May 6, 2014.</t>
        </is>
      </c>
      <c r="O815" s="23" t="inlineStr">
        <is>
          <t>Pallav Pandey, Purvi Capital, Richard Calmbach</t>
        </is>
      </c>
      <c r="P815" s="24" t="inlineStr">
        <is>
          <t/>
        </is>
      </c>
      <c r="Q815" s="25" t="inlineStr">
        <is>
          <t>Business/Productivity Software</t>
        </is>
      </c>
      <c r="R815" s="26" t="inlineStr">
        <is>
          <t>Provider of a competency-based sales training platform. The company offers an online platform that enables organizations to track salesforce readiness and deliver precise training. It also offers necessary tools to deliver virtual trainings, assess sales executives on both knowledge and skills, as well as generate in-depth analytics for identifying training needs.</t>
        </is>
      </c>
      <c r="S815" s="27" t="inlineStr">
        <is>
          <t>Mountain View, CA</t>
        </is>
      </c>
      <c r="T815" s="28" t="inlineStr">
        <is>
          <t>www.trainingcloud.com</t>
        </is>
      </c>
      <c r="U815" s="131">
        <f>HYPERLINK("https://my.pitchbook.com?c=59948-11", "View company online")</f>
      </c>
    </row>
    <row r="816">
      <c r="A816" s="30" t="inlineStr">
        <is>
          <t>120681-46</t>
        </is>
      </c>
      <c r="B816" s="31" t="inlineStr">
        <is>
          <t>Uniquify</t>
        </is>
      </c>
      <c r="C816" s="32" t="inlineStr">
        <is>
          <t/>
        </is>
      </c>
      <c r="D816" s="33" t="n">
        <v>-1.556000170992006</v>
      </c>
      <c r="E816" s="34" t="n">
        <v>15.36319102816892</v>
      </c>
      <c r="F816" s="35" t="n">
        <v>42753.0</v>
      </c>
      <c r="G816" s="36" t="inlineStr">
        <is>
          <t>Later Stage VC</t>
        </is>
      </c>
      <c r="H816" s="37" t="inlineStr">
        <is>
          <t/>
        </is>
      </c>
      <c r="I816" s="38" t="n">
        <v>0.25</v>
      </c>
      <c r="J816" s="39" t="inlineStr">
        <is>
          <t/>
        </is>
      </c>
      <c r="K816" s="40" t="inlineStr">
        <is>
          <t>Announced/In Progress</t>
        </is>
      </c>
      <c r="L816" s="41" t="inlineStr">
        <is>
          <t>Privately Held (backing)</t>
        </is>
      </c>
      <c r="M816" s="42" t="inlineStr">
        <is>
          <t>Venture Capital-Backed</t>
        </is>
      </c>
      <c r="N816" s="43" t="inlineStr">
        <is>
          <t>The company closed $250,000 of convertible debt financing from undisclosed investors on January 18, 2017. The company is actively tracked by PitchBook.</t>
        </is>
      </c>
      <c r="O816" s="44" t="inlineStr">
        <is>
          <t/>
        </is>
      </c>
      <c r="P816" s="45" t="inlineStr">
        <is>
          <t/>
        </is>
      </c>
      <c r="Q816" s="46" t="inlineStr">
        <is>
          <t>Application Specific Semiconductors</t>
        </is>
      </c>
      <c r="R816" s="47" t="inlineStr">
        <is>
          <t>Manufacturer of fabless semiconductor products designed for new design principles and software algorithms. The company's semiconductor products are high-end system-on-a-chip based on internal next-generation architecture enabling visual, mobile and networking segments to increase their performance and lower development cost and time-to-market of their semiconductor products.</t>
        </is>
      </c>
      <c r="S816" s="48" t="inlineStr">
        <is>
          <t>San Jose, CA</t>
        </is>
      </c>
      <c r="T816" s="49" t="inlineStr">
        <is>
          <t>www.uniquify.com</t>
        </is>
      </c>
      <c r="U816" s="132">
        <f>HYPERLINK("https://my.pitchbook.com?c=120681-46", "View company online")</f>
      </c>
    </row>
    <row r="817">
      <c r="A817" s="9" t="inlineStr">
        <is>
          <t>56865-34</t>
        </is>
      </c>
      <c r="B817" s="10" t="inlineStr">
        <is>
          <t>UniKey Technologies</t>
        </is>
      </c>
      <c r="C817" s="11" t="inlineStr">
        <is>
          <t/>
        </is>
      </c>
      <c r="D817" s="12" t="n">
        <v>-0.002088655023034347</v>
      </c>
      <c r="E817" s="13" t="n">
        <v>8.336487102957257</v>
      </c>
      <c r="F817" s="14" t="n">
        <v>42724.0</v>
      </c>
      <c r="G817" s="15" t="inlineStr">
        <is>
          <t>Later Stage VC</t>
        </is>
      </c>
      <c r="H817" s="16" t="inlineStr">
        <is>
          <t/>
        </is>
      </c>
      <c r="I817" s="17" t="n">
        <v>0.21</v>
      </c>
      <c r="J817" s="18" t="inlineStr">
        <is>
          <t/>
        </is>
      </c>
      <c r="K817" s="19" t="inlineStr">
        <is>
          <t>Announced/In Progress</t>
        </is>
      </c>
      <c r="L817" s="20" t="inlineStr">
        <is>
          <t>Privately Held (backing)</t>
        </is>
      </c>
      <c r="M817" s="21" t="inlineStr">
        <is>
          <t>Venture Capital-Backed</t>
        </is>
      </c>
      <c r="N817" s="22" t="inlineStr">
        <is>
          <t>The company received $207,500 of convertible debt financing from undisclosed investors on December 20, 2016. Previously, the company raised $10 million in Series A venture funding from Daniel Gutenberg, Asset Management Ventures and AXCIT Capital Partners on March 17, 2015. CBRE Group, ff Venture Capital, Samsung Electronics Co., Haas Portman, Oriza Ventures, Sumit Gupta, Michael Liou, Allison Thoreson Bhusri and Broadway Angels also participated. The company is being actively tracked by PitchBook.</t>
        </is>
      </c>
      <c r="O817" s="23" t="inlineStr">
        <is>
          <t>ACXIT Capital Partners, Allison Bhusri, Asset Management Ventures, Broadway Angels, CBRE Group, Daniel Gutenberg, Dave Lerner, ff Venture Capital, Haas Portman, Igniting Innovation, Individual Investor, Kevin O'Leary, Mark Cuban, Michael Liou, Oriza Ventures, Paul Sethi, Rani Aliahmad, Samsung Electronics, Samsung NEXT Ventures, Sumit Gupta</t>
        </is>
      </c>
      <c r="P817" s="24" t="inlineStr">
        <is>
          <t/>
        </is>
      </c>
      <c r="Q817" s="25" t="inlineStr">
        <is>
          <t>Electronics (B2C)</t>
        </is>
      </c>
      <c r="R817" s="26" t="inlineStr">
        <is>
          <t>Developer of a technology to unlock doors with their cell phones. The company offers biometric locking technology to the consumer channel. It develops a proprietary and patented "touch-to-open" system that can be integrated into existing doors by simply replacing the current lock.</t>
        </is>
      </c>
      <c r="S817" s="27" t="inlineStr">
        <is>
          <t>Orlando, FL</t>
        </is>
      </c>
      <c r="T817" s="28" t="inlineStr">
        <is>
          <t>www.unikey.com</t>
        </is>
      </c>
      <c r="U817" s="131">
        <f>HYPERLINK("https://my.pitchbook.com?c=56865-34", "View company online")</f>
      </c>
    </row>
    <row r="818">
      <c r="A818" s="30" t="inlineStr">
        <is>
          <t>155218-15</t>
        </is>
      </c>
      <c r="B818" s="31" t="inlineStr">
        <is>
          <t>Uniformity Labs</t>
        </is>
      </c>
      <c r="C818" s="32" t="inlineStr">
        <is>
          <t/>
        </is>
      </c>
      <c r="D818" s="33" t="n">
        <v>0.0</v>
      </c>
      <c r="E818" s="34" t="n">
        <v>0.21621621621621623</v>
      </c>
      <c r="F818" s="35" t="n">
        <v>42741.0</v>
      </c>
      <c r="G818" s="36" t="inlineStr">
        <is>
          <t>Early Stage VC</t>
        </is>
      </c>
      <c r="H818" s="37" t="inlineStr">
        <is>
          <t/>
        </is>
      </c>
      <c r="I818" s="38" t="n">
        <v>5.33</v>
      </c>
      <c r="J818" s="39" t="inlineStr">
        <is>
          <t/>
        </is>
      </c>
      <c r="K818" s="40" t="inlineStr">
        <is>
          <t>Completed</t>
        </is>
      </c>
      <c r="L818" s="41" t="inlineStr">
        <is>
          <t>Privately Held (backing)</t>
        </is>
      </c>
      <c r="M818" s="42" t="inlineStr">
        <is>
          <t>Venture Capital-Backed</t>
        </is>
      </c>
      <c r="N818" s="43" t="inlineStr">
        <is>
          <t>The company raised $5.33 million of venture funding from undisclosed investors on January 6, 2017.</t>
        </is>
      </c>
      <c r="O818" s="44" t="inlineStr">
        <is>
          <t>IP Group</t>
        </is>
      </c>
      <c r="P818" s="45" t="inlineStr">
        <is>
          <t/>
        </is>
      </c>
      <c r="Q818" s="46" t="inlineStr">
        <is>
          <t>Media and Information Services (B2B)</t>
        </is>
      </c>
      <c r="R818" s="47" t="inlineStr">
        <is>
          <t>Developer of optimised feedstock powders for 3D printing. The company engages in research and offers information on additive manufacturing production.</t>
        </is>
      </c>
      <c r="S818" s="48" t="inlineStr">
        <is>
          <t>Menlo Park, CA</t>
        </is>
      </c>
      <c r="T818" s="49" t="inlineStr">
        <is>
          <t>www.uniformitylabs.com</t>
        </is>
      </c>
      <c r="U818" s="132">
        <f>HYPERLINK("https://my.pitchbook.com?c=155218-15", "View company online")</f>
      </c>
    </row>
    <row r="819">
      <c r="A819" s="9" t="inlineStr">
        <is>
          <t>170477-38</t>
        </is>
      </c>
      <c r="B819" s="10" t="inlineStr">
        <is>
          <t>Unified Pictures</t>
        </is>
      </c>
      <c r="C819" s="11" t="inlineStr">
        <is>
          <t/>
        </is>
      </c>
      <c r="D819" s="12" t="n">
        <v>0.01545983046833653</v>
      </c>
      <c r="E819" s="13" t="n">
        <v>4.892140969793881</v>
      </c>
      <c r="F819" s="14" t="n">
        <v>40081.0</v>
      </c>
      <c r="G819" s="15" t="inlineStr">
        <is>
          <t>Early Stage VC</t>
        </is>
      </c>
      <c r="H819" s="16" t="inlineStr">
        <is>
          <t/>
        </is>
      </c>
      <c r="I819" s="17" t="inlineStr">
        <is>
          <t/>
        </is>
      </c>
      <c r="J819" s="18" t="inlineStr">
        <is>
          <t/>
        </is>
      </c>
      <c r="K819" s="19" t="inlineStr">
        <is>
          <t>Completed</t>
        </is>
      </c>
      <c r="L819" s="20" t="inlineStr">
        <is>
          <t>Privately Held (backing)</t>
        </is>
      </c>
      <c r="M819" s="21" t="inlineStr">
        <is>
          <t>Venture Capital-Backed</t>
        </is>
      </c>
      <c r="N819" s="22" t="inlineStr">
        <is>
          <t>The company raised an undisclosed amount of venture funding from Rising India, Panacea Capital Advisors and Victory Square Labs on September 25, 2009.</t>
        </is>
      </c>
      <c r="O819" s="23" t="inlineStr">
        <is>
          <t>Panacea Capital Advisors, Rising India, Victory Square Labs</t>
        </is>
      </c>
      <c r="P819" s="24" t="inlineStr">
        <is>
          <t/>
        </is>
      </c>
      <c r="Q819" s="25" t="inlineStr">
        <is>
          <t>Movies, Music and Entertainment</t>
        </is>
      </c>
      <c r="R819" s="26" t="inlineStr">
        <is>
          <t>Operator of a film production and distribution company created to produce cutting-edge and artistically innovative films. The company's motion picture production and distribution house offers casts, stories, and photography in multiple film-making areas, from development to release enabling the motion picture industry to develop, finance, produce and distribute top-tier filmed entertainment.</t>
        </is>
      </c>
      <c r="S819" s="27" t="inlineStr">
        <is>
          <t>Northridge, CA</t>
        </is>
      </c>
      <c r="T819" s="28" t="inlineStr">
        <is>
          <t>www.unifiedpictures.com</t>
        </is>
      </c>
      <c r="U819" s="131">
        <f>HYPERLINK("https://my.pitchbook.com?c=170477-38", "View company online")</f>
      </c>
    </row>
    <row r="820">
      <c r="A820" s="30" t="inlineStr">
        <is>
          <t>66353-41</t>
        </is>
      </c>
      <c r="B820" s="31" t="inlineStr">
        <is>
          <t>Unifi Software</t>
        </is>
      </c>
      <c r="C820" s="32" t="inlineStr">
        <is>
          <t/>
        </is>
      </c>
      <c r="D820" s="33" t="n">
        <v>0.5655689478179251</v>
      </c>
      <c r="E820" s="34" t="n">
        <v>1.2196676938018132</v>
      </c>
      <c r="F820" s="35" t="n">
        <v>42808.0</v>
      </c>
      <c r="G820" s="36" t="inlineStr">
        <is>
          <t>Accelerator/Incubator</t>
        </is>
      </c>
      <c r="H820" s="37" t="inlineStr">
        <is>
          <t/>
        </is>
      </c>
      <c r="I820" s="38" t="inlineStr">
        <is>
          <t/>
        </is>
      </c>
      <c r="J820" s="39" t="inlineStr">
        <is>
          <t/>
        </is>
      </c>
      <c r="K820" s="40" t="inlineStr">
        <is>
          <t>Completed</t>
        </is>
      </c>
      <c r="L820" s="41" t="inlineStr">
        <is>
          <t>Privately Held (backing)</t>
        </is>
      </c>
      <c r="M820" s="42" t="inlineStr">
        <is>
          <t>Venture Capital-Backed</t>
        </is>
      </c>
      <c r="N820" s="43" t="inlineStr">
        <is>
          <t>The company joined Microsoft Accelerator as a part of its Batch 5 on March 14, 2017. The company raised $17.5 million of Series B venture funding in a deal led by Scale Venture Partners on March 14, 2017. Follow on Canaan Partners and Pelion Partners also participated in the round. The company intends to use the capital to accelerate development, expand the sales team and market awareness.</t>
        </is>
      </c>
      <c r="O820" s="44" t="inlineStr">
        <is>
          <t>Canaan Partners, Microsoft Accelerator, Omaha Capital, Pelion Venture Partners, Scale Venture Partners</t>
        </is>
      </c>
      <c r="P820" s="45" t="inlineStr">
        <is>
          <t/>
        </is>
      </c>
      <c r="Q820" s="46" t="inlineStr">
        <is>
          <t>Database Software</t>
        </is>
      </c>
      <c r="R820" s="47" t="inlineStr">
        <is>
          <t>Developer of a cloud-based Data-as-a-Service platform designed to break down the barriers of operational data silos and democratize information across the enterprise. The company's Data-as-a-Service platform is a self-service catalog and preparation tool that makes the entire data preparation process easy, hassle free and can be accessed from multiple sources, enabling end-users to avail convenient self-service of data integration.</t>
        </is>
      </c>
      <c r="S820" s="48" t="inlineStr">
        <is>
          <t>San Mateo, CA</t>
        </is>
      </c>
      <c r="T820" s="49" t="inlineStr">
        <is>
          <t>www.unifisoftware.com</t>
        </is>
      </c>
      <c r="U820" s="132">
        <f>HYPERLINK("https://my.pitchbook.com?c=66353-41", "View company online")</f>
      </c>
    </row>
    <row r="821">
      <c r="A821" s="9" t="inlineStr">
        <is>
          <t>180185-41</t>
        </is>
      </c>
      <c r="B821" s="10" t="inlineStr">
        <is>
          <t>Unicobag</t>
        </is>
      </c>
      <c r="C821" s="97">
        <f>HYPERLINK("https://my.pitchbook.com?rrp=180185-41&amp;type=c", "This Company's information is not available to download. Need this Company? Request availability")</f>
      </c>
      <c r="D821" s="12" t="inlineStr">
        <is>
          <t/>
        </is>
      </c>
      <c r="E821" s="13" t="inlineStr">
        <is>
          <t/>
        </is>
      </c>
      <c r="F821" s="14" t="inlineStr">
        <is>
          <t/>
        </is>
      </c>
      <c r="G821" s="15" t="inlineStr">
        <is>
          <t/>
        </is>
      </c>
      <c r="H821" s="16" t="inlineStr">
        <is>
          <t/>
        </is>
      </c>
      <c r="I821" s="17" t="inlineStr">
        <is>
          <t/>
        </is>
      </c>
      <c r="J821" s="18" t="inlineStr">
        <is>
          <t/>
        </is>
      </c>
      <c r="K821" s="19" t="inlineStr">
        <is>
          <t/>
        </is>
      </c>
      <c r="L821" s="20" t="inlineStr">
        <is>
          <t/>
        </is>
      </c>
      <c r="M821" s="21" t="inlineStr">
        <is>
          <t/>
        </is>
      </c>
      <c r="N821" s="22" t="inlineStr">
        <is>
          <t/>
        </is>
      </c>
      <c r="O821" s="23" t="inlineStr">
        <is>
          <t/>
        </is>
      </c>
      <c r="P821" s="24" t="inlineStr">
        <is>
          <t/>
        </is>
      </c>
      <c r="Q821" s="25" t="inlineStr">
        <is>
          <t/>
        </is>
      </c>
      <c r="R821" s="26" t="inlineStr">
        <is>
          <t/>
        </is>
      </c>
      <c r="S821" s="27" t="inlineStr">
        <is>
          <t/>
        </is>
      </c>
      <c r="T821" s="28" t="inlineStr">
        <is>
          <t/>
        </is>
      </c>
      <c r="U821" s="29" t="inlineStr">
        <is>
          <t/>
        </is>
      </c>
    </row>
    <row r="822">
      <c r="A822" s="30" t="inlineStr">
        <is>
          <t>157001-50</t>
        </is>
      </c>
      <c r="B822" s="31" t="inlineStr">
        <is>
          <t>Unibreeze</t>
        </is>
      </c>
      <c r="C822" s="32" t="inlineStr">
        <is>
          <t/>
        </is>
      </c>
      <c r="D822" s="33" t="n">
        <v>0.0</v>
      </c>
      <c r="E822" s="34" t="n">
        <v>0.23174416652677524</v>
      </c>
      <c r="F822" s="35" t="n">
        <v>42121.0</v>
      </c>
      <c r="G822" s="36" t="inlineStr">
        <is>
          <t>Early Stage VC</t>
        </is>
      </c>
      <c r="H822" s="37" t="inlineStr">
        <is>
          <t/>
        </is>
      </c>
      <c r="I822" s="38" t="n">
        <v>0.1</v>
      </c>
      <c r="J822" s="39" t="inlineStr">
        <is>
          <t/>
        </is>
      </c>
      <c r="K822" s="40" t="inlineStr">
        <is>
          <t>Completed</t>
        </is>
      </c>
      <c r="L822" s="41" t="inlineStr">
        <is>
          <t>Privately Held (backing)</t>
        </is>
      </c>
      <c r="M822" s="42" t="inlineStr">
        <is>
          <t>Venture Capital-Backed</t>
        </is>
      </c>
      <c r="N822" s="43" t="inlineStr">
        <is>
          <t>The company raised $100,000 of venture funding from Traction Tribe on April 27, 2015.</t>
        </is>
      </c>
      <c r="O822" s="44" t="inlineStr">
        <is>
          <t>Traction Tribe</t>
        </is>
      </c>
      <c r="P822" s="45" t="inlineStr">
        <is>
          <t/>
        </is>
      </c>
      <c r="Q822" s="46" t="inlineStr">
        <is>
          <t>Application Software</t>
        </is>
      </c>
      <c r="R822" s="47" t="inlineStr">
        <is>
          <t>Provider of a search engine application. The company offers an application enabling college students to search for live campus events in their respective cities.</t>
        </is>
      </c>
      <c r="S822" s="48" t="inlineStr">
        <is>
          <t>Sárkeresztes, Hungary</t>
        </is>
      </c>
      <c r="T822" s="49" t="inlineStr">
        <is>
          <t>www.unibreeze.com</t>
        </is>
      </c>
      <c r="U822" s="132">
        <f>HYPERLINK("https://my.pitchbook.com?c=157001-50", "View company online")</f>
      </c>
    </row>
    <row r="823">
      <c r="A823" s="9" t="inlineStr">
        <is>
          <t>161996-59</t>
        </is>
      </c>
      <c r="B823" s="10" t="inlineStr">
        <is>
          <t>unGlue</t>
        </is>
      </c>
      <c r="C823" s="11" t="inlineStr">
        <is>
          <t/>
        </is>
      </c>
      <c r="D823" s="12" t="n">
        <v>0.10186830791931085</v>
      </c>
      <c r="E823" s="13" t="n">
        <v>1.1172221068315396</v>
      </c>
      <c r="F823" s="14" t="inlineStr">
        <is>
          <t/>
        </is>
      </c>
      <c r="G823" s="15" t="inlineStr">
        <is>
          <t>Seed Round</t>
        </is>
      </c>
      <c r="H823" s="16" t="inlineStr">
        <is>
          <t>Seed</t>
        </is>
      </c>
      <c r="I823" s="17" t="n">
        <v>1.5</v>
      </c>
      <c r="J823" s="18" t="inlineStr">
        <is>
          <t/>
        </is>
      </c>
      <c r="K823" s="19" t="inlineStr">
        <is>
          <t>Completed</t>
        </is>
      </c>
      <c r="L823" s="20" t="inlineStr">
        <is>
          <t>Privately Held (backing)</t>
        </is>
      </c>
      <c r="M823" s="21" t="inlineStr">
        <is>
          <t>Venture Capital-Backed</t>
        </is>
      </c>
      <c r="N823" s="22" t="inlineStr">
        <is>
          <t>The company raised $1.5 million of seed funding led by Arena Ventures on an undisclosed date. Amplify.LA, Baroda Ventures and Wavemaker Partners also participated in the round. The company has also joined Amplify.LA in June 2016 and received approximately $125,000 in seed funding.</t>
        </is>
      </c>
      <c r="O823" s="23" t="inlineStr">
        <is>
          <t>Amplify.LA, Arena Ventures, Baroda Ventures, Wavemaker Partners</t>
        </is>
      </c>
      <c r="P823" s="24" t="inlineStr">
        <is>
          <t/>
        </is>
      </c>
      <c r="Q823" s="25" t="inlineStr">
        <is>
          <t>Application Software</t>
        </is>
      </c>
      <c r="R823" s="26" t="inlineStr">
        <is>
          <t>Developer of a parental control application software designed to help parents manage their children's internet usage across all devices. The company offers a mobile application that allows parents to be informed of and control the amount of time and content their children consume on games, videos and social media sites vs. the rest of the internet, regardless of the device or the physical location of the child enabling parents to help their children manage their on time between studies and entertainment.</t>
        </is>
      </c>
      <c r="S823" s="27" t="inlineStr">
        <is>
          <t>Los Angeles, CA</t>
        </is>
      </c>
      <c r="T823" s="28" t="inlineStr">
        <is>
          <t>www.unglue.net</t>
        </is>
      </c>
      <c r="U823" s="131">
        <f>HYPERLINK("https://my.pitchbook.com?c=161996-59", "View company online")</f>
      </c>
    </row>
    <row r="824">
      <c r="A824" s="30" t="inlineStr">
        <is>
          <t>13224-79</t>
        </is>
      </c>
      <c r="B824" s="31" t="inlineStr">
        <is>
          <t>Underlying</t>
        </is>
      </c>
      <c r="C824" s="32" t="inlineStr">
        <is>
          <t/>
        </is>
      </c>
      <c r="D824" s="33" t="n">
        <v>-0.37453482493877205</v>
      </c>
      <c r="E824" s="34" t="n">
        <v>183.4835089326615</v>
      </c>
      <c r="F824" s="35" t="n">
        <v>39326.0</v>
      </c>
      <c r="G824" s="36" t="inlineStr">
        <is>
          <t>Early Stage VC</t>
        </is>
      </c>
      <c r="H824" s="37" t="inlineStr">
        <is>
          <t/>
        </is>
      </c>
      <c r="I824" s="38" t="n">
        <v>0.9</v>
      </c>
      <c r="J824" s="39" t="inlineStr">
        <is>
          <t/>
        </is>
      </c>
      <c r="K824" s="40" t="inlineStr">
        <is>
          <t>Completed</t>
        </is>
      </c>
      <c r="L824" s="41" t="inlineStr">
        <is>
          <t>Privately Held (backing)</t>
        </is>
      </c>
      <c r="M824" s="42" t="inlineStr">
        <is>
          <t>Venture Capital-Backed</t>
        </is>
      </c>
      <c r="N824" s="43" t="inlineStr">
        <is>
          <t>The company raised $900,000 of venture funding from Rustic Canyon Partners, Anil Singh and Ryan Scott on September 1, 2007. Other individual investors also participated.</t>
        </is>
      </c>
      <c r="O824" s="44" t="inlineStr">
        <is>
          <t>Anil Singh, Individual Investor, Rustic Canyon Partners, Ryan Scott</t>
        </is>
      </c>
      <c r="P824" s="45" t="inlineStr">
        <is>
          <t/>
        </is>
      </c>
      <c r="Q824" s="46" t="inlineStr">
        <is>
          <t>Information Services (B2C)</t>
        </is>
      </c>
      <c r="R824" s="47" t="inlineStr">
        <is>
          <t>Provider of a platform that enables users to create interactive widgets. The company provides fastest and easiest way to visually search for a topic and can gather real-time sources from social media, traditional search services and RSS to aggregate them.</t>
        </is>
      </c>
      <c r="S824" s="48" t="inlineStr">
        <is>
          <t>San Francisco, CA</t>
        </is>
      </c>
      <c r="T824" s="49" t="inlineStr">
        <is>
          <t>www.dipity.com</t>
        </is>
      </c>
      <c r="U824" s="132">
        <f>HYPERLINK("https://my.pitchbook.com?c=13224-79", "View company online")</f>
      </c>
    </row>
    <row r="825">
      <c r="A825" s="9" t="inlineStr">
        <is>
          <t>91266-40</t>
        </is>
      </c>
      <c r="B825" s="10" t="inlineStr">
        <is>
          <t>Underground Cellar</t>
        </is>
      </c>
      <c r="C825" s="11" t="inlineStr">
        <is>
          <t/>
        </is>
      </c>
      <c r="D825" s="12" t="n">
        <v>-0.13315309947071266</v>
      </c>
      <c r="E825" s="13" t="n">
        <v>31.612093283408687</v>
      </c>
      <c r="F825" s="14" t="n">
        <v>42174.0</v>
      </c>
      <c r="G825" s="15" t="inlineStr">
        <is>
          <t>Angel (individual)</t>
        </is>
      </c>
      <c r="H825" s="16" t="inlineStr">
        <is>
          <t>Angel</t>
        </is>
      </c>
      <c r="I825" s="17" t="inlineStr">
        <is>
          <t/>
        </is>
      </c>
      <c r="J825" s="18" t="inlineStr">
        <is>
          <t/>
        </is>
      </c>
      <c r="K825" s="19" t="inlineStr">
        <is>
          <t>Completed</t>
        </is>
      </c>
      <c r="L825" s="20" t="inlineStr">
        <is>
          <t>Privately Held (backing)</t>
        </is>
      </c>
      <c r="M825" s="21" t="inlineStr">
        <is>
          <t>Venture Capital-Backed</t>
        </is>
      </c>
      <c r="N825" s="22" t="inlineStr">
        <is>
          <t>The company raised an undisclosed amount of angel funding from 6 individual investors on June 19, 2015. It previously joined Y Combinator and received $120,000 in funding on January 15, 2015.</t>
        </is>
      </c>
      <c r="O825" s="23" t="inlineStr">
        <is>
          <t>Alex Goldberg, Alexander Gerko, Barbara Corcoran, Barbara Corcoran Venture Partners, Bradley Feld, Cindy Bi, Euan Guttridge, Individual Investor, Isocline Ventures, Kevin Simback, Robert Kunz, Startup Monthly, Y Combinator</t>
        </is>
      </c>
      <c r="P825" s="24" t="inlineStr">
        <is>
          <t/>
        </is>
      </c>
      <c r="Q825" s="25" t="inlineStr">
        <is>
          <t>Social/Platform Software</t>
        </is>
      </c>
      <c r="R825" s="26" t="inlineStr">
        <is>
          <t>Provider of an online market for wines. The company provides an online marketplace for wines. It platform also offers marketing and branding of wines.</t>
        </is>
      </c>
      <c r="S825" s="27" t="inlineStr">
        <is>
          <t>San Francisco, CA</t>
        </is>
      </c>
      <c r="T825" s="28" t="inlineStr">
        <is>
          <t>www.undergroundcellar.com</t>
        </is>
      </c>
      <c r="U825" s="131">
        <f>HYPERLINK("https://my.pitchbook.com?c=91266-40", "View company online")</f>
      </c>
    </row>
    <row r="826">
      <c r="A826" s="30" t="inlineStr">
        <is>
          <t>158508-19</t>
        </is>
      </c>
      <c r="B826" s="31" t="inlineStr">
        <is>
          <t>Underdog</t>
        </is>
      </c>
      <c r="C826" s="32" t="inlineStr">
        <is>
          <t/>
        </is>
      </c>
      <c r="D826" s="33" t="n">
        <v>0.12121779552098869</v>
      </c>
      <c r="E826" s="34" t="n">
        <v>0.24400109921480592</v>
      </c>
      <c r="F826" s="35" t="n">
        <v>42677.0</v>
      </c>
      <c r="G826" s="36" t="inlineStr">
        <is>
          <t>Early Stage VC</t>
        </is>
      </c>
      <c r="H826" s="37" t="inlineStr">
        <is>
          <t/>
        </is>
      </c>
      <c r="I826" s="38" t="inlineStr">
        <is>
          <t/>
        </is>
      </c>
      <c r="J826" s="39" t="inlineStr">
        <is>
          <t/>
        </is>
      </c>
      <c r="K826" s="40" t="inlineStr">
        <is>
          <t>Completed</t>
        </is>
      </c>
      <c r="L826" s="41" t="inlineStr">
        <is>
          <t>Privately Held (backing)</t>
        </is>
      </c>
      <c r="M826" s="42" t="inlineStr">
        <is>
          <t>Venture Capital-Backed</t>
        </is>
      </c>
      <c r="N826" s="43" t="inlineStr">
        <is>
          <t>The company raised an undisclosed amount of venture funding from Gerbera Capital, Ignia and undisclosed investors on November 3, 2016.</t>
        </is>
      </c>
      <c r="O826" s="44" t="inlineStr">
        <is>
          <t>Gerbera Capital, Ignia, Mexico Ventures, Startup Circle, Sun Mountain Capital</t>
        </is>
      </c>
      <c r="P826" s="45" t="inlineStr">
        <is>
          <t/>
        </is>
      </c>
      <c r="Q826" s="46" t="inlineStr">
        <is>
          <t>Social/Platform Software</t>
        </is>
      </c>
      <c r="R826" s="47" t="inlineStr">
        <is>
          <t>Operator of a soccer digital media site. The company offers a digital platform that empowers fans in the US to follow and access all the information about world events of soccer.</t>
        </is>
      </c>
      <c r="S826" s="48" t="inlineStr">
        <is>
          <t>Distrito Federal, Mexico</t>
        </is>
      </c>
      <c r="T826" s="49" t="inlineStr">
        <is>
          <t>www.juanfutbol.com</t>
        </is>
      </c>
      <c r="U826" s="132">
        <f>HYPERLINK("https://my.pitchbook.com?c=158508-19", "View company online")</f>
      </c>
    </row>
    <row r="827">
      <c r="A827" s="9" t="inlineStr">
        <is>
          <t>161911-00</t>
        </is>
      </c>
      <c r="B827" s="10" t="inlineStr">
        <is>
          <t>Uncommon Cacao</t>
        </is>
      </c>
      <c r="C827" s="11" t="inlineStr">
        <is>
          <t/>
        </is>
      </c>
      <c r="D827" s="12" t="n">
        <v>0.8630069227204095</v>
      </c>
      <c r="E827" s="13" t="n">
        <v>0.6494879973140844</v>
      </c>
      <c r="F827" s="14" t="n">
        <v>42549.0</v>
      </c>
      <c r="G827" s="15" t="inlineStr">
        <is>
          <t>Later Stage VC</t>
        </is>
      </c>
      <c r="H827" s="16" t="inlineStr">
        <is>
          <t>Series A</t>
        </is>
      </c>
      <c r="I827" s="17" t="n">
        <v>1.96</v>
      </c>
      <c r="J827" s="18" t="n">
        <v>5.96</v>
      </c>
      <c r="K827" s="19" t="inlineStr">
        <is>
          <t>Completed</t>
        </is>
      </c>
      <c r="L827" s="20" t="inlineStr">
        <is>
          <t>Privately Held (backing)</t>
        </is>
      </c>
      <c r="M827" s="21" t="inlineStr">
        <is>
          <t>Venture Capital-Backed</t>
        </is>
      </c>
      <c r="N827" s="22" t="inlineStr">
        <is>
          <t>The company raised $1.95 million of Series A venture funding in a deal led by Pi Investments on June 28, 2016, putting the pre-money valuation at $4 million. Follow on investors Acumen Fund, 1to4 Foundation and Wealth Plus also participated in the transaction.</t>
        </is>
      </c>
      <c r="O827" s="23" t="inlineStr">
        <is>
          <t>1to4 Foundation, Acumen Fund, Pi Investments, The Eleos Foundation</t>
        </is>
      </c>
      <c r="P827" s="24" t="inlineStr">
        <is>
          <t/>
        </is>
      </c>
      <c r="Q827" s="25" t="inlineStr">
        <is>
          <t>Cultivation</t>
        </is>
      </c>
      <c r="R827" s="26" t="inlineStr">
        <is>
          <t>Producer of cocoa beans. The company specializes in farming premium quality and transparently sourced cacao.</t>
        </is>
      </c>
      <c r="S827" s="27" t="inlineStr">
        <is>
          <t>Berkeley, CA</t>
        </is>
      </c>
      <c r="T827" s="28" t="inlineStr">
        <is>
          <t>www.uncommoncacao.com</t>
        </is>
      </c>
      <c r="U827" s="131">
        <f>HYPERLINK("https://my.pitchbook.com?c=161911-00", "View company online")</f>
      </c>
    </row>
    <row r="828">
      <c r="A828" s="30" t="inlineStr">
        <is>
          <t>122649-13</t>
        </is>
      </c>
      <c r="B828" s="31" t="inlineStr">
        <is>
          <t>UNCL</t>
        </is>
      </c>
      <c r="C828" s="32" t="inlineStr">
        <is>
          <t/>
        </is>
      </c>
      <c r="D828" s="33" t="n">
        <v>-0.018510614799133428</v>
      </c>
      <c r="E828" s="34" t="n">
        <v>5.94986193425766</v>
      </c>
      <c r="F828" s="35" t="n">
        <v>40179.0</v>
      </c>
      <c r="G828" s="36" t="inlineStr">
        <is>
          <t>Early Stage VC</t>
        </is>
      </c>
      <c r="H828" s="37" t="inlineStr">
        <is>
          <t/>
        </is>
      </c>
      <c r="I828" s="38" t="inlineStr">
        <is>
          <t/>
        </is>
      </c>
      <c r="J828" s="39" t="inlineStr">
        <is>
          <t/>
        </is>
      </c>
      <c r="K828" s="40" t="inlineStr">
        <is>
          <t>Completed</t>
        </is>
      </c>
      <c r="L828" s="41" t="inlineStr">
        <is>
          <t>Privately Held (backing)</t>
        </is>
      </c>
      <c r="M828" s="42" t="inlineStr">
        <is>
          <t>Venture Capital-Backed</t>
        </is>
      </c>
      <c r="N828" s="43" t="inlineStr">
        <is>
          <t>The company raised an undisclosed amount of venture funding from 1st Round Capital in January 2010.</t>
        </is>
      </c>
      <c r="O828" s="44" t="inlineStr">
        <is>
          <t>1st Round Capital</t>
        </is>
      </c>
      <c r="P828" s="45" t="inlineStr">
        <is>
          <t/>
        </is>
      </c>
      <c r="Q828" s="46" t="inlineStr">
        <is>
          <t>Clothing</t>
        </is>
      </c>
      <c r="R828" s="47" t="inlineStr">
        <is>
          <t>Manufacturer of men's clothing designed to offer comfort that can be worn in a more sophisticated setting. The company's online site sells men's clothing which includes shorts, pants, t-shirts, hoodies and other products, enabling users to chose from a range of products.</t>
        </is>
      </c>
      <c r="S828" s="48" t="inlineStr">
        <is>
          <t>Tustin, CA</t>
        </is>
      </c>
      <c r="T828" s="49" t="inlineStr">
        <is>
          <t>www.shopuncl.com</t>
        </is>
      </c>
      <c r="U828" s="132">
        <f>HYPERLINK("https://my.pitchbook.com?c=122649-13", "View company online")</f>
      </c>
    </row>
    <row r="829">
      <c r="A829" s="9" t="inlineStr">
        <is>
          <t>108133-66</t>
        </is>
      </c>
      <c r="B829" s="10" t="inlineStr">
        <is>
          <t>Unchained Labs</t>
        </is>
      </c>
      <c r="C829" s="11" t="n">
        <v>25.0</v>
      </c>
      <c r="D829" s="12" t="n">
        <v>2.5554013927419863</v>
      </c>
      <c r="E829" s="13" t="n">
        <v>3.2287896592244416</v>
      </c>
      <c r="F829" s="14" t="n">
        <v>42418.0</v>
      </c>
      <c r="G829" s="15" t="inlineStr">
        <is>
          <t>Early Stage VC</t>
        </is>
      </c>
      <c r="H829" s="16" t="inlineStr">
        <is>
          <t>Series B</t>
        </is>
      </c>
      <c r="I829" s="17" t="n">
        <v>25.0</v>
      </c>
      <c r="J829" s="18" t="n">
        <v>77.89</v>
      </c>
      <c r="K829" s="19" t="inlineStr">
        <is>
          <t>Completed</t>
        </is>
      </c>
      <c r="L829" s="20" t="inlineStr">
        <is>
          <t>Privately Held (backing)</t>
        </is>
      </c>
      <c r="M829" s="21" t="inlineStr">
        <is>
          <t>Venture Capital-Backed</t>
        </is>
      </c>
      <c r="N829" s="22" t="inlineStr">
        <is>
          <t>The company raised $25 million of Series B venture funding from Novo Ventures, Canaan Partners and TPG Biotech on February 18, 2016, putting the company's pre-money valuation at $52.89 million. The financing was used for the acquisition of Freeslate.</t>
        </is>
      </c>
      <c r="O829" s="23" t="inlineStr">
        <is>
          <t>Canaan Partners, Novo, TPG Biotech</t>
        </is>
      </c>
      <c r="P829" s="24" t="inlineStr">
        <is>
          <t/>
        </is>
      </c>
      <c r="Q829" s="25" t="inlineStr">
        <is>
          <t>Diagnostic Equipment</t>
        </is>
      </c>
      <c r="R829" s="26" t="inlineStr">
        <is>
          <t>Developer of life science biologics tools. The company offers protein stability platform and products for biologics that helps researchers to measure multiple protein stability parameters.</t>
        </is>
      </c>
      <c r="S829" s="27" t="inlineStr">
        <is>
          <t>Pleasanton, CA</t>
        </is>
      </c>
      <c r="T829" s="28" t="inlineStr">
        <is>
          <t>www.unchainedlabs.com</t>
        </is>
      </c>
      <c r="U829" s="131">
        <f>HYPERLINK("https://my.pitchbook.com?c=108133-66", "View company online")</f>
      </c>
    </row>
    <row r="830">
      <c r="A830" s="30" t="inlineStr">
        <is>
          <t>59938-75</t>
        </is>
      </c>
      <c r="B830" s="31" t="inlineStr">
        <is>
          <t>Unbxd</t>
        </is>
      </c>
      <c r="C830" s="32" t="n">
        <v>1.5</v>
      </c>
      <c r="D830" s="33" t="n">
        <v>-0.2810743313064786</v>
      </c>
      <c r="E830" s="34" t="n">
        <v>2.085827028734177</v>
      </c>
      <c r="F830" s="35" t="n">
        <v>42744.0</v>
      </c>
      <c r="G830" s="36" t="inlineStr">
        <is>
          <t>Later Stage VC</t>
        </is>
      </c>
      <c r="H830" s="37" t="inlineStr">
        <is>
          <t/>
        </is>
      </c>
      <c r="I830" s="38" t="inlineStr">
        <is>
          <t/>
        </is>
      </c>
      <c r="J830" s="39" t="inlineStr">
        <is>
          <t/>
        </is>
      </c>
      <c r="K830" s="40" t="inlineStr">
        <is>
          <t>Completed</t>
        </is>
      </c>
      <c r="L830" s="41" t="inlineStr">
        <is>
          <t>Privately Held (backing)</t>
        </is>
      </c>
      <c r="M830" s="42" t="inlineStr">
        <is>
          <t>Venture Capital-Backed</t>
        </is>
      </c>
      <c r="N830" s="43" t="inlineStr">
        <is>
          <t>The company raised an undisclosed amount of venture funding from Inventus Capital on January 9, 2017. Previously, the company raised an undisclosed amount of Series B venture funding in a deal led by IDG Ventures India, Inventus Capital Partners and Indian Angel Network in March 2016. Nirvana Venture Advisors also participated in the round.</t>
        </is>
      </c>
      <c r="O830" s="44" t="inlineStr">
        <is>
          <t>IDG Ventures India, Indian Angel Network, InnoVen Capital, Inventus Capital Partners, Kyron Global Accelerator, Nirvana Ventures Advisors, Nitin Singhal, Orios Venture Partners, Rehan Khan, Sharad Sharma, Sunil Kalra, Target Accelerator Program, YourStory Media</t>
        </is>
      </c>
      <c r="P830" s="45" t="inlineStr">
        <is>
          <t/>
        </is>
      </c>
      <c r="Q830" s="46" t="inlineStr">
        <is>
          <t>Communication Software</t>
        </is>
      </c>
      <c r="R830" s="47" t="inlineStr">
        <is>
          <t>Developer of a cloud based product-recommendation platform designed to help online visitors on an E-Commerce website find the right product through a powerful search. The company's cloud based product-recommendation platform offers search, navigation, merchandizing and analytics services for e-commerce companies and help website visitors to find perfect products, enabling e-commerce companies increase conversions and improve the online shopping experience with products like personalized search and navigation, dynamic landing pages and intelligent product recommendations.</t>
        </is>
      </c>
      <c r="S830" s="48" t="inlineStr">
        <is>
          <t>Mountain View, CA</t>
        </is>
      </c>
      <c r="T830" s="49" t="inlineStr">
        <is>
          <t>www.unbxd.com</t>
        </is>
      </c>
      <c r="U830" s="132">
        <f>HYPERLINK("https://my.pitchbook.com?c=59938-75", "View company online")</f>
      </c>
    </row>
    <row r="831">
      <c r="A831" s="9" t="inlineStr">
        <is>
          <t>62118-46</t>
        </is>
      </c>
      <c r="B831" s="10" t="inlineStr">
        <is>
          <t>Unbabel</t>
        </is>
      </c>
      <c r="C831" s="11" t="inlineStr">
        <is>
          <t/>
        </is>
      </c>
      <c r="D831" s="12" t="n">
        <v>-0.07669208765338453</v>
      </c>
      <c r="E831" s="13" t="n">
        <v>6.693566819266892</v>
      </c>
      <c r="F831" s="14" t="n">
        <v>42674.0</v>
      </c>
      <c r="G831" s="15" t="inlineStr">
        <is>
          <t>Early Stage VC</t>
        </is>
      </c>
      <c r="H831" s="16" t="inlineStr">
        <is>
          <t>Series A</t>
        </is>
      </c>
      <c r="I831" s="17" t="n">
        <v>5.0</v>
      </c>
      <c r="J831" s="18" t="inlineStr">
        <is>
          <t/>
        </is>
      </c>
      <c r="K831" s="19" t="inlineStr">
        <is>
          <t>Completed</t>
        </is>
      </c>
      <c r="L831" s="20" t="inlineStr">
        <is>
          <t>Privately Held (backing)</t>
        </is>
      </c>
      <c r="M831" s="21" t="inlineStr">
        <is>
          <t>Venture Capital-Backed</t>
        </is>
      </c>
      <c r="N831" s="22" t="inlineStr">
        <is>
          <t>The company raised $5 million of Series A venture funding in a deal co-led by Notion Capital and Caixa Capital on October 31, 2016. Faber Ventures and Schilling Capital Partners also participated in the round. The company plans to use the funds to build out its proprietary technology platform Unbabel Language Engine.</t>
        </is>
      </c>
      <c r="O831" s="23" t="inlineStr">
        <is>
          <t>Amino Capital, Caixa Capital, David Peterson, DG Incubation, Digital Garage, Elad Gil, Faber Ventures, FundersClub, GV, Investo, Justin Darcy, Kevin Rose, Klaus von Sayn-Wittgenstein, Matrix Partners, Notion Capital, Paul Holliman, Rakesh Agrawal, Raymond Tonsing, Robert Emrich, Roger Dickey, Ryan Petersen, Saad AlSogair, Seth Ginns, Shilling Capital Partners, Stephan Morais, Terrence Yang, Tong Li, Wefunder, Workday Ventures, Y Combinator, Young Guo</t>
        </is>
      </c>
      <c r="P831" s="24" t="inlineStr">
        <is>
          <t/>
        </is>
      </c>
      <c r="Q831" s="25" t="inlineStr">
        <is>
          <t>Communication Software</t>
        </is>
      </c>
      <c r="R831" s="26" t="inlineStr">
        <is>
          <t>Provider of an artificial intelligence powered human translation platform. The company's platform utilizes a community of bilingual and freelance translators thereby providing human-quality translations.</t>
        </is>
      </c>
      <c r="S831" s="27" t="inlineStr">
        <is>
          <t>San Francisco, CA</t>
        </is>
      </c>
      <c r="T831" s="28" t="inlineStr">
        <is>
          <t>www.unbabel.com</t>
        </is>
      </c>
      <c r="U831" s="131">
        <f>HYPERLINK("https://my.pitchbook.com?c=62118-46", "View company online")</f>
      </c>
    </row>
    <row r="832">
      <c r="A832" s="30" t="inlineStr">
        <is>
          <t>170220-97</t>
        </is>
      </c>
      <c r="B832" s="31" t="inlineStr">
        <is>
          <t>Unanimous AI</t>
        </is>
      </c>
      <c r="C832" s="32" t="inlineStr">
        <is>
          <t/>
        </is>
      </c>
      <c r="D832" s="33" t="n">
        <v>0.8500322314059212</v>
      </c>
      <c r="E832" s="34" t="n">
        <v>0.8006547393798683</v>
      </c>
      <c r="F832" s="35" t="n">
        <v>42671.0</v>
      </c>
      <c r="G832" s="36" t="inlineStr">
        <is>
          <t>Seed Round</t>
        </is>
      </c>
      <c r="H832" s="37" t="inlineStr">
        <is>
          <t>Seed</t>
        </is>
      </c>
      <c r="I832" s="38" t="inlineStr">
        <is>
          <t/>
        </is>
      </c>
      <c r="J832" s="39" t="inlineStr">
        <is>
          <t/>
        </is>
      </c>
      <c r="K832" s="40" t="inlineStr">
        <is>
          <t>Completed</t>
        </is>
      </c>
      <c r="L832" s="41" t="inlineStr">
        <is>
          <t>Privately Held (backing)</t>
        </is>
      </c>
      <c r="M832" s="42" t="inlineStr">
        <is>
          <t>Venture Capital-Backed</t>
        </is>
      </c>
      <c r="N832" s="43" t="inlineStr">
        <is>
          <t>The company raised an undisclosed amount of seed funding from Foundation Capital on October 28, 2016.</t>
        </is>
      </c>
      <c r="O832" s="44" t="inlineStr">
        <is>
          <t>Foundation Capital</t>
        </is>
      </c>
      <c r="P832" s="45" t="inlineStr">
        <is>
          <t/>
        </is>
      </c>
      <c r="Q832" s="46" t="inlineStr">
        <is>
          <t>Other Information Technology</t>
        </is>
      </c>
      <c r="R832" s="47" t="inlineStr">
        <is>
          <t>Provider of a swarm intelligence platform deigned to harness the power of collective human minds to predict future scenarios and solve real life problems. The company's swarm intelligence platform utilizes artificial intelligence to interpret human brains, collect real-time human input and combine the knowledge, wisdom, opinions and intuitions of live human participants as a unified emergent intelligence, enabling groups to generate optimized predictions, decisions, insights, and judgments while solving puzzles or predicting uncertain results.</t>
        </is>
      </c>
      <c r="S832" s="48" t="inlineStr">
        <is>
          <t>San Francisco, CA</t>
        </is>
      </c>
      <c r="T832" s="49" t="inlineStr">
        <is>
          <t>www.unanimous.ai</t>
        </is>
      </c>
      <c r="U832" s="132">
        <f>HYPERLINK("https://my.pitchbook.com?c=170220-97", "View company online")</f>
      </c>
    </row>
    <row r="833">
      <c r="A833" s="9" t="inlineStr">
        <is>
          <t>104747-23</t>
        </is>
      </c>
      <c r="B833" s="10" t="inlineStr">
        <is>
          <t>Unacast</t>
        </is>
      </c>
      <c r="C833" s="11" t="n">
        <v>0.06</v>
      </c>
      <c r="D833" s="12" t="n">
        <v>0.012651394997311622</v>
      </c>
      <c r="E833" s="13" t="n">
        <v>8.001729034540382</v>
      </c>
      <c r="F833" s="14" t="n">
        <v>42507.0</v>
      </c>
      <c r="G833" s="15" t="inlineStr">
        <is>
          <t>Early Stage VC</t>
        </is>
      </c>
      <c r="H833" s="16" t="inlineStr">
        <is>
          <t>Series A</t>
        </is>
      </c>
      <c r="I833" s="17" t="n">
        <v>5.0</v>
      </c>
      <c r="J833" s="18" t="inlineStr">
        <is>
          <t/>
        </is>
      </c>
      <c r="K833" s="19" t="inlineStr">
        <is>
          <t>Completed</t>
        </is>
      </c>
      <c r="L833" s="20" t="inlineStr">
        <is>
          <t>Privately Held (backing)</t>
        </is>
      </c>
      <c r="M833" s="21" t="inlineStr">
        <is>
          <t>Venture Capital-Backed</t>
        </is>
      </c>
      <c r="N833" s="22" t="inlineStr">
        <is>
          <t>The company raised $5 million of Series A venture funding from lead investors Open Ocean Capital and Investinor on May 17, 2016. Jonah Goodhart, Michael Barrett, Jason Kelly and Bill Wise also participated. The company will use the funding to maintain its market share in the proximity industry.</t>
        </is>
      </c>
      <c r="O833" s="23" t="inlineStr">
        <is>
          <t>Andy Chen, Investinor, Jason Kelly, Jonah Goodhart, Michael Barrett, OpenOcean, William Wise</t>
        </is>
      </c>
      <c r="P833" s="24" t="inlineStr">
        <is>
          <t/>
        </is>
      </c>
      <c r="Q833" s="25" t="inlineStr">
        <is>
          <t>Media and Information Services (B2B)</t>
        </is>
      </c>
      <c r="R833" s="26" t="inlineStr">
        <is>
          <t>Provider of a unified platform for the proximity and advertising industry. The company's platform powers the world’s largest network of proximity data, enabling brands and retailers to retarget customers online based on offline behavior.</t>
        </is>
      </c>
      <c r="S833" s="27" t="inlineStr">
        <is>
          <t>Oslo, Norway</t>
        </is>
      </c>
      <c r="T833" s="28" t="inlineStr">
        <is>
          <t>www.unacast.com</t>
        </is>
      </c>
      <c r="U833" s="131">
        <f>HYPERLINK("https://my.pitchbook.com?c=104747-23", "View company online")</f>
      </c>
    </row>
    <row r="834">
      <c r="A834" s="30" t="inlineStr">
        <is>
          <t>152315-92</t>
        </is>
      </c>
      <c r="B834" s="31" t="inlineStr">
        <is>
          <t>Un Mundo Mexican Grill</t>
        </is>
      </c>
      <c r="C834" s="32" t="inlineStr">
        <is>
          <t/>
        </is>
      </c>
      <c r="D834" s="33" t="n">
        <v>0.060964753041040855</v>
      </c>
      <c r="E834" s="34" t="n">
        <v>0.6045732647059103</v>
      </c>
      <c r="F834" s="35" t="n">
        <v>42146.0</v>
      </c>
      <c r="G834" s="36" t="inlineStr">
        <is>
          <t>Early Stage VC</t>
        </is>
      </c>
      <c r="H834" s="37" t="inlineStr">
        <is>
          <t>Series A</t>
        </is>
      </c>
      <c r="I834" s="38" t="inlineStr">
        <is>
          <t/>
        </is>
      </c>
      <c r="J834" s="39" t="inlineStr">
        <is>
          <t/>
        </is>
      </c>
      <c r="K834" s="40" t="inlineStr">
        <is>
          <t>Completed</t>
        </is>
      </c>
      <c r="L834" s="41" t="inlineStr">
        <is>
          <t>Privately Held (backing)</t>
        </is>
      </c>
      <c r="M834" s="42" t="inlineStr">
        <is>
          <t>Venture Capital-Backed</t>
        </is>
      </c>
      <c r="N834" s="43" t="inlineStr">
        <is>
          <t>The company raised an undisclosed amount Series A of venture funding on May 22, 2015.</t>
        </is>
      </c>
      <c r="O834" s="44" t="inlineStr">
        <is>
          <t/>
        </is>
      </c>
      <c r="P834" s="45" t="inlineStr">
        <is>
          <t/>
        </is>
      </c>
      <c r="Q834" s="46" t="inlineStr">
        <is>
          <t>Restaurants and Bars</t>
        </is>
      </c>
      <c r="R834" s="47" t="inlineStr">
        <is>
          <t>Provider of an online platform to order traditional Mexican food. The company provides an online platform for users to order high-quality, fresh ingredients contemporary and sun-drenched Mexican food in the UTC neighborhood of San Diego.</t>
        </is>
      </c>
      <c r="S834" s="48" t="inlineStr">
        <is>
          <t>San Diego, CA</t>
        </is>
      </c>
      <c r="T834" s="49" t="inlineStr">
        <is>
          <t>www.unmundomex.com</t>
        </is>
      </c>
      <c r="U834" s="132">
        <f>HYPERLINK("https://my.pitchbook.com?c=152315-92", "View company online")</f>
      </c>
    </row>
    <row r="835">
      <c r="A835" s="9" t="inlineStr">
        <is>
          <t>108569-98</t>
        </is>
      </c>
      <c r="B835" s="10" t="inlineStr">
        <is>
          <t>Umbo CV</t>
        </is>
      </c>
      <c r="C835" s="11" t="inlineStr">
        <is>
          <t/>
        </is>
      </c>
      <c r="D835" s="12" t="n">
        <v>0.16371303879768634</v>
      </c>
      <c r="E835" s="13" t="n">
        <v>1.3380124176181656</v>
      </c>
      <c r="F835" s="14" t="n">
        <v>42605.0</v>
      </c>
      <c r="G835" s="15" t="inlineStr">
        <is>
          <t>Accelerator/Incubator</t>
        </is>
      </c>
      <c r="H835" s="16" t="inlineStr">
        <is>
          <t/>
        </is>
      </c>
      <c r="I835" s="17" t="inlineStr">
        <is>
          <t/>
        </is>
      </c>
      <c r="J835" s="18" t="inlineStr">
        <is>
          <t/>
        </is>
      </c>
      <c r="K835" s="19" t="inlineStr">
        <is>
          <t>Completed</t>
        </is>
      </c>
      <c r="L835" s="20" t="inlineStr">
        <is>
          <t>Privately Held (backing)</t>
        </is>
      </c>
      <c r="M835" s="21" t="inlineStr">
        <is>
          <t>Venture Capital-Backed</t>
        </is>
      </c>
      <c r="N835" s="22" t="inlineStr">
        <is>
          <t>The company joined Plug and Play as a part of Batch 6 of its Brand &amp; Retail programme on August 23, 2016. Previously, the company raised $2.8 million of seed funding in a deal led by AppWorks Ventures on March 25, 2016. Mesh Ventures, Wistron and FenestraPro also participated.</t>
        </is>
      </c>
      <c r="O835" s="23" t="inlineStr">
        <is>
          <t>AppWorks Ventures, FenestraPro, Mesh Ventures, Plug and Play Tech Center, Wistron</t>
        </is>
      </c>
      <c r="P835" s="24" t="inlineStr">
        <is>
          <t/>
        </is>
      </c>
      <c r="Q835" s="25" t="inlineStr">
        <is>
          <t>Security Services (B2B)</t>
        </is>
      </c>
      <c r="R835" s="26" t="inlineStr">
        <is>
          <t>Provider of cloud-based artificial intelligence services designed to offer video security. The company's self-learning smart security camera Umbo SmartDome, works without recorders and can be managed across different locations, enabling enterprises and consumers to stay connected with important assets anytime.</t>
        </is>
      </c>
      <c r="S835" s="27" t="inlineStr">
        <is>
          <t>San Francisco, CA</t>
        </is>
      </c>
      <c r="T835" s="28" t="inlineStr">
        <is>
          <t>www.umbocv.com</t>
        </is>
      </c>
      <c r="U835" s="131">
        <f>HYPERLINK("https://my.pitchbook.com?c=108569-98", "View company online")</f>
      </c>
    </row>
    <row r="836">
      <c r="A836" s="30" t="inlineStr">
        <is>
          <t>99354-25</t>
        </is>
      </c>
      <c r="B836" s="31" t="inlineStr">
        <is>
          <t>uMake</t>
        </is>
      </c>
      <c r="C836" s="32" t="inlineStr">
        <is>
          <t/>
        </is>
      </c>
      <c r="D836" s="33" t="n">
        <v>-0.2258526548192968</v>
      </c>
      <c r="E836" s="34" t="n">
        <v>3.2405288513063017</v>
      </c>
      <c r="F836" s="35" t="n">
        <v>42341.0</v>
      </c>
      <c r="G836" s="36" t="inlineStr">
        <is>
          <t>Early Stage VC</t>
        </is>
      </c>
      <c r="H836" s="37" t="inlineStr">
        <is>
          <t>Series A</t>
        </is>
      </c>
      <c r="I836" s="38" t="n">
        <v>5.2</v>
      </c>
      <c r="J836" s="39" t="n">
        <v>15.0</v>
      </c>
      <c r="K836" s="40" t="inlineStr">
        <is>
          <t>Completed</t>
        </is>
      </c>
      <c r="L836" s="41" t="inlineStr">
        <is>
          <t>Privately Held (backing)</t>
        </is>
      </c>
      <c r="M836" s="42" t="inlineStr">
        <is>
          <t>Venture Capital-Backed</t>
        </is>
      </c>
      <c r="N836" s="43" t="inlineStr">
        <is>
          <t>The company raised $5.2 million of Series A venture funding in a deal led by BlueRun Ventures on December 3, 2015, putting the company's pre-money valuation at $9.8 million. UpWest Labs, Brian McClendon, Noam Bardin and Joshua Schachter also participated. The company will use funds to hire developers and expand the product. Previously, the company raised an undisclosed amount of angel funding from 38 individual investors on August 17, 2015.</t>
        </is>
      </c>
      <c r="O836" s="44" t="inlineStr">
        <is>
          <t>Alan Doan, Arjun Banker, Beth Ellyn McClendon, BlueRun Ventures, Brad AuBuchon, Brian McClendon, Bryant Detwiller, Chris Sang, Cok Mudde, Di-Ann Eisnor, Ed Roman, Evan Cheng, Forest Good, Geraldo Ramos, Giac Vu, J.D. Fagan, Jared Kopf, Jeff Heitzman, Jeffrey Bonforte, Joshua Schachter, Kenn Dahl, Kirk Ouimet, Lei Wang, Matt Henderson, Michael van der Meer, Michael Zielinski, Nick Grabenstein, Nima Asgharbeygi, Noam Bardin, Peter Kellner, Peter Livingston, Radu Atanasiu, Ragu Santhalingam, Raj Das Gupta, Rajiv Garg, Rakesh Agrawal, Robert Chew, Robert Parker, Roger Farley, Sanjeev Bhalla, Shuly Galili, UpWest Labs, Viktor Radchenko</t>
        </is>
      </c>
      <c r="P836" s="45" t="inlineStr">
        <is>
          <t/>
        </is>
      </c>
      <c r="Q836" s="46" t="inlineStr">
        <is>
          <t>Multimedia and Design Software</t>
        </is>
      </c>
      <c r="R836" s="47" t="inlineStr">
        <is>
          <t>Developer of a freeform 3D design and sketching application created to set your ideas free. The company's 3D design and sketching application offers precision control points, a dynamic array tool, symmetry reflection and the ability to export to 3D files, enabling users to simplify the process of exploring the shapes and forms of their designs in a 3D environment.</t>
        </is>
      </c>
      <c r="S836" s="48" t="inlineStr">
        <is>
          <t>Palo Alto, CA</t>
        </is>
      </c>
      <c r="T836" s="49" t="inlineStr">
        <is>
          <t>www.umake.xyz</t>
        </is>
      </c>
      <c r="U836" s="132">
        <f>HYPERLINK("https://my.pitchbook.com?c=99354-25", "View company online")</f>
      </c>
    </row>
    <row r="837">
      <c r="A837" s="9" t="inlineStr">
        <is>
          <t>55069-57</t>
        </is>
      </c>
      <c r="B837" s="10" t="inlineStr">
        <is>
          <t>Ultrawave Labs</t>
        </is>
      </c>
      <c r="C837" s="11" t="inlineStr">
        <is>
          <t/>
        </is>
      </c>
      <c r="D837" s="12" t="n">
        <v>0.0</v>
      </c>
      <c r="E837" s="13" t="n">
        <v>0.10810810810810811</v>
      </c>
      <c r="F837" s="14" t="n">
        <v>40909.0</v>
      </c>
      <c r="G837" s="15" t="inlineStr">
        <is>
          <t>Early Stage VC</t>
        </is>
      </c>
      <c r="H837" s="16" t="inlineStr">
        <is>
          <t/>
        </is>
      </c>
      <c r="I837" s="17" t="n">
        <v>0.5</v>
      </c>
      <c r="J837" s="18" t="inlineStr">
        <is>
          <t/>
        </is>
      </c>
      <c r="K837" s="19" t="inlineStr">
        <is>
          <t>Completed</t>
        </is>
      </c>
      <c r="L837" s="20" t="inlineStr">
        <is>
          <t>Privately Held (backing)</t>
        </is>
      </c>
      <c r="M837" s="21" t="inlineStr">
        <is>
          <t>Venture Capital-Backed</t>
        </is>
      </c>
      <c r="N837" s="22" t="inlineStr">
        <is>
          <t>The company raised $500,000 of venture funding from OCTANe in 2012.</t>
        </is>
      </c>
      <c r="O837" s="23" t="inlineStr">
        <is>
          <t>OCTANe</t>
        </is>
      </c>
      <c r="P837" s="24" t="inlineStr">
        <is>
          <t/>
        </is>
      </c>
      <c r="Q837" s="25" t="inlineStr">
        <is>
          <t>Diagnostic Equipment</t>
        </is>
      </c>
      <c r="R837" s="26" t="inlineStr">
        <is>
          <t>Developer of medical imaging technology. The company develops medical ultrasound imaging device which is a new breakthrough imaging technology which transmits sound and measures it with light.</t>
        </is>
      </c>
      <c r="S837" s="27" t="inlineStr">
        <is>
          <t>Newport Beach, CA</t>
        </is>
      </c>
      <c r="T837" s="28" t="inlineStr">
        <is>
          <t>www.ultrawavelabs.com</t>
        </is>
      </c>
      <c r="U837" s="131">
        <f>HYPERLINK("https://my.pitchbook.com?c=55069-57", "View company online")</f>
      </c>
    </row>
    <row r="838">
      <c r="A838" s="30" t="inlineStr">
        <is>
          <t>53302-06</t>
        </is>
      </c>
      <c r="B838" s="31" t="inlineStr">
        <is>
          <t>UltraSolar Technology</t>
        </is>
      </c>
      <c r="C838" s="32" t="inlineStr">
        <is>
          <t/>
        </is>
      </c>
      <c r="D838" s="33" t="n">
        <v>0.0</v>
      </c>
      <c r="E838" s="34" t="n">
        <v>0.15553026444699253</v>
      </c>
      <c r="F838" s="35" t="n">
        <v>40836.0</v>
      </c>
      <c r="G838" s="36" t="inlineStr">
        <is>
          <t>Early Stage VC</t>
        </is>
      </c>
      <c r="H838" s="37" t="inlineStr">
        <is>
          <t>Series A1</t>
        </is>
      </c>
      <c r="I838" s="38" t="n">
        <v>4.35</v>
      </c>
      <c r="J838" s="39" t="n">
        <v>9.35</v>
      </c>
      <c r="K838" s="40" t="inlineStr">
        <is>
          <t>Completed</t>
        </is>
      </c>
      <c r="L838" s="41" t="inlineStr">
        <is>
          <t>Privately Held (backing)</t>
        </is>
      </c>
      <c r="M838" s="42" t="inlineStr">
        <is>
          <t>Venture Capital-Backed</t>
        </is>
      </c>
      <c r="N838" s="43" t="inlineStr">
        <is>
          <t>The company raised $4.35 million of Series A1 venture funding from Bessemer Venture Partners and JAFCO Ventures on October 20, 2011, putting the pre-money valuation at $5 million.</t>
        </is>
      </c>
      <c r="O838" s="44" t="inlineStr">
        <is>
          <t>Bessemer Venture Partners, Icon Ventures, Raj Sandhu, Veddis Ventures</t>
        </is>
      </c>
      <c r="P838" s="45" t="inlineStr">
        <is>
          <t/>
        </is>
      </c>
      <c r="Q838" s="46" t="inlineStr">
        <is>
          <t>Alternative Energy Equipment</t>
        </is>
      </c>
      <c r="R838" s="47" t="inlineStr">
        <is>
          <t>Developer of solar-cell technology. The company has developed a coating product for solar cells designed to increase the energy yield over the lifespan of the cell deployment.</t>
        </is>
      </c>
      <c r="S838" s="48" t="inlineStr">
        <is>
          <t>Santa Clara, CA</t>
        </is>
      </c>
      <c r="T838" s="49" t="inlineStr">
        <is>
          <t>www.ultrasolar.com</t>
        </is>
      </c>
      <c r="U838" s="132">
        <f>HYPERLINK("https://my.pitchbook.com?c=53302-06", "View company online")</f>
      </c>
    </row>
    <row r="839">
      <c r="A839" s="9" t="inlineStr">
        <is>
          <t>62046-37</t>
        </is>
      </c>
      <c r="B839" s="10" t="inlineStr">
        <is>
          <t>UK Gear</t>
        </is>
      </c>
      <c r="C839" s="11" t="inlineStr">
        <is>
          <t/>
        </is>
      </c>
      <c r="D839" s="12" t="n">
        <v>-0.09134956058531794</v>
      </c>
      <c r="E839" s="13" t="n">
        <v>2.597008836397193</v>
      </c>
      <c r="F839" s="14" t="n">
        <v>40219.0</v>
      </c>
      <c r="G839" s="15" t="inlineStr">
        <is>
          <t>Later Stage VC</t>
        </is>
      </c>
      <c r="H839" s="16" t="inlineStr">
        <is>
          <t>Series A</t>
        </is>
      </c>
      <c r="I839" s="17" t="n">
        <v>1.93</v>
      </c>
      <c r="J839" s="18" t="n">
        <v>5.87</v>
      </c>
      <c r="K839" s="19" t="inlineStr">
        <is>
          <t>Completed</t>
        </is>
      </c>
      <c r="L839" s="20" t="inlineStr">
        <is>
          <t>Privately Held (backing)</t>
        </is>
      </c>
      <c r="M839" s="21" t="inlineStr">
        <is>
          <t>Venture Capital-Backed</t>
        </is>
      </c>
      <c r="N839" s="22" t="inlineStr">
        <is>
          <t>The company raised GBP 1.24 million of venture funding from Catapult Venture Group, Mike Tomkins and other undisclosed individual investors on February 10, 2010, putting the company's pre-money valuation at GBP 2.52 million. The capital infusion will enable the company to increase the number of sales staff in both the UK and United States in order to accelerate expansion into overseas military markets as well as traditional retail markets.</t>
        </is>
      </c>
      <c r="O839" s="23" t="inlineStr">
        <is>
          <t>Catapult Ventures, Individual Investor</t>
        </is>
      </c>
      <c r="P839" s="24" t="inlineStr">
        <is>
          <t/>
        </is>
      </c>
      <c r="Q839" s="25" t="inlineStr">
        <is>
          <t>Clothing</t>
        </is>
      </c>
      <c r="R839" s="26" t="inlineStr">
        <is>
          <t>Developer of athletic footwear and sportswear. The company develops, manufactures and sells athletic gear designed to meet specifications for military physical fitness and national-level sports. It also retails its products to consumers.</t>
        </is>
      </c>
      <c r="S839" s="27" t="inlineStr">
        <is>
          <t>Wolston, United Kingdom</t>
        </is>
      </c>
      <c r="T839" s="28" t="inlineStr">
        <is>
          <t>www.ukgear.com</t>
        </is>
      </c>
      <c r="U839" s="131">
        <f>HYPERLINK("https://my.pitchbook.com?c=62046-37", "View company online")</f>
      </c>
    </row>
    <row r="840">
      <c r="A840" s="30" t="inlineStr">
        <is>
          <t>168190-39</t>
        </is>
      </c>
      <c r="B840" s="31" t="inlineStr">
        <is>
          <t>UJet</t>
        </is>
      </c>
      <c r="C840" s="32" t="inlineStr">
        <is>
          <t/>
        </is>
      </c>
      <c r="D840" s="33" t="n">
        <v>0.0</v>
      </c>
      <c r="E840" s="34" t="n">
        <v>0.4322797373644831</v>
      </c>
      <c r="F840" s="35" t="n">
        <v>42478.0</v>
      </c>
      <c r="G840" s="36" t="inlineStr">
        <is>
          <t>Seed Round</t>
        </is>
      </c>
      <c r="H840" s="37" t="inlineStr">
        <is>
          <t>Seed</t>
        </is>
      </c>
      <c r="I840" s="38" t="n">
        <v>4.0</v>
      </c>
      <c r="J840" s="39" t="n">
        <v>19.94</v>
      </c>
      <c r="K840" s="40" t="inlineStr">
        <is>
          <t>Completed</t>
        </is>
      </c>
      <c r="L840" s="41" t="inlineStr">
        <is>
          <t>Privately Held (backing)</t>
        </is>
      </c>
      <c r="M840" s="42" t="inlineStr">
        <is>
          <t>Venture Capital-Backed</t>
        </is>
      </c>
      <c r="N840" s="43" t="inlineStr">
        <is>
          <t>The company raised $4 million of seed-2 venture funding from DCM Ventures and Relay Ventures on April 18, 2016, putting the pre-money valuation at $15.94 million. Kleiner Perkins Caufield &amp; Byers also participated in this round. The company has raised more $20 million in funding.</t>
        </is>
      </c>
      <c r="O840" s="44" t="inlineStr">
        <is>
          <t>DCM Ventures, Kleiner Perkins Caufield &amp; Byers, Relay Ventures</t>
        </is>
      </c>
      <c r="P840" s="45" t="inlineStr">
        <is>
          <t/>
        </is>
      </c>
      <c r="Q840" s="46" t="inlineStr">
        <is>
          <t>Business/Productivity Software</t>
        </is>
      </c>
      <c r="R840" s="47" t="inlineStr">
        <is>
          <t>Developer of a customer support management platform designed to make customer support easy. The company's customer support management platform focuses on building mobile-first customer service technology allowing companies to resolve problems, providing them to resolve issues with quick precision.</t>
        </is>
      </c>
      <c r="S840" s="48" t="inlineStr">
        <is>
          <t>San Francisco, CA</t>
        </is>
      </c>
      <c r="T840" s="49" t="inlineStr">
        <is>
          <t>www.ujet.co</t>
        </is>
      </c>
      <c r="U840" s="132">
        <f>HYPERLINK("https://my.pitchbook.com?c=168190-39", "View company online")</f>
      </c>
    </row>
    <row r="841">
      <c r="A841" s="9" t="inlineStr">
        <is>
          <t>64306-81</t>
        </is>
      </c>
      <c r="B841" s="10" t="inlineStr">
        <is>
          <t>UJAM</t>
        </is>
      </c>
      <c r="C841" s="11" t="inlineStr">
        <is>
          <t/>
        </is>
      </c>
      <c r="D841" s="12" t="n">
        <v>3.2597676047286464</v>
      </c>
      <c r="E841" s="13" t="n">
        <v>26.788073211120377</v>
      </c>
      <c r="F841" s="14" t="n">
        <v>40742.0</v>
      </c>
      <c r="G841" s="15" t="inlineStr">
        <is>
          <t>Early Stage VC</t>
        </is>
      </c>
      <c r="H841" s="16" t="inlineStr">
        <is>
          <t>Series A</t>
        </is>
      </c>
      <c r="I841" s="17" t="n">
        <v>1.98</v>
      </c>
      <c r="J841" s="18" t="n">
        <v>4.21</v>
      </c>
      <c r="K841" s="19" t="inlineStr">
        <is>
          <t>Completed</t>
        </is>
      </c>
      <c r="L841" s="20" t="inlineStr">
        <is>
          <t>Privately Held (backing)</t>
        </is>
      </c>
      <c r="M841" s="21" t="inlineStr">
        <is>
          <t>Venture Capital-Backed</t>
        </is>
      </c>
      <c r="N841" s="22" t="inlineStr">
        <is>
          <t>The company raised $1.98 million of Series A venture funding from Hasso Plattner Ventures, Pharrell Williams and Hans Zimmer on July 18, 2011, putting the pre-money valuation at $2.24 million. Mark Kvamme also participted in this round. This financing was raised with 4,500,000 shares of Series A1 at a price of $0.216667 and 3,000,000 shares of Series A2 at a price of $0.333334.</t>
        </is>
      </c>
      <c r="O841" s="23" t="inlineStr">
        <is>
          <t>Mark Kvamme</t>
        </is>
      </c>
      <c r="P841" s="24" t="inlineStr">
        <is>
          <t/>
        </is>
      </c>
      <c r="Q841" s="25" t="inlineStr">
        <is>
          <t>Movies, Music and Entertainment</t>
        </is>
      </c>
      <c r="R841" s="26" t="inlineStr">
        <is>
          <t>Provider of a cloud-based platform to produce music and share it with others. The company offers a music technology platform that enables users to create and share their own music with friends and others around the world.</t>
        </is>
      </c>
      <c r="S841" s="27" t="inlineStr">
        <is>
          <t>San Francisco, CA</t>
        </is>
      </c>
      <c r="T841" s="28" t="inlineStr">
        <is>
          <t>www.ujam.com</t>
        </is>
      </c>
      <c r="U841" s="131">
        <f>HYPERLINK("https://my.pitchbook.com?c=64306-81", "View company online")</f>
      </c>
    </row>
    <row r="842">
      <c r="A842" s="30" t="inlineStr">
        <is>
          <t>117363-88</t>
        </is>
      </c>
      <c r="B842" s="31" t="inlineStr">
        <is>
          <t>UiPath</t>
        </is>
      </c>
      <c r="C842" s="32" t="inlineStr">
        <is>
          <t/>
        </is>
      </c>
      <c r="D842" s="33" t="n">
        <v>3.528057530936951</v>
      </c>
      <c r="E842" s="34" t="n">
        <v>38.79946803314526</v>
      </c>
      <c r="F842" s="35" t="n">
        <v>42852.0</v>
      </c>
      <c r="G842" s="36" t="inlineStr">
        <is>
          <t>Later Stage VC</t>
        </is>
      </c>
      <c r="H842" s="37" t="inlineStr">
        <is>
          <t>Series A</t>
        </is>
      </c>
      <c r="I842" s="38" t="n">
        <v>30.0</v>
      </c>
      <c r="J842" s="39" t="inlineStr">
        <is>
          <t/>
        </is>
      </c>
      <c r="K842" s="40" t="inlineStr">
        <is>
          <t>Completed</t>
        </is>
      </c>
      <c r="L842" s="41" t="inlineStr">
        <is>
          <t>Privately Held (backing)</t>
        </is>
      </c>
      <c r="M842" s="42" t="inlineStr">
        <is>
          <t>Venture Capital-Backed</t>
        </is>
      </c>
      <c r="N842" s="43" t="inlineStr">
        <is>
          <t>The company raised $30 million of Series A venture funding in a deal led by Accel on April 27, 2017. Earlybird Venture Capital, Credo Ventures and Seedcamp also participated in the round. The company intends to use the funds to accelerate to boost hiring, invest in product development and Artificial Intelligence capabilities, especially around its core computer vision technology and focus on cognitive capabilities enabling organizations to handle the vast amounts of structured and unstructured data required to deliver intelligent automation.</t>
        </is>
      </c>
      <c r="O842" s="44" t="inlineStr">
        <is>
          <t>Accel, Credo Ventures, Earlybird Venture Capital, Roland Manger, Seedcamp</t>
        </is>
      </c>
      <c r="P842" s="45" t="inlineStr">
        <is>
          <t/>
        </is>
      </c>
      <c r="Q842" s="46" t="inlineStr">
        <is>
          <t>Automation/Workflow Software</t>
        </is>
      </c>
      <c r="R842" s="47" t="inlineStr">
        <is>
          <t>Developer of a robotic process automation software designed to power the intelligent process automation service offered by the most technology savvy BPO providers. The company's robotic process automation software seeks to eradicate tedious, redundant tasks and let software robots do the grunt work, enabling businesses and companies to develop an agile robotic workforce by providing a state-of-the-art platform for software robots orchestration.</t>
        </is>
      </c>
      <c r="S842" s="48" t="inlineStr">
        <is>
          <t>Bucharest, Romania</t>
        </is>
      </c>
      <c r="T842" s="49" t="inlineStr">
        <is>
          <t>www.uipath.com</t>
        </is>
      </c>
      <c r="U842" s="132">
        <f>HYPERLINK("https://my.pitchbook.com?c=117363-88", "View company online")</f>
      </c>
    </row>
    <row r="843">
      <c r="A843" s="9" t="inlineStr">
        <is>
          <t>53859-16</t>
        </is>
      </c>
      <c r="B843" s="10" t="inlineStr">
        <is>
          <t>UICO</t>
        </is>
      </c>
      <c r="C843" s="11" t="inlineStr">
        <is>
          <t/>
        </is>
      </c>
      <c r="D843" s="12" t="n">
        <v>0.09324446826351328</v>
      </c>
      <c r="E843" s="13" t="n">
        <v>0.9276607115590167</v>
      </c>
      <c r="F843" s="14" t="n">
        <v>42502.0</v>
      </c>
      <c r="G843" s="15" t="inlineStr">
        <is>
          <t>Convertible Debt</t>
        </is>
      </c>
      <c r="H843" s="16" t="inlineStr">
        <is>
          <t/>
        </is>
      </c>
      <c r="I843" s="17" t="n">
        <v>3.0</v>
      </c>
      <c r="J843" s="18" t="inlineStr">
        <is>
          <t/>
        </is>
      </c>
      <c r="K843" s="19" t="inlineStr">
        <is>
          <t>Completed</t>
        </is>
      </c>
      <c r="L843" s="20" t="inlineStr">
        <is>
          <t>Privately Held (backing)</t>
        </is>
      </c>
      <c r="M843" s="21" t="inlineStr">
        <is>
          <t>Venture Capital-Backed</t>
        </is>
      </c>
      <c r="N843" s="22" t="inlineStr">
        <is>
          <t>The company closed on $3 million of convertible debt financing from Plymouth Ventures, Beringea and other undisclosed investor on May 12, 2016. It also raised an undisclosed amount of Series C venture funding in a deal led by Beringea on January 23, 2014. Hyde Park Angels, Plymouth Ventures and Invest Michigan also participated in the round. The company is being actively tracked by PitchBook.</t>
        </is>
      </c>
      <c r="O843" s="23" t="inlineStr">
        <is>
          <t>Beringea, Corecentric Solutions, Hyde Park Angels, InvestMichigan, Plymouth Growth Partners</t>
        </is>
      </c>
      <c r="P843" s="24" t="inlineStr">
        <is>
          <t/>
        </is>
      </c>
      <c r="Q843" s="25" t="inlineStr">
        <is>
          <t>Electronic Components</t>
        </is>
      </c>
      <c r="R843" s="26" t="inlineStr">
        <is>
          <t>Provider of durable touch screen technology designed to provide quality touch features in extreme environments of use. The company's touch screen technology can be use in industrial, military and OEM applications, enabling users to use Smartwatches and Phones in any weather, with sweaty fingers, under the rain, snow, even while wearing gloves in the winter.</t>
        </is>
      </c>
      <c r="S843" s="27" t="inlineStr">
        <is>
          <t>Sunnyvale, CA</t>
        </is>
      </c>
      <c r="T843" s="28" t="inlineStr">
        <is>
          <t>www.uico.com</t>
        </is>
      </c>
      <c r="U843" s="131">
        <f>HYPERLINK("https://my.pitchbook.com?c=53859-16", "View company online")</f>
      </c>
    </row>
    <row r="844">
      <c r="A844" s="30" t="inlineStr">
        <is>
          <t>163659-07</t>
        </is>
      </c>
      <c r="B844" s="31" t="inlineStr">
        <is>
          <t>Uhana</t>
        </is>
      </c>
      <c r="C844" s="32" t="inlineStr">
        <is>
          <t/>
        </is>
      </c>
      <c r="D844" s="33" t="n">
        <v>0.0</v>
      </c>
      <c r="E844" s="34" t="n">
        <v>0.1891891891891892</v>
      </c>
      <c r="F844" s="35" t="n">
        <v>42551.0</v>
      </c>
      <c r="G844" s="36" t="inlineStr">
        <is>
          <t>Early Stage VC</t>
        </is>
      </c>
      <c r="H844" s="37" t="inlineStr">
        <is>
          <t/>
        </is>
      </c>
      <c r="I844" s="38" t="n">
        <v>12.61</v>
      </c>
      <c r="J844" s="39" t="n">
        <v>39.61</v>
      </c>
      <c r="K844" s="40" t="inlineStr">
        <is>
          <t>Completed</t>
        </is>
      </c>
      <c r="L844" s="41" t="inlineStr">
        <is>
          <t>Privately Held (backing)</t>
        </is>
      </c>
      <c r="M844" s="42" t="inlineStr">
        <is>
          <t>Venture Capital-Backed</t>
        </is>
      </c>
      <c r="N844" s="43" t="inlineStr">
        <is>
          <t>The company raised $12.61 million through a combination of Series A and A1 venture funding from Telstra Ventures and New Enterprise on June 30, 2016, putting the pre-money valuation at $27 million.</t>
        </is>
      </c>
      <c r="O844" s="44" t="inlineStr">
        <is>
          <t>New Enterprise Associates, Telstra Ventures</t>
        </is>
      </c>
      <c r="P844" s="45" t="inlineStr">
        <is>
          <t/>
        </is>
      </c>
      <c r="Q844" s="46" t="inlineStr">
        <is>
          <t>Other Communications and Networking</t>
        </is>
      </c>
      <c r="R844" s="47" t="inlineStr">
        <is>
          <t>Developer of mobile networks operations architecture. The company provides re-architecting the operation of mobile networks by bringing in real-time data analytics, machine learning and agile cloud software to control the network.</t>
        </is>
      </c>
      <c r="S844" s="48" t="inlineStr">
        <is>
          <t>Palo Alto, CA</t>
        </is>
      </c>
      <c r="T844" s="49" t="inlineStr">
        <is>
          <t>www.uhana.io</t>
        </is>
      </c>
      <c r="U844" s="132">
        <f>HYPERLINK("https://my.pitchbook.com?c=163659-07", "View company online")</f>
      </c>
    </row>
    <row r="845">
      <c r="A845" s="9" t="inlineStr">
        <is>
          <t>52975-99</t>
        </is>
      </c>
      <c r="B845" s="10" t="inlineStr">
        <is>
          <t>Udemy</t>
        </is>
      </c>
      <c r="C845" s="11" t="inlineStr">
        <is>
          <t/>
        </is>
      </c>
      <c r="D845" s="12" t="n">
        <v>0.38711569150355757</v>
      </c>
      <c r="E845" s="13" t="n">
        <v>1439.2671425346812</v>
      </c>
      <c r="F845" s="14" t="n">
        <v>42523.0</v>
      </c>
      <c r="G845" s="15" t="inlineStr">
        <is>
          <t>Later Stage VC</t>
        </is>
      </c>
      <c r="H845" s="16" t="inlineStr">
        <is>
          <t>Series D</t>
        </is>
      </c>
      <c r="I845" s="17" t="n">
        <v>60.0</v>
      </c>
      <c r="J845" s="18" t="n">
        <v>710.0</v>
      </c>
      <c r="K845" s="19" t="inlineStr">
        <is>
          <t>Completed</t>
        </is>
      </c>
      <c r="L845" s="20" t="inlineStr">
        <is>
          <t>Privately Held (backing)</t>
        </is>
      </c>
      <c r="M845" s="21" t="inlineStr">
        <is>
          <t>Venture Capital-Backed</t>
        </is>
      </c>
      <c r="N845" s="22" t="inlineStr">
        <is>
          <t>The company raised $60 million of through a combination of Series D and common shares from Naspers Ventures, Stripes Group, Norwest Venture Partners and Insight Venture Partners on June 2, 2016, putting the pre-money valuation at $650 million. The funding will be used for growing its localized course content library and product offerings to meet the global demand for online learning.</t>
        </is>
      </c>
      <c r="O845" s="23" t="inlineStr">
        <is>
          <t>500 Startups, Benjamin Ling, Bullpen Capital, Dan Martell, Darian Shirazi, Denis Grosz, DG Incubation, Founder Institute, Insight Venture Partners, Jeremy Stoppelman, Joshua Stylman, Keith Rabois, Lawrence Braitman, Learn Capital, Lightbank, MHS Capital, Naspers Ventures, Naval Ravikant, Norwest Venture Partners, Paul Martino, Richard Thompson, Signia Venture Partners, Stripes Group</t>
        </is>
      </c>
      <c r="P845" s="24" t="inlineStr">
        <is>
          <t/>
        </is>
      </c>
      <c r="Q845" s="25" t="inlineStr">
        <is>
          <t>Educational Software</t>
        </is>
      </c>
      <c r="R845" s="26" t="inlineStr">
        <is>
          <t>Provider of an online learning marketplace. The company provides an online learning platform for students to learn from an extensive library of 40,000 courses taught by expert instructors. Its course creation platform builds online courses using video, PowerPoint, PDFs, audio, zip files and live classes.</t>
        </is>
      </c>
      <c r="S845" s="27" t="inlineStr">
        <is>
          <t>San Francisco, CA</t>
        </is>
      </c>
      <c r="T845" s="28" t="inlineStr">
        <is>
          <t>www.udemy.com</t>
        </is>
      </c>
      <c r="U845" s="131">
        <f>HYPERLINK("https://my.pitchbook.com?c=52975-99", "View company online")</f>
      </c>
    </row>
    <row r="846">
      <c r="A846" s="30" t="inlineStr">
        <is>
          <t>54606-61</t>
        </is>
      </c>
      <c r="B846" s="31" t="inlineStr">
        <is>
          <t>Udacity</t>
        </is>
      </c>
      <c r="C846" s="32" t="inlineStr">
        <is>
          <t/>
        </is>
      </c>
      <c r="D846" s="33" t="n">
        <v>0.6175414234581096</v>
      </c>
      <c r="E846" s="34" t="n">
        <v>555.3592938185053</v>
      </c>
      <c r="F846" s="35" t="n">
        <v>42319.0</v>
      </c>
      <c r="G846" s="36" t="inlineStr">
        <is>
          <t>Later Stage VC</t>
        </is>
      </c>
      <c r="H846" s="37" t="inlineStr">
        <is>
          <t>Series D</t>
        </is>
      </c>
      <c r="I846" s="38" t="n">
        <v>105.0</v>
      </c>
      <c r="J846" s="39" t="n">
        <v>1000.0</v>
      </c>
      <c r="K846" s="40" t="inlineStr">
        <is>
          <t>Completed</t>
        </is>
      </c>
      <c r="L846" s="41" t="inlineStr">
        <is>
          <t>Privately Held (backing)</t>
        </is>
      </c>
      <c r="M846" s="42" t="inlineStr">
        <is>
          <t>Venture Capital-Backed</t>
        </is>
      </c>
      <c r="N846" s="43" t="inlineStr">
        <is>
          <t>The company has raised $105 million in Series D venture funding in a deal led by Bertelsmann Digital Media Investments on November 11, 2015, putting the company's pre-money at $895 million. Baillie Gifford, Google Ventures, Emerson Collective, Andreessen Horowitz, Recruit Strategic Partners, Drive Capital and Charles River Ventures also participated in this round.</t>
        </is>
      </c>
      <c r="O846" s="44" t="inlineStr">
        <is>
          <t>Andreessen Horowitz, Baillie Gifford, Bertelsmann Digital Media Investments, Charles River Ventures, Cox Enterprises, Drive Capital, Emerson Collective, GV, Recruit Strategic Partners, Steve Blank, Valor Capital Group</t>
        </is>
      </c>
      <c r="P846" s="45" t="inlineStr">
        <is>
          <t/>
        </is>
      </c>
      <c r="Q846" s="46" t="inlineStr">
        <is>
          <t>Educational and Training Services (B2C)</t>
        </is>
      </c>
      <c r="R846" s="47" t="inlineStr">
        <is>
          <t>Provider of educational services designed to bring accessible, affordable, engaging, and highly effective higher education to the world. The company's educational services offers online classes by partnering with industry companies like Apple, Google and Facebook, as well as universities worldwide, enabling students to access personalized coaching and demonstration of skills.</t>
        </is>
      </c>
      <c r="S846" s="48" t="inlineStr">
        <is>
          <t>Mountain View, CA</t>
        </is>
      </c>
      <c r="T846" s="49" t="inlineStr">
        <is>
          <t>www.udacity.com</t>
        </is>
      </c>
      <c r="U846" s="132">
        <f>HYPERLINK("https://my.pitchbook.com?c=54606-61", "View company online")</f>
      </c>
    </row>
    <row r="847">
      <c r="A847" s="9" t="inlineStr">
        <is>
          <t>54132-49</t>
        </is>
      </c>
      <c r="B847" s="10" t="inlineStr">
        <is>
          <t>UCode</t>
        </is>
      </c>
      <c r="C847" s="11" t="inlineStr">
        <is>
          <t/>
        </is>
      </c>
      <c r="D847" s="12" t="n">
        <v>0.0571513577967714</v>
      </c>
      <c r="E847" s="13" t="n">
        <v>1.7015944305185278</v>
      </c>
      <c r="F847" s="14" t="n">
        <v>42494.0</v>
      </c>
      <c r="G847" s="15" t="inlineStr">
        <is>
          <t>Later Stage VC</t>
        </is>
      </c>
      <c r="H847" s="16" t="inlineStr">
        <is>
          <t/>
        </is>
      </c>
      <c r="I847" s="17" t="n">
        <v>1.7</v>
      </c>
      <c r="J847" s="18" t="inlineStr">
        <is>
          <t/>
        </is>
      </c>
      <c r="K847" s="19" t="inlineStr">
        <is>
          <t>Completed</t>
        </is>
      </c>
      <c r="L847" s="20" t="inlineStr">
        <is>
          <t>Privately Held (backing)</t>
        </is>
      </c>
      <c r="M847" s="21" t="inlineStr">
        <is>
          <t>Venture Capital-Backed</t>
        </is>
      </c>
      <c r="N847" s="22" t="inlineStr">
        <is>
          <t>The company raised $1.7 million of venture funding from undisclosed investors on May 4, 2016.</t>
        </is>
      </c>
      <c r="O847" s="23" t="inlineStr">
        <is>
          <t>Bam Ventures, Bloomberg Beta, Frontier Venture Capital, Idealab, Joanne Wilson, Michael Yang, Third Kind Venture Capital</t>
        </is>
      </c>
      <c r="P847" s="24" t="inlineStr">
        <is>
          <t/>
        </is>
      </c>
      <c r="Q847" s="25" t="inlineStr">
        <is>
          <t>Educational and Training Services (B2C)</t>
        </is>
      </c>
      <c r="R847" s="26" t="inlineStr">
        <is>
          <t>Provider of computer coding education to kids. The company provides kids aged between 6 to 19 a place to learn how to write software through its in-person learning centers. Through these programs, kids get to create apps, websites, games, and robots.</t>
        </is>
      </c>
      <c r="S847" s="27" t="inlineStr">
        <is>
          <t>Hermosa Beach, CA</t>
        </is>
      </c>
      <c r="T847" s="28" t="inlineStr">
        <is>
          <t>www.ucode.com</t>
        </is>
      </c>
      <c r="U847" s="131">
        <f>HYPERLINK("https://my.pitchbook.com?c=54132-49", "View company online")</f>
      </c>
    </row>
    <row r="848">
      <c r="A848" s="30" t="inlineStr">
        <is>
          <t>151472-26</t>
        </is>
      </c>
      <c r="B848" s="31" t="inlineStr">
        <is>
          <t>uCella</t>
        </is>
      </c>
      <c r="C848" s="32" t="inlineStr">
        <is>
          <t/>
        </is>
      </c>
      <c r="D848" s="33" t="n">
        <v>-0.05051564721858131</v>
      </c>
      <c r="E848" s="34" t="n">
        <v>4.315964269354101</v>
      </c>
      <c r="F848" s="35" t="n">
        <v>42821.0</v>
      </c>
      <c r="G848" s="36" t="inlineStr">
        <is>
          <t>Seed Round</t>
        </is>
      </c>
      <c r="H848" s="37" t="inlineStr">
        <is>
          <t>Seed</t>
        </is>
      </c>
      <c r="I848" s="38" t="inlineStr">
        <is>
          <t/>
        </is>
      </c>
      <c r="J848" s="39" t="inlineStr">
        <is>
          <t/>
        </is>
      </c>
      <c r="K848" s="40" t="inlineStr">
        <is>
          <t>Announced/In Progress</t>
        </is>
      </c>
      <c r="L848" s="41" t="inlineStr">
        <is>
          <t>Privately Held (backing)</t>
        </is>
      </c>
      <c r="M848" s="42" t="inlineStr">
        <is>
          <t>Venture Capital-Backed</t>
        </is>
      </c>
      <c r="N848" s="43" t="inlineStr">
        <is>
          <t>The company is in the process of raising seed venture funding from undisclosed investors and planned to close on April 30, 2017. The funding is intended to be used for global expansion. The company is being actively tracked by PitchBook.</t>
        </is>
      </c>
      <c r="O848" s="44" t="inlineStr">
        <is>
          <t>Skydeck | Berkeley</t>
        </is>
      </c>
      <c r="P848" s="45" t="inlineStr">
        <is>
          <t/>
        </is>
      </c>
      <c r="Q848" s="46" t="inlineStr">
        <is>
          <t>Other Consumer Durables</t>
        </is>
      </c>
      <c r="R848" s="47" t="inlineStr">
        <is>
          <t>Developer of a smart delivery mailbox. The company develops a smart mailbox system for online shoppers to receive, return, track and ship packages.</t>
        </is>
      </c>
      <c r="S848" s="48" t="inlineStr">
        <is>
          <t>Berkeley, CA</t>
        </is>
      </c>
      <c r="T848" s="49" t="inlineStr">
        <is>
          <t>www.ucella.com</t>
        </is>
      </c>
      <c r="U848" s="132">
        <f>HYPERLINK("https://my.pitchbook.com?c=151472-26", "View company online")</f>
      </c>
    </row>
    <row r="849">
      <c r="A849" s="9" t="inlineStr">
        <is>
          <t>61474-78</t>
        </is>
      </c>
      <c r="B849" s="10" t="inlineStr">
        <is>
          <t>Ubix(Processing Platform)</t>
        </is>
      </c>
      <c r="C849" s="11" t="inlineStr">
        <is>
          <t/>
        </is>
      </c>
      <c r="D849" s="12" t="inlineStr">
        <is>
          <t/>
        </is>
      </c>
      <c r="E849" s="13" t="inlineStr">
        <is>
          <t/>
        </is>
      </c>
      <c r="F849" s="14" t="n">
        <v>42515.0</v>
      </c>
      <c r="G849" s="15" t="inlineStr">
        <is>
          <t>Convertible Debt</t>
        </is>
      </c>
      <c r="H849" s="16" t="inlineStr">
        <is>
          <t/>
        </is>
      </c>
      <c r="I849" s="17" t="n">
        <v>3.48</v>
      </c>
      <c r="J849" s="18" t="inlineStr">
        <is>
          <t/>
        </is>
      </c>
      <c r="K849" s="19" t="inlineStr">
        <is>
          <t>Completed</t>
        </is>
      </c>
      <c r="L849" s="20" t="inlineStr">
        <is>
          <t>Privately Held (backing)</t>
        </is>
      </c>
      <c r="M849" s="21" t="inlineStr">
        <is>
          <t>Venture Capital-Backed</t>
        </is>
      </c>
      <c r="N849" s="22" t="inlineStr">
        <is>
          <t>The company closed on $3.48 million of convertible debt financing from Frost Data Capital and Voyager Capital on May 25, 2016. It also raised $3.65 million of seed funding from Voyager Capital, Frost Data Capital and other undisclosed investors on January 13, 2015, putting the pre-money valuation at $5.1 million.</t>
        </is>
      </c>
      <c r="O849" s="23" t="inlineStr">
        <is>
          <t>Frost Data Capital, Voyager Capital</t>
        </is>
      </c>
      <c r="P849" s="24" t="inlineStr">
        <is>
          <t/>
        </is>
      </c>
      <c r="Q849" s="25" t="inlineStr">
        <is>
          <t>Social/Platform Software</t>
        </is>
      </c>
      <c r="R849" s="26" t="inlineStr">
        <is>
          <t>Provider of cloud based processing platform designed to unify real-time analytics and dynamic visualizations. The company's processing platform drive consumption of advanced insights throughout the enterprise, enabling scientists and analysts to produce repeatable insights that regular business users can digest easily, so they can make rapid, informed decisions.</t>
        </is>
      </c>
      <c r="S849" s="27" t="inlineStr">
        <is>
          <t>San Juan Capistrano, CA</t>
        </is>
      </c>
      <c r="T849" s="28" t="inlineStr">
        <is>
          <t>www.ubix.ai</t>
        </is>
      </c>
      <c r="U849" s="131">
        <f>HYPERLINK("https://my.pitchbook.com?c=61474-78", "View company online")</f>
      </c>
    </row>
    <row r="850">
      <c r="A850" s="30" t="inlineStr">
        <is>
          <t>56918-08</t>
        </is>
      </c>
      <c r="B850" s="31" t="inlineStr">
        <is>
          <t>Ubitus</t>
        </is>
      </c>
      <c r="C850" s="32" t="inlineStr">
        <is>
          <t/>
        </is>
      </c>
      <c r="D850" s="33" t="n">
        <v>0.047862747525211635</v>
      </c>
      <c r="E850" s="34" t="n">
        <v>4.3007682885538445</v>
      </c>
      <c r="F850" s="35" t="n">
        <v>41407.0</v>
      </c>
      <c r="G850" s="36" t="inlineStr">
        <is>
          <t>Later Stage VC</t>
        </is>
      </c>
      <c r="H850" s="37" t="inlineStr">
        <is>
          <t/>
        </is>
      </c>
      <c r="I850" s="38" t="n">
        <v>15.0</v>
      </c>
      <c r="J850" s="39" t="inlineStr">
        <is>
          <t/>
        </is>
      </c>
      <c r="K850" s="40" t="inlineStr">
        <is>
          <t>Completed</t>
        </is>
      </c>
      <c r="L850" s="41" t="inlineStr">
        <is>
          <t>Privately Held (backing)</t>
        </is>
      </c>
      <c r="M850" s="42" t="inlineStr">
        <is>
          <t>Venture Capital-Backed</t>
        </is>
      </c>
      <c r="N850" s="43" t="inlineStr">
        <is>
          <t>The company raised $15 million of venture funding in a deal led by Samsung Venture Investment on May 13, 2013. IT-Farm Corporation, Birch Venture Capital and Substance Capital also participated in the round. The company intends to use the funds to build new gaming experiences with more instant and social features.</t>
        </is>
      </c>
      <c r="O850" s="44" t="inlineStr">
        <is>
          <t>Birch Venture Capital, IT-Farm Corporation, NTT Docomo Ventures, Samsung Venture Investment, Substance Capital</t>
        </is>
      </c>
      <c r="P850" s="45" t="inlineStr">
        <is>
          <t/>
        </is>
      </c>
      <c r="Q850" s="46" t="inlineStr">
        <is>
          <t>Entertainment Software</t>
        </is>
      </c>
      <c r="R850" s="47" t="inlineStr">
        <is>
          <t>Provider of cloud-based game streaming and virtualization technologies. The company provides software platforms for fixed-mobile convergence applications and offers its services to device manufacturers, telecom service providers, online service providers and game makers.</t>
        </is>
      </c>
      <c r="S850" s="48" t="inlineStr">
        <is>
          <t>Taipei, Taiwan</t>
        </is>
      </c>
      <c r="T850" s="49" t="inlineStr">
        <is>
          <t>www.ubitus.net</t>
        </is>
      </c>
      <c r="U850" s="132">
        <f>HYPERLINK("https://my.pitchbook.com?c=56918-08", "View company online")</f>
      </c>
    </row>
    <row r="851">
      <c r="A851" s="9" t="inlineStr">
        <is>
          <t>55186-93</t>
        </is>
      </c>
      <c r="B851" s="10" t="inlineStr">
        <is>
          <t>Ubiquity Retirement + Savings</t>
        </is>
      </c>
      <c r="C851" s="11" t="n">
        <v>12.53</v>
      </c>
      <c r="D851" s="12" t="n">
        <v>2.4839588534969685</v>
      </c>
      <c r="E851" s="13" t="n">
        <v>8.12881891787566</v>
      </c>
      <c r="F851" s="14" t="n">
        <v>40770.0</v>
      </c>
      <c r="G851" s="15" t="inlineStr">
        <is>
          <t>Later Stage VC</t>
        </is>
      </c>
      <c r="H851" s="16" t="inlineStr">
        <is>
          <t/>
        </is>
      </c>
      <c r="I851" s="17" t="n">
        <v>0.96</v>
      </c>
      <c r="J851" s="18" t="inlineStr">
        <is>
          <t/>
        </is>
      </c>
      <c r="K851" s="19" t="inlineStr">
        <is>
          <t>Completed</t>
        </is>
      </c>
      <c r="L851" s="20" t="inlineStr">
        <is>
          <t>Privately Held (backing)</t>
        </is>
      </c>
      <c r="M851" s="21" t="inlineStr">
        <is>
          <t>Venture Capital-Backed</t>
        </is>
      </c>
      <c r="N851" s="22" t="inlineStr">
        <is>
          <t>The company raised $955,211 of venture funding from Modern Holdings and Otter Capital on August 15, 2011.</t>
        </is>
      </c>
      <c r="O851" s="23" t="inlineStr">
        <is>
          <t>Modern Holdings, Otter Capital</t>
        </is>
      </c>
      <c r="P851" s="24" t="inlineStr">
        <is>
          <t/>
        </is>
      </c>
      <c r="Q851" s="25" t="inlineStr">
        <is>
          <t>Other Commercial Services</t>
        </is>
      </c>
      <c r="R851" s="26" t="inlineStr">
        <is>
          <t>Provider of record keeping and administration services for 401k and other retirement plans for small businesses. The company offers custom retirement plans and payroll-deduction IRA services for small businesses.</t>
        </is>
      </c>
      <c r="S851" s="27" t="inlineStr">
        <is>
          <t>San Francisco, CA</t>
        </is>
      </c>
      <c r="T851" s="28" t="inlineStr">
        <is>
          <t>www.myubiquity.com</t>
        </is>
      </c>
      <c r="U851" s="131">
        <f>HYPERLINK("https://my.pitchbook.com?c=55186-93", "View company online")</f>
      </c>
    </row>
    <row r="852">
      <c r="A852" s="30" t="inlineStr">
        <is>
          <t>55512-55</t>
        </is>
      </c>
      <c r="B852" s="31" t="inlineStr">
        <is>
          <t>Ubiquitous Energy</t>
        </is>
      </c>
      <c r="C852" s="32" t="inlineStr">
        <is>
          <t/>
        </is>
      </c>
      <c r="D852" s="33" t="n">
        <v>0.3150097655526717</v>
      </c>
      <c r="E852" s="34" t="n">
        <v>1.0581394532757833</v>
      </c>
      <c r="F852" s="35" t="n">
        <v>42492.0</v>
      </c>
      <c r="G852" s="36" t="inlineStr">
        <is>
          <t>Grant</t>
        </is>
      </c>
      <c r="H852" s="37" t="inlineStr">
        <is>
          <t/>
        </is>
      </c>
      <c r="I852" s="38" t="n">
        <v>0.15</v>
      </c>
      <c r="J852" s="39" t="inlineStr">
        <is>
          <t/>
        </is>
      </c>
      <c r="K852" s="40" t="inlineStr">
        <is>
          <t>Completed</t>
        </is>
      </c>
      <c r="L852" s="41" t="inlineStr">
        <is>
          <t>Privately Held (backing)</t>
        </is>
      </c>
      <c r="M852" s="42" t="inlineStr">
        <is>
          <t>Venture Capital-Backed</t>
        </is>
      </c>
      <c r="N852" s="43" t="inlineStr">
        <is>
          <t>The company received $150,000 of grant funding from National Science Foundation from May 2, 2016. Previously, the company raised $1.25 million of venture funding from undisclosed investors on January 20, 2016, putting the company's pre-money valuation at $10.7 million.</t>
        </is>
      </c>
      <c r="O852" s="44" t="inlineStr">
        <is>
          <t>Cranberry Capital, Individual Investor, National Science Foundation, Riverhorse Investments, Sierra Wasatch Capital</t>
        </is>
      </c>
      <c r="P852" s="45" t="inlineStr">
        <is>
          <t/>
        </is>
      </c>
      <c r="Q852" s="46" t="inlineStr">
        <is>
          <t>Alternative Energy Equipment</t>
        </is>
      </c>
      <c r="R852" s="47" t="inlineStr">
        <is>
          <t>Developer of photovoltaic technologies. The company enables deployment of light harvesting functionality in the form of products and surfaces.</t>
        </is>
      </c>
      <c r="S852" s="48" t="inlineStr">
        <is>
          <t>Redwood City, CA</t>
        </is>
      </c>
      <c r="T852" s="49" t="inlineStr">
        <is>
          <t>www.ubiquitous.energy</t>
        </is>
      </c>
      <c r="U852" s="132">
        <f>HYPERLINK("https://my.pitchbook.com?c=55512-55", "View company online")</f>
      </c>
    </row>
    <row r="853">
      <c r="A853" s="9" t="inlineStr">
        <is>
          <t>118875-52</t>
        </is>
      </c>
      <c r="B853" s="10" t="inlineStr">
        <is>
          <t>Ubiqomm</t>
        </is>
      </c>
      <c r="C853" s="11" t="inlineStr">
        <is>
          <t/>
        </is>
      </c>
      <c r="D853" s="12" t="n">
        <v>0.0</v>
      </c>
      <c r="E853" s="13" t="n">
        <v>0.1421185160315595</v>
      </c>
      <c r="F853" s="14" t="inlineStr">
        <is>
          <t/>
        </is>
      </c>
      <c r="G853" s="15" t="inlineStr">
        <is>
          <t>Early Stage VC</t>
        </is>
      </c>
      <c r="H853" s="16" t="inlineStr">
        <is>
          <t/>
        </is>
      </c>
      <c r="I853" s="17" t="inlineStr">
        <is>
          <t/>
        </is>
      </c>
      <c r="J853" s="18" t="inlineStr">
        <is>
          <t/>
        </is>
      </c>
      <c r="K853" s="19" t="inlineStr">
        <is>
          <t>Completed</t>
        </is>
      </c>
      <c r="L853" s="20" t="inlineStr">
        <is>
          <t>Privately Held (backing)</t>
        </is>
      </c>
      <c r="M853" s="21" t="inlineStr">
        <is>
          <t>Venture Capital-Backed</t>
        </is>
      </c>
      <c r="N853" s="22" t="inlineStr">
        <is>
          <t>The company raised venture funding from Bridgewest Group on an undisclosed date.</t>
        </is>
      </c>
      <c r="O853" s="23" t="inlineStr">
        <is>
          <t>Bridgewest Group</t>
        </is>
      </c>
      <c r="P853" s="24" t="inlineStr">
        <is>
          <t/>
        </is>
      </c>
      <c r="Q853" s="25" t="inlineStr">
        <is>
          <t>Wireless Communications Equipment</t>
        </is>
      </c>
      <c r="R853" s="26" t="inlineStr">
        <is>
          <t>Operator of a wireless communications system design and development company. The company develops end to end systems in a wide range, for wireless communications technologies such as personal communications systems, IoT, mobile satellite communications systems, fixed satellite communications systems such as broadband access to home and enterprise, aeronautical communications systems and position location systems.</t>
        </is>
      </c>
      <c r="S853" s="27" t="inlineStr">
        <is>
          <t>San Diego, CA</t>
        </is>
      </c>
      <c r="T853" s="28" t="inlineStr">
        <is>
          <t>www.ubiqomm.com</t>
        </is>
      </c>
      <c r="U853" s="131">
        <f>HYPERLINK("https://my.pitchbook.com?c=118875-52", "View company online")</f>
      </c>
    </row>
    <row r="854">
      <c r="A854" s="30" t="inlineStr">
        <is>
          <t>60217-03</t>
        </is>
      </c>
      <c r="B854" s="31" t="inlineStr">
        <is>
          <t>uBiome</t>
        </is>
      </c>
      <c r="C854" s="32" t="inlineStr">
        <is>
          <t/>
        </is>
      </c>
      <c r="D854" s="33" t="n">
        <v>-0.0327221582537731</v>
      </c>
      <c r="E854" s="34" t="n">
        <v>45.06955260345091</v>
      </c>
      <c r="F854" s="35" t="n">
        <v>42703.0</v>
      </c>
      <c r="G854" s="36" t="inlineStr">
        <is>
          <t>Early Stage VC</t>
        </is>
      </c>
      <c r="H854" s="37" t="inlineStr">
        <is>
          <t>Series B</t>
        </is>
      </c>
      <c r="I854" s="38" t="n">
        <v>17.17</v>
      </c>
      <c r="J854" s="39" t="n">
        <v>65.0</v>
      </c>
      <c r="K854" s="40" t="inlineStr">
        <is>
          <t>Completed</t>
        </is>
      </c>
      <c r="L854" s="41" t="inlineStr">
        <is>
          <t>Privately Held (backing)</t>
        </is>
      </c>
      <c r="M854" s="42" t="inlineStr">
        <is>
          <t>Venture Capital-Backed</t>
        </is>
      </c>
      <c r="N854" s="43" t="inlineStr">
        <is>
          <t>The company raised $17.17 million of Series B venture funding in a deal led by 8VC on November 29, 2016, putting the pre-money valuation at $47.83 million. Slow Ventures, StartX and other undisclosed individual investors also participated in this round. The company will use the funds to continue to expand its product offerings.</t>
        </is>
      </c>
      <c r="O854" s="44" t="inlineStr">
        <is>
          <t>500 Startups, 8VC, AME Cloud Ventures, Andreessen Horowitz, Andrew Crichton, BoxGroup, California Institute for Quantitative Biosciences, Dan Sutera, David McClure, David Spector, Farzad Nazem, Georges Harik, Individual Investor, Joshua Schachter, Kapor Capital, Lifeline Ventures, MedTech Innovator, OS Fund, Robert Wuttke, Roy Rodenstein, Slow Ventures, StartX, The Propell Group, William Tai, Y Combinator</t>
        </is>
      </c>
      <c r="P854" s="45" t="inlineStr">
        <is>
          <t/>
        </is>
      </c>
      <c r="Q854" s="46" t="inlineStr">
        <is>
          <t>Laboratory Services (Healthcare)</t>
        </is>
      </c>
      <c r="R854" s="47" t="inlineStr">
        <is>
          <t>Operator of a microbiome sequencing company. The company provides a microbiome sequencing service that provides information and tools for users to explore their microbiome. It also offers sample kits that enable users to swab and submit their microbiome for mouth, ears, nose, gut and genitals.</t>
        </is>
      </c>
      <c r="S854" s="48" t="inlineStr">
        <is>
          <t>San Francisco, CA</t>
        </is>
      </c>
      <c r="T854" s="49" t="inlineStr">
        <is>
          <t>www.ubiome.com</t>
        </is>
      </c>
      <c r="U854" s="132">
        <f>HYPERLINK("https://my.pitchbook.com?c=60217-03", "View company online")</f>
      </c>
    </row>
    <row r="855">
      <c r="A855" s="9" t="inlineStr">
        <is>
          <t>167743-99</t>
        </is>
      </c>
      <c r="B855" s="10" t="inlineStr">
        <is>
          <t>Ubilite</t>
        </is>
      </c>
      <c r="C855" s="11" t="inlineStr">
        <is>
          <t/>
        </is>
      </c>
      <c r="D855" s="12" t="n">
        <v>0.0</v>
      </c>
      <c r="E855" s="13" t="n">
        <v>0.02702702702702703</v>
      </c>
      <c r="F855" s="14" t="n">
        <v>42670.0</v>
      </c>
      <c r="G855" s="15" t="inlineStr">
        <is>
          <t>Early Stage VC</t>
        </is>
      </c>
      <c r="H855" s="16" t="inlineStr">
        <is>
          <t/>
        </is>
      </c>
      <c r="I855" s="17" t="n">
        <v>5.47</v>
      </c>
      <c r="J855" s="18" t="inlineStr">
        <is>
          <t/>
        </is>
      </c>
      <c r="K855" s="19" t="inlineStr">
        <is>
          <t>Completed</t>
        </is>
      </c>
      <c r="L855" s="20" t="inlineStr">
        <is>
          <t>Privately Held (backing)</t>
        </is>
      </c>
      <c r="M855" s="21" t="inlineStr">
        <is>
          <t>Venture Capital-Backed</t>
        </is>
      </c>
      <c r="N855" s="22" t="inlineStr">
        <is>
          <t>The company raised $5.47 million of venture funding from Roadmap Capital and other undisclosed investors on October 27, 2016.</t>
        </is>
      </c>
      <c r="O855" s="23" t="inlineStr">
        <is>
          <t>Roadmap Capital</t>
        </is>
      </c>
      <c r="P855" s="24" t="inlineStr">
        <is>
          <t/>
        </is>
      </c>
      <c r="Q855" s="25" t="inlineStr">
        <is>
          <t>Connectivity Products</t>
        </is>
      </c>
      <c r="R855" s="26" t="inlineStr">
        <is>
          <t>Developer of wireless connectivity products. The company specializes in the development of disposable, energy-harvesting and low power wireless connectivity products.</t>
        </is>
      </c>
      <c r="S855" s="27" t="inlineStr">
        <is>
          <t>Carlsbad, CA</t>
        </is>
      </c>
      <c r="T855" s="28" t="inlineStr">
        <is>
          <t>www.ubilite.com</t>
        </is>
      </c>
      <c r="U855" s="131">
        <f>HYPERLINK("https://my.pitchbook.com?c=167743-99", "View company online")</f>
      </c>
    </row>
    <row r="856">
      <c r="A856" s="30" t="inlineStr">
        <is>
          <t>51546-88</t>
        </is>
      </c>
      <c r="B856" s="31" t="inlineStr">
        <is>
          <t>UberMedia</t>
        </is>
      </c>
      <c r="C856" s="32" t="inlineStr">
        <is>
          <t/>
        </is>
      </c>
      <c r="D856" s="33" t="n">
        <v>-0.23591450288442506</v>
      </c>
      <c r="E856" s="34" t="n">
        <v>11.316642553175345</v>
      </c>
      <c r="F856" s="35" t="n">
        <v>41764.0</v>
      </c>
      <c r="G856" s="36" t="inlineStr">
        <is>
          <t>Later Stage VC</t>
        </is>
      </c>
      <c r="H856" s="37" t="inlineStr">
        <is>
          <t>Series F</t>
        </is>
      </c>
      <c r="I856" s="38" t="n">
        <v>8.0</v>
      </c>
      <c r="J856" s="39" t="n">
        <v>95.77</v>
      </c>
      <c r="K856" s="40" t="inlineStr">
        <is>
          <t>Completed</t>
        </is>
      </c>
      <c r="L856" s="41" t="inlineStr">
        <is>
          <t>Privately Held (backing)</t>
        </is>
      </c>
      <c r="M856" s="42" t="inlineStr">
        <is>
          <t>Venture Capital-Backed</t>
        </is>
      </c>
      <c r="N856" s="43" t="inlineStr">
        <is>
          <t>The company raised $8 million of Series F venture funding from Gordon Crawford, TriplePoint Capital, Breyer Capital and Blue Chip Venture on May 5, 2014, putting the company's pre-money valuation at $87.77 million. Mark Kingdon and other undisclosed individual investors also participated in the round.</t>
        </is>
      </c>
      <c r="O856" s="44" t="inlineStr">
        <is>
          <t>Accel, Betaworks, Blue Chip Venture, Breyer Capital, Burda Digital Ventures, Comcast Ventures, DLD Ventures, First Round Capital, Gordon Crawford, Idealab, Index Ventures (UK), Individual Investor, Jason Calacanis, Jeff Jarvis, Lerer Hippeau Ventures, Mark Kingdon, Revolution, Stephen Case, TriplePoint Capital</t>
        </is>
      </c>
      <c r="P856" s="45" t="inlineStr">
        <is>
          <t/>
        </is>
      </c>
      <c r="Q856" s="46" t="inlineStr">
        <is>
          <t>Business/Productivity Software</t>
        </is>
      </c>
      <c r="R856" s="47" t="inlineStr">
        <is>
          <t>Developer of a mobile advertising platform designed to transform mobile behavioral data to power actionable business intelligence, advertising and measurement. The company's mobile advertising platform develops applications and Web-based services, enabling users to find, follow and communicate with others on Twitter and other social media platforms.</t>
        </is>
      </c>
      <c r="S856" s="48" t="inlineStr">
        <is>
          <t>Pasadena, CA</t>
        </is>
      </c>
      <c r="T856" s="49" t="inlineStr">
        <is>
          <t>www.ubermedia.com</t>
        </is>
      </c>
      <c r="U856" s="132">
        <f>HYPERLINK("https://my.pitchbook.com?c=51546-88", "View company online")</f>
      </c>
    </row>
    <row r="857">
      <c r="A857" s="9" t="inlineStr">
        <is>
          <t>121565-08</t>
        </is>
      </c>
      <c r="B857" s="10" t="inlineStr">
        <is>
          <t>Ubercloud</t>
        </is>
      </c>
      <c r="C857" s="11" t="inlineStr">
        <is>
          <t/>
        </is>
      </c>
      <c r="D857" s="12" t="n">
        <v>-0.16257675361773288</v>
      </c>
      <c r="E857" s="13" t="n">
        <v>3.5734081539166285</v>
      </c>
      <c r="F857" s="14" t="n">
        <v>42762.0</v>
      </c>
      <c r="G857" s="15" t="inlineStr">
        <is>
          <t>Seed Round</t>
        </is>
      </c>
      <c r="H857" s="16" t="inlineStr">
        <is>
          <t>Seed</t>
        </is>
      </c>
      <c r="I857" s="17" t="n">
        <v>1.7</v>
      </c>
      <c r="J857" s="18" t="n">
        <v>5.1</v>
      </c>
      <c r="K857" s="19" t="inlineStr">
        <is>
          <t>Completed</t>
        </is>
      </c>
      <c r="L857" s="20" t="inlineStr">
        <is>
          <t>Privately Held (backing)</t>
        </is>
      </c>
      <c r="M857" s="21" t="inlineStr">
        <is>
          <t>Venture Capital-Backed</t>
        </is>
      </c>
      <c r="N857" s="22" t="inlineStr">
        <is>
          <t>The company raised $1.7 million of seed funding led by Earlybird Venture Capital on January 27, 2017, putting the pre-money valuation at $3.4 million. The company intends to use the funds to build the team and expand operations.</t>
        </is>
      </c>
      <c r="O857" s="23" t="inlineStr">
        <is>
          <t>Earlybird Venture Capital, Plug and Play Tech Center</t>
        </is>
      </c>
      <c r="P857" s="24" t="inlineStr">
        <is>
          <t/>
        </is>
      </c>
      <c r="Q857" s="25" t="inlineStr">
        <is>
          <t>Application Software</t>
        </is>
      </c>
      <c r="R857" s="26" t="inlineStr">
        <is>
          <t>Developer of a software platform designed to bring the power of cloud computing to engineering applications. The company's software platform offers an online community and marketplace enabling engineers, scientists and their service providers to discover, try and buy ubiquitous computing services on demand, in any private, public or hybrid cloud and get a performance boost of 10x or more when running their complex mathematical models and simulations.</t>
        </is>
      </c>
      <c r="S857" s="27" t="inlineStr">
        <is>
          <t>Los Altos, CA</t>
        </is>
      </c>
      <c r="T857" s="28" t="inlineStr">
        <is>
          <t>www.theubercloud.com</t>
        </is>
      </c>
      <c r="U857" s="131">
        <f>HYPERLINK("https://my.pitchbook.com?c=121565-08", "View company online")</f>
      </c>
    </row>
    <row r="858">
      <c r="A858" s="30" t="inlineStr">
        <is>
          <t>95629-51</t>
        </is>
      </c>
      <c r="B858" s="31" t="inlineStr">
        <is>
          <t>uberall</t>
        </is>
      </c>
      <c r="C858" s="32" t="inlineStr">
        <is>
          <t/>
        </is>
      </c>
      <c r="D858" s="33" t="n">
        <v>0.38524216865649114</v>
      </c>
      <c r="E858" s="34" t="n">
        <v>1.7280023312079318</v>
      </c>
      <c r="F858" s="35" t="n">
        <v>41746.0</v>
      </c>
      <c r="G858" s="36" t="inlineStr">
        <is>
          <t>Corporate</t>
        </is>
      </c>
      <c r="H858" s="37" t="inlineStr">
        <is>
          <t>Corporate</t>
        </is>
      </c>
      <c r="I858" s="38" t="inlineStr">
        <is>
          <t/>
        </is>
      </c>
      <c r="J858" s="39" t="inlineStr">
        <is>
          <t/>
        </is>
      </c>
      <c r="K858" s="40" t="inlineStr">
        <is>
          <t>Completed</t>
        </is>
      </c>
      <c r="L858" s="41" t="inlineStr">
        <is>
          <t>Privately Held (backing)</t>
        </is>
      </c>
      <c r="M858" s="42" t="inlineStr">
        <is>
          <t>Venture Capital-Backed</t>
        </is>
      </c>
      <c r="N858" s="43" t="inlineStr">
        <is>
          <t>A 25% stake in the company was acquired by United Internet for an undisclosed amount on April 17, 2014. The company will use the new funds mainly for further international expansion.</t>
        </is>
      </c>
      <c r="O858" s="44" t="inlineStr">
        <is>
          <t>Everpreneur Ventures, Investitionsbank Berlin, Project A Ventures, United Internet</t>
        </is>
      </c>
      <c r="P858" s="45" t="inlineStr">
        <is>
          <t/>
        </is>
      </c>
      <c r="Q858" s="46" t="inlineStr">
        <is>
          <t>Media and Information Services (B2B)</t>
        </is>
      </c>
      <c r="R858" s="47" t="inlineStr">
        <is>
          <t>Provider of a geomarketing platform. The company offers a platform through which it provides information regarding all local places, people and events via phones, tablets, personal computers and in-car GPS systems.</t>
        </is>
      </c>
      <c r="S858" s="48" t="inlineStr">
        <is>
          <t>Berlin, Germany</t>
        </is>
      </c>
      <c r="T858" s="49" t="inlineStr">
        <is>
          <t>www.uberall.com</t>
        </is>
      </c>
      <c r="U858" s="132">
        <f>HYPERLINK("https://my.pitchbook.com?c=95629-51", "View company online")</f>
      </c>
    </row>
    <row r="859">
      <c r="A859" s="9" t="inlineStr">
        <is>
          <t>51136-75</t>
        </is>
      </c>
      <c r="B859" s="10" t="inlineStr">
        <is>
          <t>Uber Technologies</t>
        </is>
      </c>
      <c r="C859" s="11" t="n">
        <v>9100.0</v>
      </c>
      <c r="D859" s="12" t="n">
        <v>0.7192518010479179</v>
      </c>
      <c r="E859" s="13" t="n">
        <v>4715.24244069314</v>
      </c>
      <c r="F859" s="14" t="n">
        <v>42844.0</v>
      </c>
      <c r="G859" s="15" t="inlineStr">
        <is>
          <t>Corporate</t>
        </is>
      </c>
      <c r="H859" s="16" t="inlineStr">
        <is>
          <t>Corporate</t>
        </is>
      </c>
      <c r="I859" s="17" t="inlineStr">
        <is>
          <t/>
        </is>
      </c>
      <c r="J859" s="18" t="inlineStr">
        <is>
          <t/>
        </is>
      </c>
      <c r="K859" s="19" t="inlineStr">
        <is>
          <t>Completed</t>
        </is>
      </c>
      <c r="L859" s="20" t="inlineStr">
        <is>
          <t>Privately Held (backing)</t>
        </is>
      </c>
      <c r="M859" s="21" t="inlineStr">
        <is>
          <t>Venture Capital-Backed</t>
        </is>
      </c>
      <c r="N859" s="22" t="inlineStr">
        <is>
          <t>The company received an undisclosed amount of financing from Axel Springer (DB: SPR) on April 19, 2017. Previously, the company received $30 million of venture funding from Kumpulan Wang Persaraan of Malaysia on September 22, 2016.</t>
        </is>
      </c>
      <c r="O859" s="23" t="inlineStr">
        <is>
          <t>ACE &amp; Company, Adam Leber, A-Grade Investments, Alfred Lin, Ali Partovi, American Funds Insurance Series, Axel Springer, Babak Nivi, Baidu, Bank of America Merrill Lynch, Benchmark Capital, Bennett Coleman and Company, Bezos Expeditions, Bill Trenchard, BlackRock Private Equity Partners, Bobby Yazdani, Brand Capital, Brian Chesky, Bryan Johnson, Capital Factory, Caspian Venture Capital, China CITIC Bank, China Life Insurance, Cota Capital, Cross Culture Ventures, CrunchFund, Cyan Banister, David Cohen, David Sacks, Didi Chuxing, Diego Berdakin, Dragoneer Investment Group, Dror Berman, Eastlink Capital, Emil Capital Partners, Eric Paley, Fabrice Grinda, Fidelity Investments, First Round Capital, FJ Labs, Foundation Capital, Founder Collective, Frees Fund, FS Investors, Gary Vaynerchuk, General Atlantic, Geodesic Capital, GIC, Glade Brook Capital Partners, GSV Ventures, Guangzhou Automobile, GV, Hartford Financial Services Group (Mutual Fund Business), HDS Capital, Hillhouse Capital Management, i/o Ventures, Industry Ventures, Innovation Endeavors, James Pallotta, Jason Calacanis, Jason Port, Jeffrey Bezos, Jeremy Stoppelman, John Hancock Investments, Josh Spear, K2 Global, Kaiser Permanente, Kapor Capital, Kees Koolen, Kevin Hartz, Khaled Helioui, Kleiner Perkins Caufield &amp; Byers, Kumpulan Wang Persaraan of Malaysia, Lead Edge Capital, LetterOne, Level Ventures, Lone Pine Capital, Lowercase Capital, Mark Hager, Matthew Ocko, Menlo Ventures, Microsoft, Mike Walsh, Moneytime Ventures, Morgan Stanley, Naval Ravikant, New Enterprise Associates, Nihal Mehta, Norwest Venture Partners, Olive Tree Capital, Optimum Asset Management, Oren Michels, Ping An Insurance Group Company of China, PRINCIPAL Mutual Fund, Putnam Investments, Qatar Investment Authority, Raptor Group, Robert Brannigan, Robert Hayes, RocketSpace, Saudi Arabia's Public Investment Fund, Sberbank of Russia, Scott Banister, Scott Belsky, Shawn Carter, Shawn Fanning, Sherpa Capital, Shervin Pishevar, Shumway Capital Partners, SignalFire, Signatures Capital, Square Peg Capital, Structure Capital, Summit Partners, Sway Ventures, Swordfish Investments, T. Rowe Price, Tao Capital Partners, Tata Capital, Techstars, Tengelmann Ventures, The Goldman Sachs Group, The Vanguard Group, Tiger Global Management, Times Internet, Toyota Motor, TPG Growth, Troy Carter, Tusk Ventures, United Services Automobile Association, USM Holding, Valiant Capital Partners, Variable Annuity Life Insurance Company, Zachary Bogue</t>
        </is>
      </c>
      <c r="P859" s="24" t="inlineStr">
        <is>
          <t/>
        </is>
      </c>
      <c r="Q859" s="25" t="inlineStr">
        <is>
          <t>Social/Platform Software</t>
        </is>
      </c>
      <c r="R859" s="26" t="inlineStr">
        <is>
          <t>Provider of a location-based mobile application designed to connect riders and transportation providers. The company's on-demand ride-hailing application allows passengers to request a variety of personal transportation options that are fulfilled by a network of contract drivers, enabling users to have access to a convenient, fast and affordable mode of transportation.</t>
        </is>
      </c>
      <c r="S859" s="27" t="inlineStr">
        <is>
          <t>San Francisco, CA</t>
        </is>
      </c>
      <c r="T859" s="28" t="inlineStr">
        <is>
          <t>www.uber.com</t>
        </is>
      </c>
      <c r="U859" s="131">
        <f>HYPERLINK("https://my.pitchbook.com?c=51136-75", "View company online")</f>
      </c>
    </row>
    <row r="860">
      <c r="A860" s="30" t="inlineStr">
        <is>
          <t>54122-68</t>
        </is>
      </c>
      <c r="B860" s="31" t="inlineStr">
        <is>
          <t>Uber Metrics</t>
        </is>
      </c>
      <c r="C860" s="32" t="inlineStr">
        <is>
          <t/>
        </is>
      </c>
      <c r="D860" s="33" t="n">
        <v>0.05642405712413772</v>
      </c>
      <c r="E860" s="34" t="n">
        <v>1.214279810392559</v>
      </c>
      <c r="F860" s="35" t="n">
        <v>41339.0</v>
      </c>
      <c r="G860" s="36" t="inlineStr">
        <is>
          <t>Early Stage VC</t>
        </is>
      </c>
      <c r="H860" s="37" t="inlineStr">
        <is>
          <t>Series A</t>
        </is>
      </c>
      <c r="I860" s="38" t="inlineStr">
        <is>
          <t/>
        </is>
      </c>
      <c r="J860" s="39" t="inlineStr">
        <is>
          <t/>
        </is>
      </c>
      <c r="K860" s="40" t="inlineStr">
        <is>
          <t>Completed</t>
        </is>
      </c>
      <c r="L860" s="41" t="inlineStr">
        <is>
          <t>Privately Held (backing)</t>
        </is>
      </c>
      <c r="M860" s="42" t="inlineStr">
        <is>
          <t>Venture Capital-Backed</t>
        </is>
      </c>
      <c r="N860" s="43" t="inlineStr">
        <is>
          <t>The company raised an undisclosed amount of Series A venture funding from K-New Media, Klingel Group and German Accelerator on March 6, 2013. High-Tech Gründerfonds also participated.</t>
        </is>
      </c>
      <c r="O860" s="44" t="inlineStr">
        <is>
          <t>German Accelerator, High-Tech Gründerfonds, Klingel Group, K-New Media</t>
        </is>
      </c>
      <c r="P860" s="45" t="inlineStr">
        <is>
          <t/>
        </is>
      </c>
      <c r="Q860" s="46" t="inlineStr">
        <is>
          <t>Social/Platform Software</t>
        </is>
      </c>
      <c r="R860" s="47" t="inlineStr">
        <is>
          <t>Provider of media coverage and social media management software. The company's software is a browser-based SaaS (software as a service) which provides an overview of opinions expressed on media channels.</t>
        </is>
      </c>
      <c r="S860" s="48" t="inlineStr">
        <is>
          <t>Berlin, Germany</t>
        </is>
      </c>
      <c r="T860" s="49" t="inlineStr">
        <is>
          <t>www.ubermetrics-technologies.com</t>
        </is>
      </c>
      <c r="U860" s="132">
        <f>HYPERLINK("https://my.pitchbook.com?c=54122-68", "View company online")</f>
      </c>
    </row>
    <row r="861">
      <c r="A861" s="9" t="inlineStr">
        <is>
          <t>54800-92</t>
        </is>
      </c>
      <c r="B861" s="10" t="inlineStr">
        <is>
          <t>uBeam</t>
        </is>
      </c>
      <c r="C861" s="11" t="inlineStr">
        <is>
          <t/>
        </is>
      </c>
      <c r="D861" s="12" t="n">
        <v>0.07499935848110482</v>
      </c>
      <c r="E861" s="13" t="n">
        <v>5.45943285637464</v>
      </c>
      <c r="F861" s="14" t="n">
        <v>42356.0</v>
      </c>
      <c r="G861" s="15" t="inlineStr">
        <is>
          <t>Angel (individual)</t>
        </is>
      </c>
      <c r="H861" s="16" t="inlineStr">
        <is>
          <t>Angel</t>
        </is>
      </c>
      <c r="I861" s="17" t="n">
        <v>2.6</v>
      </c>
      <c r="J861" s="18" t="inlineStr">
        <is>
          <t/>
        </is>
      </c>
      <c r="K861" s="19" t="inlineStr">
        <is>
          <t>Completed</t>
        </is>
      </c>
      <c r="L861" s="20" t="inlineStr">
        <is>
          <t>Privately Held (backing)</t>
        </is>
      </c>
      <c r="M861" s="21" t="inlineStr">
        <is>
          <t>Venture Capital-Backed</t>
        </is>
      </c>
      <c r="N861" s="22" t="inlineStr">
        <is>
          <t>The company raised $2.6 million of angel funding via crowdfunding platform OurCrowd on December 18, 2015. It also raised $10 million of convertible debt financing from Ken Hertz, Katie Jacobs Stanton and William Morris Endeavor Entertainment on September 28, 2015. Pat Hedley also participated in the round. Earlier, the company raised $13.2 million of Series A venture funding in a deal led by Upfront Ventures on October 22, 2014, putting the company's pre-money valuation at $44.24 million. Founders Fund, Andreessen Horowitz, Ludlow Ventures, CrunchFund, Shawn Fanning, Cane Investments, Lab22, Marissa Mayer, Tony Hsieh, Mark Cuban, Ken Seiff, Ellen Levy, Troy Carter, Lumia Capital, Weiss Tech House, B7, WME Venture Partners, Peter Diamandis, Beanstalk Ventures, Daniel Gilbert, Infocus Capital Partners and Machine Shop Ventures also participated in the round.</t>
        </is>
      </c>
      <c r="O861" s="23" t="inlineStr">
        <is>
          <t>Andreessen Horowitz, Anthony Hsieh, B7, Beanstalk Ventures, Cane Investments, CrunchFund, Daniel Gilbert, Ellen Levy, Founders Fund, Infocus Capital Partners, Katie Jacobs Stanton, Ken Hertz, Ken Seiff, Lab22, Ludlow Ventures, Lumia Capital, Machine Shop Ventures, Marissa Mayer, Mark Cuban, Patricia Hedley, Peter Diamandis, Shawn Fanning, Troy Carter, Upfront Ventures, Weiss Tech House, William Morris Endeavor Entertainment, WME Venture Partners</t>
        </is>
      </c>
      <c r="P861" s="24" t="inlineStr">
        <is>
          <t/>
        </is>
      </c>
      <c r="Q861" s="25" t="inlineStr">
        <is>
          <t>Electronic Equipment and Instruments</t>
        </is>
      </c>
      <c r="R861" s="26" t="inlineStr">
        <is>
          <t>Provider of wireless charging system designed to work via ultrasound. The company's wireless charging system transmits power over the air, enabling user to wirelessly charge devices, such as cellphones and laptops, using ultrasound.</t>
        </is>
      </c>
      <c r="S861" s="27" t="inlineStr">
        <is>
          <t>Santa Monica, CA</t>
        </is>
      </c>
      <c r="T861" s="28" t="inlineStr">
        <is>
          <t>www.ubeam.com</t>
        </is>
      </c>
      <c r="U861" s="131">
        <f>HYPERLINK("https://my.pitchbook.com?c=54800-92", "View company online")</f>
      </c>
    </row>
    <row r="862">
      <c r="A862" s="30" t="inlineStr">
        <is>
          <t>157321-54</t>
        </is>
      </c>
      <c r="B862" s="31" t="inlineStr">
        <is>
          <t>uAvionix</t>
        </is>
      </c>
      <c r="C862" s="32" t="inlineStr">
        <is>
          <t/>
        </is>
      </c>
      <c r="D862" s="33" t="n">
        <v>3.218815838342519</v>
      </c>
      <c r="E862" s="34" t="n">
        <v>5.36864406779661</v>
      </c>
      <c r="F862" s="35" t="n">
        <v>42320.0</v>
      </c>
      <c r="G862" s="36" t="inlineStr">
        <is>
          <t>Early Stage VC</t>
        </is>
      </c>
      <c r="H862" s="37" t="inlineStr">
        <is>
          <t>Series A</t>
        </is>
      </c>
      <c r="I862" s="38" t="n">
        <v>5.36</v>
      </c>
      <c r="J862" s="39" t="n">
        <v>28.49</v>
      </c>
      <c r="K862" s="40" t="inlineStr">
        <is>
          <t>Completed</t>
        </is>
      </c>
      <c r="L862" s="41" t="inlineStr">
        <is>
          <t>Privately Held (backing)</t>
        </is>
      </c>
      <c r="M862" s="42" t="inlineStr">
        <is>
          <t>Venture Capital-Backed</t>
        </is>
      </c>
      <c r="N862" s="43" t="inlineStr">
        <is>
          <t>The company raised an estimated $5.36 million of Series A venture funding led by Playground Global on November 12, 2015, putting the company's pre-money valuation at $23.13 million. The company will use the funds to further accelerate the development and commercialization of its avionics system.</t>
        </is>
      </c>
      <c r="O862" s="44" t="inlineStr">
        <is>
          <t>Playground Global</t>
        </is>
      </c>
      <c r="P862" s="45" t="inlineStr">
        <is>
          <t/>
        </is>
      </c>
      <c r="Q862" s="46" t="inlineStr">
        <is>
          <t>Communication Software</t>
        </is>
      </c>
      <c r="R862" s="47" t="inlineStr">
        <is>
          <t>Provider of drone technologies. The company offers unmanned automatic dependent surveillance broadcast technologies including a combination of hardware, software and real time airspace mapping which helps in operating of drones.</t>
        </is>
      </c>
      <c r="S862" s="48" t="inlineStr">
        <is>
          <t>Palo Alto, CA</t>
        </is>
      </c>
      <c r="T862" s="49" t="inlineStr">
        <is>
          <t>www.uavionix.com</t>
        </is>
      </c>
      <c r="U862" s="132">
        <f>HYPERLINK("https://my.pitchbook.com?c=157321-54", "View company online")</f>
      </c>
    </row>
    <row r="863">
      <c r="A863" s="9" t="inlineStr">
        <is>
          <t>57322-72</t>
        </is>
      </c>
      <c r="B863" s="10" t="inlineStr">
        <is>
          <t>U2opia Mobile</t>
        </is>
      </c>
      <c r="C863" s="11" t="inlineStr">
        <is>
          <t/>
        </is>
      </c>
      <c r="D863" s="12" t="n">
        <v>-0.25775035281774183</v>
      </c>
      <c r="E863" s="13" t="n">
        <v>1.914432979668794</v>
      </c>
      <c r="F863" s="14" t="n">
        <v>40815.0</v>
      </c>
      <c r="G863" s="15" t="inlineStr">
        <is>
          <t>Early Stage VC</t>
        </is>
      </c>
      <c r="H863" s="16" t="inlineStr">
        <is>
          <t>Series A</t>
        </is>
      </c>
      <c r="I863" s="17" t="inlineStr">
        <is>
          <t/>
        </is>
      </c>
      <c r="J863" s="18" t="inlineStr">
        <is>
          <t/>
        </is>
      </c>
      <c r="K863" s="19" t="inlineStr">
        <is>
          <t>Completed</t>
        </is>
      </c>
      <c r="L863" s="20" t="inlineStr">
        <is>
          <t>Privately Held (backing)</t>
        </is>
      </c>
      <c r="M863" s="21" t="inlineStr">
        <is>
          <t>Venture Capital-Backed</t>
        </is>
      </c>
      <c r="N863" s="22" t="inlineStr">
        <is>
          <t>The company raised Series A venture funding from Matrix Partners India and Omidyar Network on September 29, 2011.</t>
        </is>
      </c>
      <c r="O863" s="23" t="inlineStr">
        <is>
          <t>Matrix Partners India, Omidyar Network</t>
        </is>
      </c>
      <c r="P863" s="24" t="inlineStr">
        <is>
          <t/>
        </is>
      </c>
      <c r="Q863" s="25" t="inlineStr">
        <is>
          <t>Application Software</t>
        </is>
      </c>
      <c r="R863" s="26" t="inlineStr">
        <is>
          <t>Provider of mobile applications designed to drive connectivity, fuel transformation and help companies to grow and innovate. The company's mobile application offers data driven services enabling users to have customized access to the social internet.</t>
        </is>
      </c>
      <c r="S863" s="27" t="inlineStr">
        <is>
          <t>Gurgaon, India</t>
        </is>
      </c>
      <c r="T863" s="28" t="inlineStr">
        <is>
          <t>www.u2opiamobile.com</t>
        </is>
      </c>
      <c r="U863" s="131">
        <f>HYPERLINK("https://my.pitchbook.com?c=57322-72", "View company online")</f>
      </c>
    </row>
    <row r="864">
      <c r="A864" s="30" t="inlineStr">
        <is>
          <t>65210-59</t>
        </is>
      </c>
      <c r="B864" s="31" t="inlineStr">
        <is>
          <t>Tyto Life</t>
        </is>
      </c>
      <c r="C864" s="32" t="inlineStr">
        <is>
          <t/>
        </is>
      </c>
      <c r="D864" s="33" t="n">
        <v>0.0</v>
      </c>
      <c r="E864" s="34" t="n">
        <v>0.35135135135135137</v>
      </c>
      <c r="F864" s="35" t="n">
        <v>41950.0</v>
      </c>
      <c r="G864" s="36" t="inlineStr">
        <is>
          <t>Early Stage VC</t>
        </is>
      </c>
      <c r="H864" s="37" t="inlineStr">
        <is>
          <t/>
        </is>
      </c>
      <c r="I864" s="38" t="n">
        <v>12.23</v>
      </c>
      <c r="J864" s="39" t="inlineStr">
        <is>
          <t/>
        </is>
      </c>
      <c r="K864" s="40" t="inlineStr">
        <is>
          <t>Completed</t>
        </is>
      </c>
      <c r="L864" s="41" t="inlineStr">
        <is>
          <t>Privately Held (backing)</t>
        </is>
      </c>
      <c r="M864" s="42" t="inlineStr">
        <is>
          <t>Venture Capital-Backed</t>
        </is>
      </c>
      <c r="N864" s="43" t="inlineStr">
        <is>
          <t>The company raised $12.2 million of venture funding from Mohr Davidow Ventures and other undisclosed investors on November 07, 2014.</t>
        </is>
      </c>
      <c r="O864" s="44" t="inlineStr">
        <is>
          <t>Mohr Davidow Ventures</t>
        </is>
      </c>
      <c r="P864" s="45" t="inlineStr">
        <is>
          <t/>
        </is>
      </c>
      <c r="Q864" s="46" t="inlineStr">
        <is>
          <t>Other Commercial Products</t>
        </is>
      </c>
      <c r="R864" s="47" t="inlineStr">
        <is>
          <t>Manufacturer of doors with integrated locking systems. The company offers sliding patio and front entry doors with integrated locking systems.</t>
        </is>
      </c>
      <c r="S864" s="48" t="inlineStr">
        <is>
          <t>Burlingame, CA</t>
        </is>
      </c>
      <c r="T864" s="49" t="inlineStr">
        <is>
          <t>www.tyto.com</t>
        </is>
      </c>
      <c r="U864" s="132">
        <f>HYPERLINK("https://my.pitchbook.com?c=65210-59", "View company online")</f>
      </c>
    </row>
    <row r="865">
      <c r="A865" s="9" t="inlineStr">
        <is>
          <t>107315-83</t>
        </is>
      </c>
      <c r="B865" s="10" t="inlineStr">
        <is>
          <t>TyreAid</t>
        </is>
      </c>
      <c r="C865" s="11" t="inlineStr">
        <is>
          <t/>
        </is>
      </c>
      <c r="D865" s="12" t="n">
        <v>0.0</v>
      </c>
      <c r="E865" s="13" t="n">
        <v>0.05405405405405406</v>
      </c>
      <c r="F865" s="14" t="inlineStr">
        <is>
          <t/>
        </is>
      </c>
      <c r="G865" s="15" t="inlineStr">
        <is>
          <t>Early Stage VC</t>
        </is>
      </c>
      <c r="H865" s="16" t="inlineStr">
        <is>
          <t/>
        </is>
      </c>
      <c r="I865" s="17" t="inlineStr">
        <is>
          <t/>
        </is>
      </c>
      <c r="J865" s="18" t="inlineStr">
        <is>
          <t/>
        </is>
      </c>
      <c r="K865" s="19" t="inlineStr">
        <is>
          <t>Completed</t>
        </is>
      </c>
      <c r="L865" s="20" t="inlineStr">
        <is>
          <t>Privately Held (backing)</t>
        </is>
      </c>
      <c r="M865" s="21" t="inlineStr">
        <is>
          <t>Venture Capital-Backed</t>
        </is>
      </c>
      <c r="N865" s="22" t="inlineStr">
        <is>
          <t>The company raised venture funding from Wolfpack Ventures on an undisclosed date.</t>
        </is>
      </c>
      <c r="O865" s="23" t="inlineStr">
        <is>
          <t>Wolfpack Ventures</t>
        </is>
      </c>
      <c r="P865" s="24" t="inlineStr">
        <is>
          <t/>
        </is>
      </c>
      <c r="Q865" s="25" t="inlineStr">
        <is>
          <t>Automotive</t>
        </is>
      </c>
      <c r="R865" s="26" t="inlineStr">
        <is>
          <t>Manufacturer of tire pressure monitoring systems. The company offers a tire pressure monitoring system which has pressure sensing element, radio frequency transmitter and safety valve features.</t>
        </is>
      </c>
      <c r="S865" s="27" t="inlineStr">
        <is>
          <t>Esbo, Finland</t>
        </is>
      </c>
      <c r="T865" s="28" t="inlineStr">
        <is>
          <t>www.tyreaid.com</t>
        </is>
      </c>
      <c r="U865" s="131">
        <f>HYPERLINK("https://my.pitchbook.com?c=107315-83", "View company online")</f>
      </c>
    </row>
    <row r="866">
      <c r="A866" s="30" t="inlineStr">
        <is>
          <t>107004-43</t>
        </is>
      </c>
      <c r="B866" s="31" t="inlineStr">
        <is>
          <t>TypeLaw</t>
        </is>
      </c>
      <c r="C866" s="32" t="inlineStr">
        <is>
          <t/>
        </is>
      </c>
      <c r="D866" s="33" t="n">
        <v>0.0</v>
      </c>
      <c r="E866" s="34" t="n">
        <v>0.07462971446022294</v>
      </c>
      <c r="F866" s="35" t="inlineStr">
        <is>
          <t/>
        </is>
      </c>
      <c r="G866" s="36" t="inlineStr">
        <is>
          <t/>
        </is>
      </c>
      <c r="H866" s="37" t="inlineStr">
        <is>
          <t/>
        </is>
      </c>
      <c r="I866" s="38" t="inlineStr">
        <is>
          <t/>
        </is>
      </c>
      <c r="J866" s="39" t="inlineStr">
        <is>
          <t/>
        </is>
      </c>
      <c r="K866" s="40" t="inlineStr">
        <is>
          <t/>
        </is>
      </c>
      <c r="L866" s="41" t="inlineStr">
        <is>
          <t>Privately Held (backing)</t>
        </is>
      </c>
      <c r="M866" s="42" t="inlineStr">
        <is>
          <t>Venture Capital-Backed</t>
        </is>
      </c>
      <c r="N866" s="43" t="inlineStr">
        <is>
          <t/>
        </is>
      </c>
      <c r="O866" s="44" t="inlineStr">
        <is>
          <t>Founders Den</t>
        </is>
      </c>
      <c r="P866" s="45" t="inlineStr">
        <is>
          <t/>
        </is>
      </c>
      <c r="Q866" s="46" t="inlineStr">
        <is>
          <t>Application Software</t>
        </is>
      </c>
      <c r="R866" s="47" t="inlineStr">
        <is>
          <t>Provider of an application for writing appellate briefs. The company's application helps user to upload the word documented briefs which are in turn converted into PDF files and sent to the users email address.</t>
        </is>
      </c>
      <c r="S866" s="48" t="inlineStr">
        <is>
          <t>San Francisco, CA</t>
        </is>
      </c>
      <c r="T866" s="49" t="inlineStr">
        <is>
          <t>www.typelaw.com</t>
        </is>
      </c>
      <c r="U866" s="132">
        <f>HYPERLINK("https://my.pitchbook.com?c=107004-43", "View company online")</f>
      </c>
    </row>
    <row r="867">
      <c r="A867" s="9" t="inlineStr">
        <is>
          <t>12769-03</t>
        </is>
      </c>
      <c r="B867" s="10" t="inlineStr">
        <is>
          <t>TynTec</t>
        </is>
      </c>
      <c r="C867" s="11" t="n">
        <v>21.04</v>
      </c>
      <c r="D867" s="12" t="n">
        <v>0.015102380143523221</v>
      </c>
      <c r="E867" s="13" t="n">
        <v>9.626998147742437</v>
      </c>
      <c r="F867" s="14" t="n">
        <v>40526.0</v>
      </c>
      <c r="G867" s="15" t="inlineStr">
        <is>
          <t>Later Stage VC</t>
        </is>
      </c>
      <c r="H867" s="16" t="inlineStr">
        <is>
          <t/>
        </is>
      </c>
      <c r="I867" s="17" t="inlineStr">
        <is>
          <t/>
        </is>
      </c>
      <c r="J867" s="18" t="inlineStr">
        <is>
          <t/>
        </is>
      </c>
      <c r="K867" s="19" t="inlineStr">
        <is>
          <t>Completed</t>
        </is>
      </c>
      <c r="L867" s="20" t="inlineStr">
        <is>
          <t>Privately Held (backing)</t>
        </is>
      </c>
      <c r="M867" s="21" t="inlineStr">
        <is>
          <t>Venture Capital-Backed</t>
        </is>
      </c>
      <c r="N867" s="22" t="inlineStr">
        <is>
          <t>The company raised an undisclosed amount of venture funding from Iris Capital Management on December 14, 2010.</t>
        </is>
      </c>
      <c r="O867" s="23" t="inlineStr">
        <is>
          <t>Catagonia Capital, Harbert Management, HarbourVest Partners, Iris Capital Management</t>
        </is>
      </c>
      <c r="P867" s="24" t="inlineStr">
        <is>
          <t/>
        </is>
      </c>
      <c r="Q867" s="25" t="inlineStr">
        <is>
          <t>Other Communications and Networking</t>
        </is>
      </c>
      <c r="R867" s="26" t="inlineStr">
        <is>
          <t>Provider of mobile telecom services. The company offers a communication technology that integrates mobile services like Short Messaging Service (SMS), inbound and outbound voice services and number information services into a single Web of communication.</t>
        </is>
      </c>
      <c r="S867" s="27" t="inlineStr">
        <is>
          <t>Douglas, United Kingdom</t>
        </is>
      </c>
      <c r="T867" s="28" t="inlineStr">
        <is>
          <t>www.tyntec.com</t>
        </is>
      </c>
      <c r="U867" s="131">
        <f>HYPERLINK("https://my.pitchbook.com?c=12769-03", "View company online")</f>
      </c>
    </row>
    <row r="868">
      <c r="A868" s="30" t="inlineStr">
        <is>
          <t>56134-90</t>
        </is>
      </c>
      <c r="B868" s="31" t="inlineStr">
        <is>
          <t>Tynker</t>
        </is>
      </c>
      <c r="C868" s="32" t="inlineStr">
        <is>
          <t/>
        </is>
      </c>
      <c r="D868" s="33" t="n">
        <v>0.8764729299919224</v>
      </c>
      <c r="E868" s="34" t="n">
        <v>57.781529800671294</v>
      </c>
      <c r="F868" s="35" t="n">
        <v>42521.0</v>
      </c>
      <c r="G868" s="36" t="inlineStr">
        <is>
          <t>Early Stage VC</t>
        </is>
      </c>
      <c r="H868" s="37" t="inlineStr">
        <is>
          <t>Series A</t>
        </is>
      </c>
      <c r="I868" s="38" t="n">
        <v>10.35</v>
      </c>
      <c r="J868" s="39" t="n">
        <v>31.05</v>
      </c>
      <c r="K868" s="40" t="inlineStr">
        <is>
          <t>Completed</t>
        </is>
      </c>
      <c r="L868" s="41" t="inlineStr">
        <is>
          <t>Privately Held (backing)</t>
        </is>
      </c>
      <c r="M868" s="42" t="inlineStr">
        <is>
          <t>Venture Capital-Backed</t>
        </is>
      </c>
      <c r="N868" s="43" t="inlineStr">
        <is>
          <t>The company raised $10.35 million of Series A venture funding from lead investors Krishna Bharat, Cervin Ventures, Dentsu Ventures, Felicis Ventures, New Ground Ventures, Reach Capital and Relay Ventures on May 31, 2016, putting the pre-money valuation at $20.7 million. GSV Capital, New Enterprise Associates, Matt Cutts, Ben Gomes, John Katzman, Deborah Quazzo and Richard Sarnoff also participated. The company will use funds for product development and further expansion into schools and districts outside of the US and Canada.</t>
        </is>
      </c>
      <c r="O868" s="44" t="inlineStr">
        <is>
          <t>500 Startups, Ben Gomes, Cervin Ventures, Deborah Quazzo, Dentsu Ventures, Ethan Beard, Felicis Ventures, GSV Capital, John Katzman, Krishna Bharat, Matt Cutts, New Enterprise Associates, New Ground Ventures, NewSchools Venture Fund, Reach Capital, Relay Ventures, Richard Sarnoff, XG Ventures</t>
        </is>
      </c>
      <c r="P868" s="45" t="inlineStr">
        <is>
          <t/>
        </is>
      </c>
      <c r="Q868" s="46" t="inlineStr">
        <is>
          <t>Educational and Training Services (B2C)</t>
        </is>
      </c>
      <c r="R868" s="47" t="inlineStr">
        <is>
          <t>Provider of a creative computing and computer programming platform for children. The company provides a creative education platform designed specifically to teach computational learning and programming skills like developing animations, mobile games, creating music, crafting e-books and building fictional robots.</t>
        </is>
      </c>
      <c r="S868" s="48" t="inlineStr">
        <is>
          <t>Mountain View, CA</t>
        </is>
      </c>
      <c r="T868" s="49" t="inlineStr">
        <is>
          <t>www.tynker.com</t>
        </is>
      </c>
      <c r="U868" s="132">
        <f>HYPERLINK("https://my.pitchbook.com?c=56134-90", "View company online")</f>
      </c>
    </row>
    <row r="869">
      <c r="A869" s="9" t="inlineStr">
        <is>
          <t>55769-14</t>
        </is>
      </c>
      <c r="B869" s="10" t="inlineStr">
        <is>
          <t>Tylr Mobile</t>
        </is>
      </c>
      <c r="C869" s="11" t="inlineStr">
        <is>
          <t/>
        </is>
      </c>
      <c r="D869" s="12" t="n">
        <v>-0.027777777777778092</v>
      </c>
      <c r="E869" s="13" t="n">
        <v>0.6313941059703772</v>
      </c>
      <c r="F869" s="14" t="n">
        <v>41456.0</v>
      </c>
      <c r="G869" s="15" t="inlineStr">
        <is>
          <t>Seed Round</t>
        </is>
      </c>
      <c r="H869" s="16" t="inlineStr">
        <is>
          <t>Seed</t>
        </is>
      </c>
      <c r="I869" s="17" t="n">
        <v>1.4</v>
      </c>
      <c r="J869" s="18" t="n">
        <v>8.5</v>
      </c>
      <c r="K869" s="19" t="inlineStr">
        <is>
          <t>Completed</t>
        </is>
      </c>
      <c r="L869" s="20" t="inlineStr">
        <is>
          <t>Privately Held (backing)</t>
        </is>
      </c>
      <c r="M869" s="21" t="inlineStr">
        <is>
          <t>Venture Capital-Backed</t>
        </is>
      </c>
      <c r="N869" s="22" t="inlineStr">
        <is>
          <t>The company raised $1.4 million of seed funding from Citrix Startup Accelerator, China Rock, Salesforce Ventures and Scrum Ventures on July, 2013. Alchemist Accelerator, Jun LI , Ben Kepes, Christian Dahlen and other undisclosed investors also participated in this round.</t>
        </is>
      </c>
      <c r="O869" s="23" t="inlineStr">
        <is>
          <t>Alchemist Accelerator, Ben Kepes, China Rock Ventures, Christian Dahlen, Citrix Startup Accelerator, Individual Investor, Jun LI, Salesforce Ventures, Scrum Ventures</t>
        </is>
      </c>
      <c r="P869" s="24" t="inlineStr">
        <is>
          <t/>
        </is>
      </c>
      <c r="Q869" s="25" t="inlineStr">
        <is>
          <t>Business/Productivity Software</t>
        </is>
      </c>
      <c r="R869" s="26" t="inlineStr">
        <is>
          <t>Developer of an application for business emails. The company develops mobile applications that filter business data with personal context and scan business inboxes for important emails.</t>
        </is>
      </c>
      <c r="S869" s="27" t="inlineStr">
        <is>
          <t>San Mateo, CA</t>
        </is>
      </c>
      <c r="T869" s="28" t="inlineStr">
        <is>
          <t>www.tylrmobile.com</t>
        </is>
      </c>
      <c r="U869" s="131">
        <f>HYPERLINK("https://my.pitchbook.com?c=55769-14", "View company online")</f>
      </c>
    </row>
    <row r="870">
      <c r="A870" s="30" t="inlineStr">
        <is>
          <t>98406-37</t>
        </is>
      </c>
      <c r="B870" s="31" t="inlineStr">
        <is>
          <t>Tyffon</t>
        </is>
      </c>
      <c r="C870" s="32" t="inlineStr">
        <is>
          <t/>
        </is>
      </c>
      <c r="D870" s="33" t="n">
        <v>-0.021813255506077028</v>
      </c>
      <c r="E870" s="34" t="n">
        <v>0.9007538252011354</v>
      </c>
      <c r="F870" s="35" t="n">
        <v>42565.0</v>
      </c>
      <c r="G870" s="36" t="inlineStr">
        <is>
          <t>Early Stage VC</t>
        </is>
      </c>
      <c r="H870" s="37" t="inlineStr">
        <is>
          <t>Series AA</t>
        </is>
      </c>
      <c r="I870" s="38" t="n">
        <v>1.11</v>
      </c>
      <c r="J870" s="39" t="n">
        <v>5.99</v>
      </c>
      <c r="K870" s="40" t="inlineStr">
        <is>
          <t>Completed</t>
        </is>
      </c>
      <c r="L870" s="41" t="inlineStr">
        <is>
          <t>Privately Held (backing)</t>
        </is>
      </c>
      <c r="M870" s="42" t="inlineStr">
        <is>
          <t>Venture Capital-Backed</t>
        </is>
      </c>
      <c r="N870" s="43" t="inlineStr">
        <is>
          <t>The company raised $1.11 million of Series AA funding from undisclosed investors on July 14, 2016, putting the company's pre-money valuation at $4.88 million.</t>
        </is>
      </c>
      <c r="O870" s="44" t="inlineStr">
        <is>
          <t>Disney Accelerator, Right Side Capital Management, Techstars</t>
        </is>
      </c>
      <c r="P870" s="45" t="inlineStr">
        <is>
          <t/>
        </is>
      </c>
      <c r="Q870" s="46" t="inlineStr">
        <is>
          <t>Application Software</t>
        </is>
      </c>
      <c r="R870" s="47" t="inlineStr">
        <is>
          <t>Developer of entertainment applications for smartphones. The company develops creativity, photo editing and entertainment applications for smartphones.</t>
        </is>
      </c>
      <c r="S870" s="48" t="inlineStr">
        <is>
          <t>Santa Monica, CA</t>
        </is>
      </c>
      <c r="T870" s="49" t="inlineStr">
        <is>
          <t>www.tyffon.com</t>
        </is>
      </c>
      <c r="U870" s="132">
        <f>HYPERLINK("https://my.pitchbook.com?c=98406-37", "View company online")</f>
      </c>
    </row>
    <row r="871">
      <c r="A871" s="9" t="inlineStr">
        <is>
          <t>107592-22</t>
        </is>
      </c>
      <c r="B871" s="10" t="inlineStr">
        <is>
          <t>TXN Solutions</t>
        </is>
      </c>
      <c r="C871" s="11" t="inlineStr">
        <is>
          <t/>
        </is>
      </c>
      <c r="D871" s="12" t="n">
        <v>0.06915299273574309</v>
      </c>
      <c r="E871" s="13" t="n">
        <v>0.32630288726456746</v>
      </c>
      <c r="F871" s="14" t="n">
        <v>42178.0</v>
      </c>
      <c r="G871" s="15" t="inlineStr">
        <is>
          <t>Early Stage VC</t>
        </is>
      </c>
      <c r="H871" s="16" t="inlineStr">
        <is>
          <t/>
        </is>
      </c>
      <c r="I871" s="17" t="inlineStr">
        <is>
          <t/>
        </is>
      </c>
      <c r="J871" s="18" t="inlineStr">
        <is>
          <t/>
        </is>
      </c>
      <c r="K871" s="19" t="inlineStr">
        <is>
          <t>Completed</t>
        </is>
      </c>
      <c r="L871" s="20" t="inlineStr">
        <is>
          <t>Privately Held (backing)</t>
        </is>
      </c>
      <c r="M871" s="21" t="inlineStr">
        <is>
          <t>Venture Capital-Backed</t>
        </is>
      </c>
      <c r="N871" s="22" t="inlineStr">
        <is>
          <t>The company raised an undisclosed amount of venture funding from Social Starts on June 23, 2015. Previously, the company raised an undisclosed amount of venture funding from Andreessen Horowitz, Bloomberg Beta and Tenfore Holdings on December 16, 2014. Homebrew, General Catalyst Partners, SV Angel, Ooga Labs, Auren Hoffman and Jeffrey Zwelling also participated. Prior to that, the company raised an undisclosed amount of seed funding from Social Starts on July 3, 2014.</t>
        </is>
      </c>
      <c r="O871" s="23" t="inlineStr">
        <is>
          <t>Andreessen Horowitz, Auren Hoffman, Bloomberg Beta, General Catalyst Partners, Homebrew, Jeffrey Zwelling, Ooga Labs, Social Starts, SV Angel, Tenfore Holdings</t>
        </is>
      </c>
      <c r="P871" s="24" t="inlineStr">
        <is>
          <t/>
        </is>
      </c>
      <c r="Q871" s="25" t="inlineStr">
        <is>
          <t>Business/Productivity Software</t>
        </is>
      </c>
      <c r="R871" s="26" t="inlineStr">
        <is>
          <t>Provider of market research analytical tool for businesses. The company offers market research services based on consumer credit card transaction information and feedback which enables the merchants to get insight about themselves, their customers, competitors and partners.</t>
        </is>
      </c>
      <c r="S871" s="27" t="inlineStr">
        <is>
          <t>San Francisco, CA</t>
        </is>
      </c>
      <c r="T871" s="28" t="inlineStr">
        <is>
          <t>txn.com</t>
        </is>
      </c>
      <c r="U871" s="131">
        <f>HYPERLINK("https://my.pitchbook.com?c=107592-22", "View company online")</f>
      </c>
    </row>
    <row r="872">
      <c r="A872" s="30" t="inlineStr">
        <is>
          <t>176488-12</t>
        </is>
      </c>
      <c r="B872" s="31" t="inlineStr">
        <is>
          <t>TXL</t>
        </is>
      </c>
      <c r="C872" s="32" t="n">
        <v>0.55</v>
      </c>
      <c r="D872" s="33" t="n">
        <v>-0.008884150675195199</v>
      </c>
      <c r="E872" s="34" t="n">
        <v>0.23295282860500252</v>
      </c>
      <c r="F872" s="35" t="inlineStr">
        <is>
          <t/>
        </is>
      </c>
      <c r="G872" s="36" t="inlineStr">
        <is>
          <t>Early Stage VC</t>
        </is>
      </c>
      <c r="H872" s="37" t="inlineStr">
        <is>
          <t/>
        </is>
      </c>
      <c r="I872" s="38" t="inlineStr">
        <is>
          <t/>
        </is>
      </c>
      <c r="J872" s="39" t="inlineStr">
        <is>
          <t/>
        </is>
      </c>
      <c r="K872" s="40" t="inlineStr">
        <is>
          <t>Completed</t>
        </is>
      </c>
      <c r="L872" s="41" t="inlineStr">
        <is>
          <t>Privately Held (backing)</t>
        </is>
      </c>
      <c r="M872" s="42" t="inlineStr">
        <is>
          <t>Venture Capital-Backed</t>
        </is>
      </c>
      <c r="N872" s="43" t="inlineStr">
        <is>
          <t>The company raised an undisclosed amount of venture funding from NS Ventures.</t>
        </is>
      </c>
      <c r="O872" s="44" t="inlineStr">
        <is>
          <t>NS Ventures</t>
        </is>
      </c>
      <c r="P872" s="45" t="inlineStr">
        <is>
          <t/>
        </is>
      </c>
      <c r="Q872" s="46" t="inlineStr">
        <is>
          <t>Software Development Applications</t>
        </is>
      </c>
      <c r="R872" s="47" t="inlineStr">
        <is>
          <t>Developer of software for websites, smartphone and feature phone apps, multimedia tools, online platforms, and integrations with other systems created to transform how businesses expand. The company's digital communication software development platform created application, software or web to fit business needs designed for simple integration with existing systems, websites, social media pages, email accounts and any other complementary tools, enabling, businesses to promote and expand and remain competitive with continuous IT development.</t>
        </is>
      </c>
      <c r="S872" s="48" t="inlineStr">
        <is>
          <t>Stockholm, Sweden</t>
        </is>
      </c>
      <c r="T872" s="49" t="inlineStr">
        <is>
          <t>www.txl.se</t>
        </is>
      </c>
      <c r="U872" s="132">
        <f>HYPERLINK("https://my.pitchbook.com?c=176488-12", "View company online")</f>
      </c>
    </row>
    <row r="873">
      <c r="A873" s="9" t="inlineStr">
        <is>
          <t>104206-51</t>
        </is>
      </c>
      <c r="B873" s="10" t="inlineStr">
        <is>
          <t>twoXAR</t>
        </is>
      </c>
      <c r="C873" s="11" t="inlineStr">
        <is>
          <t/>
        </is>
      </c>
      <c r="D873" s="12" t="n">
        <v>0.30854885397718196</v>
      </c>
      <c r="E873" s="13" t="n">
        <v>1.546190258054665</v>
      </c>
      <c r="F873" s="14" t="n">
        <v>42314.0</v>
      </c>
      <c r="G873" s="15" t="inlineStr">
        <is>
          <t>Seed Round</t>
        </is>
      </c>
      <c r="H873" s="16" t="inlineStr">
        <is>
          <t>Seed</t>
        </is>
      </c>
      <c r="I873" s="17" t="n">
        <v>4.31</v>
      </c>
      <c r="J873" s="18" t="n">
        <v>19.6</v>
      </c>
      <c r="K873" s="19" t="inlineStr">
        <is>
          <t>Completed</t>
        </is>
      </c>
      <c r="L873" s="20" t="inlineStr">
        <is>
          <t>Privately Held (backing)</t>
        </is>
      </c>
      <c r="M873" s="21" t="inlineStr">
        <is>
          <t>Venture Capital-Backed</t>
        </is>
      </c>
      <c r="N873" s="22" t="inlineStr">
        <is>
          <t>The company raised $4.3 million of seed funding in a deal led by Andreessen Horowitz on November 6, 2015, putting the company's pre-money valuation at $15.29 million. Cheerland Investments Group, Stex 25 and StartX Fund also participated in the round. The company will use the funds to expand its engineering and commercial teams and advance new and existing partnerships focused on drug candidates for metabolic and neurological diseases. Previously, the company joined StartX as part of the Summer 2015 program on June 24, 2015. CLI Ventures also participated in that round.</t>
        </is>
      </c>
      <c r="O873" s="23" t="inlineStr">
        <is>
          <t>Andreessen Horowitz, Cheerland Investments Group, StartX, Stex25</t>
        </is>
      </c>
      <c r="P873" s="24" t="inlineStr">
        <is>
          <t/>
        </is>
      </c>
      <c r="Q873" s="25" t="inlineStr">
        <is>
          <t>Drug Discovery</t>
        </is>
      </c>
      <c r="R873" s="26" t="inlineStr">
        <is>
          <t>Provider of computational platform designed to improve health of the people. The company's computational platform is a secure cloud-based service that uses proprietary artificial intelligence to find unanticipated associations between drug and disease, enabling biopharmaceutical researchers to identify novel and repurposable drug candidates to expand drug pipelines.</t>
        </is>
      </c>
      <c r="S873" s="27" t="inlineStr">
        <is>
          <t>Palo Alto, CA</t>
        </is>
      </c>
      <c r="T873" s="28" t="inlineStr">
        <is>
          <t>www.twoxar.com</t>
        </is>
      </c>
      <c r="U873" s="131">
        <f>HYPERLINK("https://my.pitchbook.com?c=104206-51", "View company online")</f>
      </c>
    </row>
    <row r="874">
      <c r="A874" s="30" t="inlineStr">
        <is>
          <t>61591-69</t>
        </is>
      </c>
      <c r="B874" s="31" t="inlineStr">
        <is>
          <t>Two Tap</t>
        </is>
      </c>
      <c r="C874" s="32" t="inlineStr">
        <is>
          <t/>
        </is>
      </c>
      <c r="D874" s="33" t="n">
        <v>0.022063737317214206</v>
      </c>
      <c r="E874" s="34" t="n">
        <v>0.9873263093602075</v>
      </c>
      <c r="F874" s="35" t="n">
        <v>41858.0</v>
      </c>
      <c r="G874" s="36" t="inlineStr">
        <is>
          <t>Seed Round</t>
        </is>
      </c>
      <c r="H874" s="37" t="inlineStr">
        <is>
          <t>Seed</t>
        </is>
      </c>
      <c r="I874" s="38" t="n">
        <v>2.7</v>
      </c>
      <c r="J874" s="39" t="inlineStr">
        <is>
          <t/>
        </is>
      </c>
      <c r="K874" s="40" t="inlineStr">
        <is>
          <t>Completed</t>
        </is>
      </c>
      <c r="L874" s="41" t="inlineStr">
        <is>
          <t>Privately Held (backing)</t>
        </is>
      </c>
      <c r="M874" s="42" t="inlineStr">
        <is>
          <t>Venture Capital-Backed</t>
        </is>
      </c>
      <c r="N874" s="43" t="inlineStr">
        <is>
          <t>The company raised $2.7 million of seed funding from Digital Garage, DG Incubation and Green Visor Capital on August 7, 2014. Initialized Capital, Khosla Ventures, SV Angel, Transmedia Capital, Rob Emrich and Saad AlSogair also participated in the round.</t>
        </is>
      </c>
      <c r="O874" s="44" t="inlineStr">
        <is>
          <t>DG Incubation, Digital Garage, Green Visor Capital, Initialized Capital, Khosla Ventures, Robert Emrich, Saad AlSogair, SV Angel, Transmedia Capital, Y Combinator</t>
        </is>
      </c>
      <c r="P874" s="45" t="inlineStr">
        <is>
          <t/>
        </is>
      </c>
      <c r="Q874" s="46" t="inlineStr">
        <is>
          <t>Application Software</t>
        </is>
      </c>
      <c r="R874" s="47" t="inlineStr">
        <is>
          <t>Developer of an online purchasing application. The company allows brands to sell products from any online stores to any mobile, desktop and offline device. It also allows publishers to sell products in their application.</t>
        </is>
      </c>
      <c r="S874" s="48" t="inlineStr">
        <is>
          <t>San Francisco, CA</t>
        </is>
      </c>
      <c r="T874" s="49" t="inlineStr">
        <is>
          <t>www.twotap.com</t>
        </is>
      </c>
      <c r="U874" s="132">
        <f>HYPERLINK("https://my.pitchbook.com?c=61591-69", "View company online")</f>
      </c>
    </row>
    <row r="875">
      <c r="A875" s="9" t="inlineStr">
        <is>
          <t>162170-38</t>
        </is>
      </c>
      <c r="B875" s="10" t="inlineStr">
        <is>
          <t>Two Pore Guys</t>
        </is>
      </c>
      <c r="C875" s="11" t="inlineStr">
        <is>
          <t/>
        </is>
      </c>
      <c r="D875" s="12" t="n">
        <v>1.2083113871594084</v>
      </c>
      <c r="E875" s="13" t="n">
        <v>0.3721870201604911</v>
      </c>
      <c r="F875" s="14" t="n">
        <v>42850.0</v>
      </c>
      <c r="G875" s="15" t="inlineStr">
        <is>
          <t>Later Stage VC</t>
        </is>
      </c>
      <c r="H875" s="16" t="inlineStr">
        <is>
          <t>Series A</t>
        </is>
      </c>
      <c r="I875" s="17" t="n">
        <v>24.5</v>
      </c>
      <c r="J875" s="18" t="n">
        <v>122.5</v>
      </c>
      <c r="K875" s="19" t="inlineStr">
        <is>
          <t>Completed</t>
        </is>
      </c>
      <c r="L875" s="20" t="inlineStr">
        <is>
          <t>Privately Held (backing)</t>
        </is>
      </c>
      <c r="M875" s="21" t="inlineStr">
        <is>
          <t>Venture Capital-Backed</t>
        </is>
      </c>
      <c r="N875" s="22" t="inlineStr">
        <is>
          <t>The company raised $24.5 million of Series A venture funding in a deal led by Khosla Ventures on April 25, 2017, putting the pre-money valuation at $98 million. The funding will be used to scale up manufacturing of the company's hand-held, point-of-use testing system as well as to expand its executive team and further advance its two-pore technology for whole genome sequencing and genome mapping.</t>
        </is>
      </c>
      <c r="O875" s="23" t="inlineStr">
        <is>
          <t>DEFTA Partners, Khosla Ventures, U.S. Department of Health and Human Services</t>
        </is>
      </c>
      <c r="P875" s="24" t="inlineStr">
        <is>
          <t/>
        </is>
      </c>
      <c r="Q875" s="25" t="inlineStr">
        <is>
          <t>Biotechnology</t>
        </is>
      </c>
      <c r="R875" s="26" t="inlineStr">
        <is>
          <t>Developer of a digital, hand-held and single molecule biosensor designed to detect virtually any kind of molecule with very high sensitivity. The company's point-of-use testing works like a glucose monitor, though its disposable test strips and is based on its core technology which includes solid-state, nanopore-based sensors that can detect nucleic acids and proteins and other analytes in human, animal, agriculture and environmental samples, enabling digital, single-molecule sensing in a small, inexpensive and simple-to-use form factor in telemedicine, clinical trials for drug development and global tracking of pathogens and diseases.</t>
        </is>
      </c>
      <c r="S875" s="27" t="inlineStr">
        <is>
          <t>Santa Cruz, CA</t>
        </is>
      </c>
      <c r="T875" s="28" t="inlineStr">
        <is>
          <t>www.twoporeguys.com</t>
        </is>
      </c>
      <c r="U875" s="131">
        <f>HYPERLINK("https://my.pitchbook.com?c=162170-38", "View company online")</f>
      </c>
    </row>
    <row r="876">
      <c r="A876" s="30" t="inlineStr">
        <is>
          <t>56124-46</t>
        </is>
      </c>
      <c r="B876" s="31" t="inlineStr">
        <is>
          <t>Two Degrees Food</t>
        </is>
      </c>
      <c r="C876" s="32" t="inlineStr">
        <is>
          <t/>
        </is>
      </c>
      <c r="D876" s="33" t="n">
        <v>-0.02832683978647535</v>
      </c>
      <c r="E876" s="34" t="n">
        <v>9.192304666494055</v>
      </c>
      <c r="F876" s="35" t="n">
        <v>41284.0</v>
      </c>
      <c r="G876" s="36" t="inlineStr">
        <is>
          <t>Later Stage VC</t>
        </is>
      </c>
      <c r="H876" s="37" t="inlineStr">
        <is>
          <t>Series C</t>
        </is>
      </c>
      <c r="I876" s="38" t="n">
        <v>3.0</v>
      </c>
      <c r="J876" s="39" t="n">
        <v>6.73</v>
      </c>
      <c r="K876" s="40" t="inlineStr">
        <is>
          <t>Completed</t>
        </is>
      </c>
      <c r="L876" s="41" t="inlineStr">
        <is>
          <t>Privately Held (backing)</t>
        </is>
      </c>
      <c r="M876" s="42" t="inlineStr">
        <is>
          <t>Venture Capital-Backed</t>
        </is>
      </c>
      <c r="N876" s="43" t="inlineStr">
        <is>
          <t>The company raised $3 million of Series C venture funding from Keiretsu Forum and other undisclosed investors on January 10, 2013, putting the pre-money valuation at $3.73 million.</t>
        </is>
      </c>
      <c r="O876" s="44" t="inlineStr">
        <is>
          <t>Avalon Ventures, Keiretsu Forum, Tom Rutledge</t>
        </is>
      </c>
      <c r="P876" s="45" t="inlineStr">
        <is>
          <t/>
        </is>
      </c>
      <c r="Q876" s="46" t="inlineStr">
        <is>
          <t>Food Products</t>
        </is>
      </c>
      <c r="R876" s="47" t="inlineStr">
        <is>
          <t>Producer and marketer of nutritious snack bars. The company provides all-natural, gluten-free, vegan and GMO-free nutrition bars in several flavors including apple pecan, cherry almond, chocolate banana and chocolate peanut to its customers through wholesalers, retailers and its online website.</t>
        </is>
      </c>
      <c r="S876" s="48" t="inlineStr">
        <is>
          <t>San Francisco, CA</t>
        </is>
      </c>
      <c r="T876" s="49" t="inlineStr">
        <is>
          <t>www.twodegreesfood.com</t>
        </is>
      </c>
      <c r="U876" s="132">
        <f>HYPERLINK("https://my.pitchbook.com?c=56124-46", "View company online")</f>
      </c>
    </row>
    <row r="877">
      <c r="A877" s="9" t="inlineStr">
        <is>
          <t>90445-87</t>
        </is>
      </c>
      <c r="B877" s="10" t="inlineStr">
        <is>
          <t>Two Bit Circus</t>
        </is>
      </c>
      <c r="C877" s="11" t="inlineStr">
        <is>
          <t/>
        </is>
      </c>
      <c r="D877" s="12" t="n">
        <v>0.22346373627144556</v>
      </c>
      <c r="E877" s="13" t="n">
        <v>4.986310318108402</v>
      </c>
      <c r="F877" s="14" t="n">
        <v>42754.0</v>
      </c>
      <c r="G877" s="15" t="inlineStr">
        <is>
          <t>Early Stage VC</t>
        </is>
      </c>
      <c r="H877" s="16" t="inlineStr">
        <is>
          <t>Series B</t>
        </is>
      </c>
      <c r="I877" s="17" t="n">
        <v>15.0</v>
      </c>
      <c r="J877" s="18" t="n">
        <v>40.0</v>
      </c>
      <c r="K877" s="19" t="inlineStr">
        <is>
          <t>Completed</t>
        </is>
      </c>
      <c r="L877" s="20" t="inlineStr">
        <is>
          <t>Privately Held (backing)</t>
        </is>
      </c>
      <c r="M877" s="21" t="inlineStr">
        <is>
          <t>Venture Capital-Backed</t>
        </is>
      </c>
      <c r="N877" s="22" t="inlineStr">
        <is>
          <t>The company raised $15 million of Series B venture funding led by Jazz Venture Partners on January 19, 2017, putting the pre-money valuation at $25 million. Foundry Group, Techstars Ventures, Intel Capital, Dentsu Ventures, Georgian Pine and others undisclosed investors also participated. The company intends to use the funds to build a portfolio of micro-amusement parks that will boast approximately 30,000+ square feet of immersive entertainment, including multi-person virtual reality and mixed reality, social play experiences, group games, molecular gastronomy, mixology, and, of course, liberal use of lasers, fire and robots.</t>
        </is>
      </c>
      <c r="O877" s="23" t="inlineStr">
        <is>
          <t>Dentsu Ventures, Foundry Group, Georgian Pine Investments, Intel Capital, JAZZ Venture Partners, Techstars</t>
        </is>
      </c>
      <c r="P877" s="24" t="inlineStr">
        <is>
          <t/>
        </is>
      </c>
      <c r="Q877" s="25" t="inlineStr">
        <is>
          <t>Movies, Music and Entertainment</t>
        </is>
      </c>
      <c r="R877" s="26" t="inlineStr">
        <is>
          <t>Provider of experiential entertainment services. The company specializes in immersive storytelling on next-generation platforms and its public installations turn passive entertainment into interactive experiences and bring people together in unexpected ways.</t>
        </is>
      </c>
      <c r="S877" s="27" t="inlineStr">
        <is>
          <t>Los Angeles, CA</t>
        </is>
      </c>
      <c r="T877" s="28" t="inlineStr">
        <is>
          <t>www.twobitcircus.com</t>
        </is>
      </c>
      <c r="U877" s="131">
        <f>HYPERLINK("https://my.pitchbook.com?c=90445-87", "View company online")</f>
      </c>
    </row>
    <row r="878">
      <c r="A878" s="30" t="inlineStr">
        <is>
          <t>54285-31</t>
        </is>
      </c>
      <c r="B878" s="31" t="inlineStr">
        <is>
          <t>Twitmusic</t>
        </is>
      </c>
      <c r="C878" s="32" t="inlineStr">
        <is>
          <t/>
        </is>
      </c>
      <c r="D878" s="33" t="n">
        <v>-0.30166684636225183</v>
      </c>
      <c r="E878" s="34" t="n">
        <v>111.95259280493252</v>
      </c>
      <c r="F878" s="35" t="n">
        <v>41609.0</v>
      </c>
      <c r="G878" s="36" t="inlineStr">
        <is>
          <t>Early Stage VC</t>
        </is>
      </c>
      <c r="H878" s="37" t="inlineStr">
        <is>
          <t/>
        </is>
      </c>
      <c r="I878" s="38" t="inlineStr">
        <is>
          <t/>
        </is>
      </c>
      <c r="J878" s="39" t="inlineStr">
        <is>
          <t/>
        </is>
      </c>
      <c r="K878" s="40" t="inlineStr">
        <is>
          <t>Completed</t>
        </is>
      </c>
      <c r="L878" s="41" t="inlineStr">
        <is>
          <t>Privately Held (backing)</t>
        </is>
      </c>
      <c r="M878" s="42" t="inlineStr">
        <is>
          <t>Venture Capital-Backed</t>
        </is>
      </c>
      <c r="N878" s="43" t="inlineStr">
        <is>
          <t>The company raised an undisclosed amount of venture funding in a deal led by Wavermaker Partners in December 2013. Jungle Ventures also participated in the round.</t>
        </is>
      </c>
      <c r="O878" s="44" t="inlineStr">
        <is>
          <t>500 Startups, Jungle Ventures, Wavemaker Partners</t>
        </is>
      </c>
      <c r="P878" s="45" t="inlineStr">
        <is>
          <t/>
        </is>
      </c>
      <c r="Q878" s="46" t="inlineStr">
        <is>
          <t>Entertainment Software</t>
        </is>
      </c>
      <c r="R878" s="47" t="inlineStr">
        <is>
          <t>Provider of an online music platform designed to promote music on Twitter. The company's online music platform allows songs uploaded by musicians to have 6 times more plays and 11 times more engagement than tracks see on similar sites, enabling musicians to launch campaigns, to help them grow their followers and to and reach new audiences on Twitter.</t>
        </is>
      </c>
      <c r="S878" s="48" t="inlineStr">
        <is>
          <t>Mountain View, CA</t>
        </is>
      </c>
      <c r="T878" s="49" t="inlineStr">
        <is>
          <t>www.twitmusic.com</t>
        </is>
      </c>
      <c r="U878" s="132">
        <f>HYPERLINK("https://my.pitchbook.com?c=54285-31", "View company online")</f>
      </c>
    </row>
    <row r="879">
      <c r="A879" s="9" t="inlineStr">
        <is>
          <t>57101-59</t>
        </is>
      </c>
      <c r="B879" s="10" t="inlineStr">
        <is>
          <t>TwitCasting</t>
        </is>
      </c>
      <c r="C879" s="11" t="inlineStr">
        <is>
          <t/>
        </is>
      </c>
      <c r="D879" s="12" t="n">
        <v>0.01132314558204586</v>
      </c>
      <c r="E879" s="13" t="n">
        <v>166.26362599571883</v>
      </c>
      <c r="F879" s="14" t="n">
        <v>41816.0</v>
      </c>
      <c r="G879" s="15" t="inlineStr">
        <is>
          <t>Early Stage VC</t>
        </is>
      </c>
      <c r="H879" s="16" t="inlineStr">
        <is>
          <t>Series A</t>
        </is>
      </c>
      <c r="I879" s="17" t="n">
        <v>5.0</v>
      </c>
      <c r="J879" s="18" t="inlineStr">
        <is>
          <t/>
        </is>
      </c>
      <c r="K879" s="19" t="inlineStr">
        <is>
          <t>Completed</t>
        </is>
      </c>
      <c r="L879" s="20" t="inlineStr">
        <is>
          <t>Privately Held (backing)</t>
        </is>
      </c>
      <c r="M879" s="21" t="inlineStr">
        <is>
          <t>Venture Capital-Backed</t>
        </is>
      </c>
      <c r="N879" s="22" t="inlineStr">
        <is>
          <t>The company raised $5 million of Series A venture funding from lead investor Sinar Mas on June 26, 2014. East Ventures also participated. The funding will be used to expand and develop product.</t>
        </is>
      </c>
      <c r="O879" s="23" t="inlineStr">
        <is>
          <t>East Ventures, Individual Investor, Sinar Mas Indonesia</t>
        </is>
      </c>
      <c r="P879" s="24" t="inlineStr">
        <is>
          <t/>
        </is>
      </c>
      <c r="Q879" s="25" t="inlineStr">
        <is>
          <t>Application Software</t>
        </is>
      </c>
      <c r="R879" s="26" t="inlineStr">
        <is>
          <t>Provider of online streaming platform. The company operates an online video streaming platform through which users can stream live videos for free.</t>
        </is>
      </c>
      <c r="S879" s="27" t="inlineStr">
        <is>
          <t>Tokyo, Japan</t>
        </is>
      </c>
      <c r="T879" s="28" t="inlineStr">
        <is>
          <t>us.twitcasting.tv</t>
        </is>
      </c>
      <c r="U879" s="131">
        <f>HYPERLINK("https://my.pitchbook.com?c=57101-59", "View company online")</f>
      </c>
    </row>
    <row r="880">
      <c r="A880" s="30" t="inlineStr">
        <is>
          <t>112835-62</t>
        </is>
      </c>
      <c r="B880" s="31" t="inlineStr">
        <is>
          <t>Twistlock</t>
        </is>
      </c>
      <c r="C880" s="32" t="inlineStr">
        <is>
          <t/>
        </is>
      </c>
      <c r="D880" s="33" t="n">
        <v>1.7555556346468582</v>
      </c>
      <c r="E880" s="34" t="n">
        <v>8.048721249937168</v>
      </c>
      <c r="F880" s="35" t="n">
        <v>42850.0</v>
      </c>
      <c r="G880" s="36" t="inlineStr">
        <is>
          <t>Early Stage VC</t>
        </is>
      </c>
      <c r="H880" s="37" t="inlineStr">
        <is>
          <t/>
        </is>
      </c>
      <c r="I880" s="38" t="n">
        <v>17.0</v>
      </c>
      <c r="J880" s="39" t="inlineStr">
        <is>
          <t/>
        </is>
      </c>
      <c r="K880" s="40" t="inlineStr">
        <is>
          <t>Completed</t>
        </is>
      </c>
      <c r="L880" s="41" t="inlineStr">
        <is>
          <t>Privately Held (backing)</t>
        </is>
      </c>
      <c r="M880" s="42" t="inlineStr">
        <is>
          <t>Venture Capital-Backed</t>
        </is>
      </c>
      <c r="N880" s="43" t="inlineStr">
        <is>
          <t>The company raised $17 million of Series B venture funding in a deal led by Polaris Partners on April 25, 2017. YL Ventures, Rally Ventures, Dell Technologies Capital and Ten Eleven Ventures also participated in the round. The funding will be used to scale the team and deliver innovative security solutions.</t>
        </is>
      </c>
      <c r="O880" s="44" t="inlineStr">
        <is>
          <t>Dell Technologies Capital, Polaris Partners, Rally Ventures, Ten Eleven Ventures, YL Ventures</t>
        </is>
      </c>
      <c r="P880" s="45" t="inlineStr">
        <is>
          <t/>
        </is>
      </c>
      <c r="Q880" s="46" t="inlineStr">
        <is>
          <t>Network Management Software</t>
        </is>
      </c>
      <c r="R880" s="47" t="inlineStr">
        <is>
          <t>Provider of a cloud-based container security platform created to maximize the benefits of virtual containers in the production environment. The company's security platform is an agentless architecture that utilizes advanced threat intelligence and machine learning, enabling organizations to consistently enforce security policies, monitor and audit activity as well as identify and isolate threats in a container or a cluster of containers.</t>
        </is>
      </c>
      <c r="S880" s="48" t="inlineStr">
        <is>
          <t>San Francisco, CA</t>
        </is>
      </c>
      <c r="T880" s="49" t="inlineStr">
        <is>
          <t>www.twistlock.com</t>
        </is>
      </c>
      <c r="U880" s="132">
        <f>HYPERLINK("https://my.pitchbook.com?c=112835-62", "View company online")</f>
      </c>
    </row>
    <row r="881">
      <c r="A881" s="9" t="inlineStr">
        <is>
          <t>57963-79</t>
        </is>
      </c>
      <c r="B881" s="10" t="inlineStr">
        <is>
          <t>Twist Bioscience</t>
        </is>
      </c>
      <c r="C881" s="11" t="inlineStr">
        <is>
          <t/>
        </is>
      </c>
      <c r="D881" s="12" t="n">
        <v>0.8953190525091788</v>
      </c>
      <c r="E881" s="13" t="n">
        <v>14.312426319887631</v>
      </c>
      <c r="F881" s="14" t="n">
        <v>42873.0</v>
      </c>
      <c r="G881" s="15" t="inlineStr">
        <is>
          <t>Later Stage VC</t>
        </is>
      </c>
      <c r="H881" s="16" t="inlineStr">
        <is>
          <t>Series D</t>
        </is>
      </c>
      <c r="I881" s="17" t="n">
        <v>49.31</v>
      </c>
      <c r="J881" s="18" t="n">
        <v>398.36</v>
      </c>
      <c r="K881" s="19" t="inlineStr">
        <is>
          <t>Completed</t>
        </is>
      </c>
      <c r="L881" s="20" t="inlineStr">
        <is>
          <t>Privately Held (backing)</t>
        </is>
      </c>
      <c r="M881" s="21" t="inlineStr">
        <is>
          <t>Venture Capital-Backed</t>
        </is>
      </c>
      <c r="N881" s="22" t="inlineStr">
        <is>
          <t>The company raised an additional $49.31 million of Series D venture funding from undisclosed investors on May 18, 2017, putting the pre-money valuation at $349 million. The funds will be used to further accelerate growth of the core gene synthesis business, as well as pharmaceutical discovery and data storage vertical strategies.</t>
        </is>
      </c>
      <c r="O881" s="23" t="inlineStr">
        <is>
          <t>AME Cloud Ventures, Applied Materials, Applied Ventures, ARCH Venture Partners, Asset Management Ventures, ATEL Ventures, Biomatics Capital, Boris Nikolic, Cormorant Asset Management, Fidelity Management &amp; Research, Foresite Capital Management, iGlobe Partners, Illumina Ventures, Mérieux Développement, NanoDimension, Paladin Capital Group, Tao Invest, TAO Venture Capital Partners, Vital Venture Capital, WuXi Healthcare Investment Consulting (Shanghai), Yuri Milner</t>
        </is>
      </c>
      <c r="P881" s="24" t="inlineStr">
        <is>
          <t/>
        </is>
      </c>
      <c r="Q881" s="25" t="inlineStr">
        <is>
          <t>Biotechnology</t>
        </is>
      </c>
      <c r="R881" s="26" t="inlineStr">
        <is>
          <t>Developer of disruptive Synthetic DNA technology designed to enable widespread health and sustainability. The company's proprietary semiconductor-based synthetic DNA manufacturing process features a high throughput silicon platform that synthesizes DNA on silicon instead of on traditional 96-well plastic plates to overcome the current inefficiencies of synthetic DNA production, enabling cost-effective, rapid, high-quality and high throughput synthetic gene production, which in turn, expedites the design, build and test cycle to enable personalized medicines, pharmaceuticals, sustainable chemical production, improved agriculture production, diagnostics and biodetection.</t>
        </is>
      </c>
      <c r="S881" s="27" t="inlineStr">
        <is>
          <t>San Francisco, CA</t>
        </is>
      </c>
      <c r="T881" s="28" t="inlineStr">
        <is>
          <t>www.twistbioscience.com</t>
        </is>
      </c>
      <c r="U881" s="131">
        <f>HYPERLINK("https://my.pitchbook.com?c=57963-79", "View company online")</f>
      </c>
    </row>
    <row r="882">
      <c r="A882" s="30" t="inlineStr">
        <is>
          <t>103301-02</t>
        </is>
      </c>
      <c r="B882" s="31" t="inlineStr">
        <is>
          <t>Twine Data</t>
        </is>
      </c>
      <c r="C882" s="32" t="inlineStr">
        <is>
          <t/>
        </is>
      </c>
      <c r="D882" s="33" t="n">
        <v>0.7688061028805091</v>
      </c>
      <c r="E882" s="34" t="n">
        <v>0.8733525529951469</v>
      </c>
      <c r="F882" s="35" t="n">
        <v>42857.0</v>
      </c>
      <c r="G882" s="36" t="inlineStr">
        <is>
          <t>Early Stage VC</t>
        </is>
      </c>
      <c r="H882" s="37" t="inlineStr">
        <is>
          <t>Series A</t>
        </is>
      </c>
      <c r="I882" s="38" t="n">
        <v>4.5</v>
      </c>
      <c r="J882" s="39" t="inlineStr">
        <is>
          <t/>
        </is>
      </c>
      <c r="K882" s="40" t="inlineStr">
        <is>
          <t>Completed</t>
        </is>
      </c>
      <c r="L882" s="41" t="inlineStr">
        <is>
          <t>Privately Held (backing)</t>
        </is>
      </c>
      <c r="M882" s="42" t="inlineStr">
        <is>
          <t>Venture Capital-Backed</t>
        </is>
      </c>
      <c r="N882" s="43" t="inlineStr">
        <is>
          <t>The company raised $4.5 million of Series A venture funding in a deal led by Aligned Partners on May 2, 2017. Other undisclosed investors also participated. The company intends to use the funds to expand its sales and marketing efforts as well as broaden and accelerate product development.</t>
        </is>
      </c>
      <c r="O882" s="44" t="inlineStr">
        <is>
          <t>Aligned Partners, Grape Arbor VC</t>
        </is>
      </c>
      <c r="P882" s="45" t="inlineStr">
        <is>
          <t/>
        </is>
      </c>
      <c r="Q882" s="46" t="inlineStr">
        <is>
          <t>Social/Platform Software</t>
        </is>
      </c>
      <c r="R882" s="47" t="inlineStr">
        <is>
          <t>Provider of a mobile data platform designed to connect what event consumers complete in applications to audiences that advertisers want to reach. The company's mobile data platform helps digital advertisers to target mobile consumers, enabling organizations to safely generate user insights and an incremental revenue stream while delivering mobile marketers high quality mobile data that boosts campaign ROI.</t>
        </is>
      </c>
      <c r="S882" s="48" t="inlineStr">
        <is>
          <t>Los Angeles, CA</t>
        </is>
      </c>
      <c r="T882" s="49" t="inlineStr">
        <is>
          <t>www.twinedata.com</t>
        </is>
      </c>
      <c r="U882" s="132">
        <f>HYPERLINK("https://my.pitchbook.com?c=103301-02", "View company online")</f>
      </c>
    </row>
    <row r="883">
      <c r="A883" s="9" t="inlineStr">
        <is>
          <t>98315-47</t>
        </is>
      </c>
      <c r="B883" s="10" t="inlineStr">
        <is>
          <t>Twindom</t>
        </is>
      </c>
      <c r="C883" s="11" t="inlineStr">
        <is>
          <t/>
        </is>
      </c>
      <c r="D883" s="12" t="n">
        <v>-2.4561914077354807E-4</v>
      </c>
      <c r="E883" s="13" t="n">
        <v>4.20558911369523</v>
      </c>
      <c r="F883" s="14" t="n">
        <v>42804.0</v>
      </c>
      <c r="G883" s="15" t="inlineStr">
        <is>
          <t>Seed Round</t>
        </is>
      </c>
      <c r="H883" s="16" t="inlineStr">
        <is>
          <t>Seed</t>
        </is>
      </c>
      <c r="I883" s="17" t="n">
        <v>2.39</v>
      </c>
      <c r="J883" s="18" t="n">
        <v>9.55</v>
      </c>
      <c r="K883" s="19" t="inlineStr">
        <is>
          <t>Completed</t>
        </is>
      </c>
      <c r="L883" s="20" t="inlineStr">
        <is>
          <t>Privately Held (backing)</t>
        </is>
      </c>
      <c r="M883" s="21" t="inlineStr">
        <is>
          <t>Venture Capital-Backed</t>
        </is>
      </c>
      <c r="N883" s="22" t="inlineStr">
        <is>
          <t>The company raised $2.39 million through a combination of seed funding from Seraph Group, AngelVest Group, and Timothy Draper on March 10, 2017, putting the pre-money valuation at $7.16 million. Other undisclosed investors also participated in the round.</t>
        </is>
      </c>
      <c r="O883" s="23" t="inlineStr">
        <is>
          <t>AngelVest Group, Boost VC, Seraph Group, Skydeck | Berkeley, Timothy Draper</t>
        </is>
      </c>
      <c r="P883" s="24" t="inlineStr">
        <is>
          <t/>
        </is>
      </c>
      <c r="Q883" s="25" t="inlineStr">
        <is>
          <t>Electronics (B2C)</t>
        </is>
      </c>
      <c r="R883" s="26" t="inlineStr">
        <is>
          <t>Developer of full-body 3D scanners designed to scan, print and deliver 3D printed miniatures of people. The company's full-body 3D scanners are mobile 3D scanners that utilizes 3D technology, captures images and creates 3D models of real people, enabling user to review, share and order the custom model.</t>
        </is>
      </c>
      <c r="S883" s="27" t="inlineStr">
        <is>
          <t>Berkeley, CA</t>
        </is>
      </c>
      <c r="T883" s="28" t="inlineStr">
        <is>
          <t>www.twindom.com</t>
        </is>
      </c>
      <c r="U883" s="131">
        <f>HYPERLINK("https://my.pitchbook.com?c=98315-47", "View company online")</f>
      </c>
    </row>
    <row r="884">
      <c r="A884" s="30" t="inlineStr">
        <is>
          <t>56358-55</t>
        </is>
      </c>
      <c r="B884" s="31" t="inlineStr">
        <is>
          <t>Twiki</t>
        </is>
      </c>
      <c r="C884" s="32" t="inlineStr">
        <is>
          <t/>
        </is>
      </c>
      <c r="D884" s="33" t="n">
        <v>-0.01856903785223915</v>
      </c>
      <c r="E884" s="34" t="n">
        <v>25.14573786335024</v>
      </c>
      <c r="F884" s="35" t="n">
        <v>39227.0</v>
      </c>
      <c r="G884" s="36" t="inlineStr">
        <is>
          <t>Early Stage VC</t>
        </is>
      </c>
      <c r="H884" s="37" t="inlineStr">
        <is>
          <t>Series A</t>
        </is>
      </c>
      <c r="I884" s="38" t="n">
        <v>1.0</v>
      </c>
      <c r="J884" s="39" t="n">
        <v>3.0</v>
      </c>
      <c r="K884" s="40" t="inlineStr">
        <is>
          <t>Completed</t>
        </is>
      </c>
      <c r="L884" s="41" t="inlineStr">
        <is>
          <t>Privately Held (backing)</t>
        </is>
      </c>
      <c r="M884" s="42" t="inlineStr">
        <is>
          <t>Venture Capital-Backed</t>
        </is>
      </c>
      <c r="N884" s="43" t="inlineStr">
        <is>
          <t>The company raised $1 million of Series A venture funding from Amidzad Partners on May 25, 2007, putting the pre-money valuation at $2 million.</t>
        </is>
      </c>
      <c r="O884" s="44" t="inlineStr">
        <is>
          <t>Amidzad Partners</t>
        </is>
      </c>
      <c r="P884" s="45" t="inlineStr">
        <is>
          <t/>
        </is>
      </c>
      <c r="Q884" s="46" t="inlineStr">
        <is>
          <t>Application Software</t>
        </is>
      </c>
      <c r="R884" s="47" t="inlineStr">
        <is>
          <t>Provider of an open source enterprise wiki and Web application platform. The company's platform transforms intranet and portals, creating a powerful knowledge infrastructure for organizations and easily create pattern based workflows that model business process.</t>
        </is>
      </c>
      <c r="S884" s="48" t="inlineStr">
        <is>
          <t>Sunnyvale, CA</t>
        </is>
      </c>
      <c r="T884" s="49" t="inlineStr">
        <is>
          <t>www.twiki.org</t>
        </is>
      </c>
      <c r="U884" s="132">
        <f>HYPERLINK("https://my.pitchbook.com?c=56358-55", "View company online")</f>
      </c>
    </row>
    <row r="885">
      <c r="A885" s="9" t="inlineStr">
        <is>
          <t>93035-89</t>
        </is>
      </c>
      <c r="B885" s="10" t="inlineStr">
        <is>
          <t>Twigtale</t>
        </is>
      </c>
      <c r="C885" s="11" t="inlineStr">
        <is>
          <t/>
        </is>
      </c>
      <c r="D885" s="12" t="n">
        <v>-0.6051827822900225</v>
      </c>
      <c r="E885" s="13" t="n">
        <v>4.548671552908841</v>
      </c>
      <c r="F885" s="14" t="n">
        <v>42053.0</v>
      </c>
      <c r="G885" s="15" t="inlineStr">
        <is>
          <t>Seed Round</t>
        </is>
      </c>
      <c r="H885" s="16" t="inlineStr">
        <is>
          <t>Seed</t>
        </is>
      </c>
      <c r="I885" s="17" t="n">
        <v>1.1</v>
      </c>
      <c r="J885" s="18" t="inlineStr">
        <is>
          <t/>
        </is>
      </c>
      <c r="K885" s="19" t="inlineStr">
        <is>
          <t>Completed</t>
        </is>
      </c>
      <c r="L885" s="20" t="inlineStr">
        <is>
          <t>Privately Held (backing)</t>
        </is>
      </c>
      <c r="M885" s="21" t="inlineStr">
        <is>
          <t>Venture Capital-Backed</t>
        </is>
      </c>
      <c r="N885" s="22" t="inlineStr">
        <is>
          <t>The company raised $1.1 million of seed funding in a deal led by Harvard Business School Alumni Angels of London and Tech Coast Angels on February 18, 2015. Right Side Capital Management, Disney Accelerator, Wolverine Angel Network and 10 angel individuals also participated in this round. Prior to that the company joined Disney Accelerator on October 15, 2014 and received $120,000 in funding. Techstars also participated in this round.</t>
        </is>
      </c>
      <c r="O885" s="23" t="inlineStr">
        <is>
          <t>Anne Wojcicki, Brad Murray, Disney Accelerator, Elizabeth and Colin Callender, Grant Van Cleve, Harvard Business School Alumni Angels of London, Lawrence Page, Lucy Southworth Page, Lynn Jurich, Peter Yewell, Right Side Capital Management, Shaun Arora, Tech Coast Angels, Techstars, Wendi Deng, Wolverine Angel Network</t>
        </is>
      </c>
      <c r="P885" s="24" t="inlineStr">
        <is>
          <t/>
        </is>
      </c>
      <c r="Q885" s="25" t="inlineStr">
        <is>
          <t>Social/Platform Software</t>
        </is>
      </c>
      <c r="R885" s="26" t="inlineStr">
        <is>
          <t>Operator of a web platform designed to provide personalized and accessible expert parenting advice. The company's web platform provides advice for every major transition a child undergoes, such as welcoming a new baby, moving, even experiencing death or cancer as well as helps to create personalized children books, videos and share photos, providing parents with advice's on child development and growth.</t>
        </is>
      </c>
      <c r="S885" s="27" t="inlineStr">
        <is>
          <t>Los Angeles, CA</t>
        </is>
      </c>
      <c r="T885" s="28" t="inlineStr">
        <is>
          <t>www.twigtale.com</t>
        </is>
      </c>
      <c r="U885" s="131">
        <f>HYPERLINK("https://my.pitchbook.com?c=93035-89", "View company online")</f>
      </c>
    </row>
    <row r="886">
      <c r="A886" s="30" t="inlineStr">
        <is>
          <t>160579-09</t>
        </is>
      </c>
      <c r="B886" s="31" t="inlineStr">
        <is>
          <t>Twentyeight-Seven</t>
        </is>
      </c>
      <c r="C886" s="32" t="inlineStr">
        <is>
          <t/>
        </is>
      </c>
      <c r="D886" s="33" t="n">
        <v>0.0</v>
      </c>
      <c r="E886" s="34" t="n">
        <v>0.08292764814503945</v>
      </c>
      <c r="F886" s="35" t="n">
        <v>42465.0</v>
      </c>
      <c r="G886" s="36" t="inlineStr">
        <is>
          <t>Early Stage VC</t>
        </is>
      </c>
      <c r="H886" s="37" t="inlineStr">
        <is>
          <t>Series A</t>
        </is>
      </c>
      <c r="I886" s="38" t="n">
        <v>1.0</v>
      </c>
      <c r="J886" s="39" t="inlineStr">
        <is>
          <t/>
        </is>
      </c>
      <c r="K886" s="40" t="inlineStr">
        <is>
          <t>Completed</t>
        </is>
      </c>
      <c r="L886" s="41" t="inlineStr">
        <is>
          <t>Privately Held (backing)</t>
        </is>
      </c>
      <c r="M886" s="42" t="inlineStr">
        <is>
          <t>Venture Capital-Backed</t>
        </is>
      </c>
      <c r="N886" s="43" t="inlineStr">
        <is>
          <t>The company raised $1 million of Series A venture funding from MPM Capital and other undisclosed investors on April 5, 2016.</t>
        </is>
      </c>
      <c r="O886" s="44" t="inlineStr">
        <is>
          <t>MPM Capital</t>
        </is>
      </c>
      <c r="P886" s="45" t="inlineStr">
        <is>
          <t/>
        </is>
      </c>
      <c r="Q886" s="46" t="inlineStr">
        <is>
          <t>Application Software</t>
        </is>
      </c>
      <c r="R886" s="47" t="inlineStr">
        <is>
          <t>Provider of an online event management platform. The company provides event planning and people management skill for baby birthday parties, wedding showers, large and small events.</t>
        </is>
      </c>
      <c r="S886" s="48" t="inlineStr">
        <is>
          <t>Mission Hills, CA</t>
        </is>
      </c>
      <c r="T886" s="49" t="inlineStr">
        <is>
          <t>www.twentyeightseven.com</t>
        </is>
      </c>
      <c r="U886" s="132">
        <f>HYPERLINK("https://my.pitchbook.com?c=160579-09", "View company online")</f>
      </c>
    </row>
    <row r="887">
      <c r="A887" s="9" t="inlineStr">
        <is>
          <t>54349-03</t>
        </is>
      </c>
      <c r="B887" s="10" t="inlineStr">
        <is>
          <t>Twenty20</t>
        </is>
      </c>
      <c r="C887" s="11" t="inlineStr">
        <is>
          <t/>
        </is>
      </c>
      <c r="D887" s="12" t="n">
        <v>1.3688824964454493</v>
      </c>
      <c r="E887" s="13" t="n">
        <v>86.54979582962265</v>
      </c>
      <c r="F887" s="14" t="n">
        <v>41921.0</v>
      </c>
      <c r="G887" s="15" t="inlineStr">
        <is>
          <t>Early Stage VC</t>
        </is>
      </c>
      <c r="H887" s="16" t="inlineStr">
        <is>
          <t>Series A</t>
        </is>
      </c>
      <c r="I887" s="17" t="n">
        <v>8.0</v>
      </c>
      <c r="J887" s="18" t="n">
        <v>38.55</v>
      </c>
      <c r="K887" s="19" t="inlineStr">
        <is>
          <t>Completed</t>
        </is>
      </c>
      <c r="L887" s="20" t="inlineStr">
        <is>
          <t>Privately Held (backing)</t>
        </is>
      </c>
      <c r="M887" s="21" t="inlineStr">
        <is>
          <t>Venture Capital-Backed</t>
        </is>
      </c>
      <c r="N887" s="22" t="inlineStr">
        <is>
          <t>The company raised $8 million of Series A venture funding in a deal led by Canaan Partners on October 9, 2014, putting the company's pre-money valuation at $30.55 million. First Round Capital, Bullpen Capital, Michael Liou and VersionOne Ventures also participated in the round.</t>
        </is>
      </c>
      <c r="O887" s="23" t="inlineStr">
        <is>
          <t>Ayaz ul Haque, Boris Wertz, Bullpen Capital, Canaan Partners, First Round Capital, Founders Fund, Meyer Malka, Michael Liou, Mike Jones, Mucker Capital, Newbury Ventures, Rising Tide Fund, Roham Gharegozlou, Scott Banister, Velos Partners, Version One Ventures</t>
        </is>
      </c>
      <c r="P887" s="24" t="inlineStr">
        <is>
          <t/>
        </is>
      </c>
      <c r="Q887" s="25" t="inlineStr">
        <is>
          <t>Social/Platform Software</t>
        </is>
      </c>
      <c r="R887" s="26" t="inlineStr">
        <is>
          <t>Provider of a marketplace of crowdsourced imagery. The company connects brands and creative agencies with authentic, real-world imagery crowdsourced from users around the world, helping the brands continually use new content and the photographers to monetize their work.</t>
        </is>
      </c>
      <c r="S887" s="27" t="inlineStr">
        <is>
          <t>Marina del Rey, CA</t>
        </is>
      </c>
      <c r="T887" s="28" t="inlineStr">
        <is>
          <t>www.twenty20.com</t>
        </is>
      </c>
      <c r="U887" s="131">
        <f>HYPERLINK("https://my.pitchbook.com?c=54349-03", "View company online")</f>
      </c>
    </row>
    <row r="888">
      <c r="A888" s="30" t="inlineStr">
        <is>
          <t>47555-20</t>
        </is>
      </c>
      <c r="B888" s="31" t="inlineStr">
        <is>
          <t>TwelvefoldMedia</t>
        </is>
      </c>
      <c r="C888" s="32" t="inlineStr">
        <is>
          <t/>
        </is>
      </c>
      <c r="D888" s="33" t="n">
        <v>-0.07349250690268208</v>
      </c>
      <c r="E888" s="34" t="n">
        <v>8.366277294243396</v>
      </c>
      <c r="F888" s="35" t="n">
        <v>42276.0</v>
      </c>
      <c r="G888" s="36" t="inlineStr">
        <is>
          <t>Later Stage VC</t>
        </is>
      </c>
      <c r="H888" s="37" t="inlineStr">
        <is>
          <t>Series B1</t>
        </is>
      </c>
      <c r="I888" s="38" t="n">
        <v>8.95</v>
      </c>
      <c r="J888" s="39" t="n">
        <v>13.46</v>
      </c>
      <c r="K888" s="40" t="inlineStr">
        <is>
          <t>Completed</t>
        </is>
      </c>
      <c r="L888" s="41" t="inlineStr">
        <is>
          <t>Privately Held (backing)</t>
        </is>
      </c>
      <c r="M888" s="42" t="inlineStr">
        <is>
          <t>Venture Capital-Backed</t>
        </is>
      </c>
      <c r="N888" s="43" t="inlineStr">
        <is>
          <t>The company raised $8.94 million of Series A1 and B1 of venture funding from undisclosed investors on September 29, 2015, putting the company's pre-money valuation at $4.51 million. Western Technology Investment also participated in the round.</t>
        </is>
      </c>
      <c r="O888" s="44" t="inlineStr">
        <is>
          <t>Ackerley Partners, Adams Capital Management, Bridgescale Partners, Eric Di Benedetto, Felicis Ventures, Individual Investor, Partner Ventures, SV Angel, Trans Cosmos USA, Western Technology Investment</t>
        </is>
      </c>
      <c r="P888" s="45" t="inlineStr">
        <is>
          <t/>
        </is>
      </c>
      <c r="Q888" s="46" t="inlineStr">
        <is>
          <t>Business/Productivity Software</t>
        </is>
      </c>
      <c r="R888" s="47" t="inlineStr">
        <is>
          <t>Developer of social media analysis and an advertising network. The company enables advertisers and bloggers to discover and harness the power of online influence.</t>
        </is>
      </c>
      <c r="S888" s="48" t="inlineStr">
        <is>
          <t>San Francisco, CA</t>
        </is>
      </c>
      <c r="T888" s="49" t="inlineStr">
        <is>
          <t>www.twelvefold.com</t>
        </is>
      </c>
      <c r="U888" s="132">
        <f>HYPERLINK("https://my.pitchbook.com?c=47555-20", "View company online")</f>
      </c>
    </row>
    <row r="889">
      <c r="A889" s="9" t="inlineStr">
        <is>
          <t>166330-54</t>
        </is>
      </c>
      <c r="B889" s="10" t="inlineStr">
        <is>
          <t>Twelve Springs</t>
        </is>
      </c>
      <c r="C889" s="11" t="inlineStr">
        <is>
          <t/>
        </is>
      </c>
      <c r="D889" s="12" t="n">
        <v>-0.0021735054100963545</v>
      </c>
      <c r="E889" s="13" t="n">
        <v>2.166678237348835</v>
      </c>
      <c r="F889" s="14" t="n">
        <v>41974.0</v>
      </c>
      <c r="G889" s="15" t="inlineStr">
        <is>
          <t>Early Stage VC</t>
        </is>
      </c>
      <c r="H889" s="16" t="inlineStr">
        <is>
          <t/>
        </is>
      </c>
      <c r="I889" s="17" t="inlineStr">
        <is>
          <t/>
        </is>
      </c>
      <c r="J889" s="18" t="inlineStr">
        <is>
          <t/>
        </is>
      </c>
      <c r="K889" s="19" t="inlineStr">
        <is>
          <t>Completed</t>
        </is>
      </c>
      <c r="L889" s="20" t="inlineStr">
        <is>
          <t>Privately Held (backing)</t>
        </is>
      </c>
      <c r="M889" s="21" t="inlineStr">
        <is>
          <t>Venture Capital-Backed</t>
        </is>
      </c>
      <c r="N889" s="22" t="inlineStr">
        <is>
          <t>The company raised an undisclosed amount of early venture funding from Tamarisc on December 1, 2014.</t>
        </is>
      </c>
      <c r="O889" s="23" t="inlineStr">
        <is>
          <t>Lippo Group, Morningside Group, Tamarisc</t>
        </is>
      </c>
      <c r="P889" s="24" t="inlineStr">
        <is>
          <t/>
        </is>
      </c>
      <c r="Q889" s="25" t="inlineStr">
        <is>
          <t>Hotels and Resorts</t>
        </is>
      </c>
      <c r="R889" s="26" t="inlineStr">
        <is>
          <t>Provider of hospitality and property management services. The company specializes in hospitality, property management, customer service, concierge services, eco-friendly practices, interior design, renovation and other related services in United States.</t>
        </is>
      </c>
      <c r="S889" s="27" t="inlineStr">
        <is>
          <t>Irvine, CA</t>
        </is>
      </c>
      <c r="T889" s="28" t="inlineStr">
        <is>
          <t>www.twelvesprings.com</t>
        </is>
      </c>
      <c r="U889" s="131">
        <f>HYPERLINK("https://my.pitchbook.com?c=166330-54", "View company online")</f>
      </c>
    </row>
    <row r="890">
      <c r="A890" s="30" t="inlineStr">
        <is>
          <t>52849-27</t>
        </is>
      </c>
      <c r="B890" s="31" t="inlineStr">
        <is>
          <t>TVU Networks</t>
        </is>
      </c>
      <c r="C890" s="32" t="inlineStr">
        <is>
          <t/>
        </is>
      </c>
      <c r="D890" s="33" t="n">
        <v>0.04432830874353342</v>
      </c>
      <c r="E890" s="34" t="n">
        <v>36.09764849595358</v>
      </c>
      <c r="F890" s="35" t="n">
        <v>41324.0</v>
      </c>
      <c r="G890" s="36" t="inlineStr">
        <is>
          <t>Later Stage VC</t>
        </is>
      </c>
      <c r="H890" s="37" t="inlineStr">
        <is>
          <t>Series C</t>
        </is>
      </c>
      <c r="I890" s="38" t="n">
        <v>4.01</v>
      </c>
      <c r="J890" s="39" t="n">
        <v>38.45</v>
      </c>
      <c r="K890" s="40" t="inlineStr">
        <is>
          <t>Completed</t>
        </is>
      </c>
      <c r="L890" s="41" t="inlineStr">
        <is>
          <t>Privately Held (backing)</t>
        </is>
      </c>
      <c r="M890" s="42" t="inlineStr">
        <is>
          <t>Venture Capital-Backed</t>
        </is>
      </c>
      <c r="N890" s="43" t="inlineStr">
        <is>
          <t>The company raised $4.01 million of Series C venture funding in a deal led by SoftBank Ventures Korea on February 19, 2013, putting the pre-money valuation at $34.44 million. Altos Ventures, William Tai and NAV.VC also participated. Previously, the company raised $500,000 of bridge financing from New Atlantic Ventures on November 14, 2012.</t>
        </is>
      </c>
      <c r="O890" s="44" t="inlineStr">
        <is>
          <t>A1 Investments, Altos Ventures, Juwon, M.P. Technologies, NAV.VC, Serra Venture Partners, SoftBank Ventures Korea, William Tai</t>
        </is>
      </c>
      <c r="P890" s="45" t="inlineStr">
        <is>
          <t/>
        </is>
      </c>
      <c r="Q890" s="46" t="inlineStr">
        <is>
          <t>Broadcasting, Radio and Television</t>
        </is>
      </c>
      <c r="R890" s="47" t="inlineStr">
        <is>
          <t>Provider of innovative IP news gathering services to organizations. The company manufactures live mobile television broadcasting equipment and offers an internet television broadcasting system using P2PTV technology.</t>
        </is>
      </c>
      <c r="S890" s="48" t="inlineStr">
        <is>
          <t>Mountain View, CA</t>
        </is>
      </c>
      <c r="T890" s="49" t="inlineStr">
        <is>
          <t>www.tvunetworks.com</t>
        </is>
      </c>
      <c r="U890" s="132">
        <f>HYPERLINK("https://my.pitchbook.com?c=52849-27", "View company online")</f>
      </c>
    </row>
    <row r="891">
      <c r="A891" s="9" t="inlineStr">
        <is>
          <t>111377-26</t>
        </is>
      </c>
      <c r="B891" s="10" t="inlineStr">
        <is>
          <t>TVSquared</t>
        </is>
      </c>
      <c r="C891" s="11" t="inlineStr">
        <is>
          <t/>
        </is>
      </c>
      <c r="D891" s="12" t="n">
        <v>0.06610023759337186</v>
      </c>
      <c r="E891" s="13" t="n">
        <v>5.160178786007821</v>
      </c>
      <c r="F891" s="14" t="n">
        <v>42786.0</v>
      </c>
      <c r="G891" s="15" t="inlineStr">
        <is>
          <t>Early Stage VC</t>
        </is>
      </c>
      <c r="H891" s="16" t="inlineStr">
        <is>
          <t/>
        </is>
      </c>
      <c r="I891" s="17" t="n">
        <v>9.5</v>
      </c>
      <c r="J891" s="18" t="inlineStr">
        <is>
          <t/>
        </is>
      </c>
      <c r="K891" s="19" t="inlineStr">
        <is>
          <t>Completed</t>
        </is>
      </c>
      <c r="L891" s="20" t="inlineStr">
        <is>
          <t>Privately Held (backing)</t>
        </is>
      </c>
      <c r="M891" s="21" t="inlineStr">
        <is>
          <t>Venture Capital-Backed</t>
        </is>
      </c>
      <c r="N891" s="22" t="inlineStr">
        <is>
          <t>The company raised $9.5 million of venture funding in a deal led by West Coast Capital on February 20, 2017. Scottish Enterprise, Co-Founder &amp; CEO Calum Smeaton and other undisclosed investors also participated in this round. The funds will be used to expand the company's global presence.</t>
        </is>
      </c>
      <c r="O891" s="23" t="inlineStr">
        <is>
          <t>CodeBase, Scottish Enterprise, West Coast Capital</t>
        </is>
      </c>
      <c r="P891" s="24" t="inlineStr">
        <is>
          <t/>
        </is>
      </c>
      <c r="Q891" s="25" t="inlineStr">
        <is>
          <t>Business/Productivity Software</t>
        </is>
      </c>
      <c r="R891" s="26" t="inlineStr">
        <is>
          <t>Provider of a cloud-based television advertising attribution platform designed to change the way advertisers, across the world, leverage television. The company's attribution platform provides accurate, same-day analytics and insights on television campaigns, enabling advertisers to know whether their campaigns are effective and help them to focus better on target customers and increase sales.</t>
        </is>
      </c>
      <c r="S891" s="27" t="inlineStr">
        <is>
          <t>Edinburgh, United Kingdom</t>
        </is>
      </c>
      <c r="T891" s="28" t="inlineStr">
        <is>
          <t>www.tvsquared.com</t>
        </is>
      </c>
      <c r="U891" s="131">
        <f>HYPERLINK("https://my.pitchbook.com?c=111377-26", "View company online")</f>
      </c>
    </row>
    <row r="892">
      <c r="A892" s="30" t="inlineStr">
        <is>
          <t>57816-46</t>
        </is>
      </c>
      <c r="B892" s="31" t="inlineStr">
        <is>
          <t>TVbeat</t>
        </is>
      </c>
      <c r="C892" s="32" t="inlineStr">
        <is>
          <t/>
        </is>
      </c>
      <c r="D892" s="33" t="n">
        <v>0.06507446352214892</v>
      </c>
      <c r="E892" s="34" t="n">
        <v>1.2519468621163536</v>
      </c>
      <c r="F892" s="35" t="n">
        <v>42186.0</v>
      </c>
      <c r="G892" s="36" t="inlineStr">
        <is>
          <t>Convertible Debt</t>
        </is>
      </c>
      <c r="H892" s="37" t="inlineStr">
        <is>
          <t/>
        </is>
      </c>
      <c r="I892" s="38" t="inlineStr">
        <is>
          <t/>
        </is>
      </c>
      <c r="J892" s="39" t="inlineStr">
        <is>
          <t/>
        </is>
      </c>
      <c r="K892" s="40" t="inlineStr">
        <is>
          <t>Completed</t>
        </is>
      </c>
      <c r="L892" s="41" t="inlineStr">
        <is>
          <t>Privately Held (backing)</t>
        </is>
      </c>
      <c r="M892" s="42" t="inlineStr">
        <is>
          <t>Venture Capital-Backed</t>
        </is>
      </c>
      <c r="N892" s="43" t="inlineStr">
        <is>
          <t>The company received an undisclosed amount of convertible debt financing from Episode 1 on July 1, 2015. Previously, the company raised $2.3 million of venture funding in a deal led by Episode 1 on March 4, 2014. Hemisphere Capital, Credo Ventures, Julien Coustaury and Damien Lane also participated.</t>
        </is>
      </c>
      <c r="O892" s="44" t="inlineStr">
        <is>
          <t>Credo Ventures, Damien Lane, Episode 1 Ventures, Hemisphere Capital, Julien Coustaury, Right Side Capital Management, Techstars</t>
        </is>
      </c>
      <c r="P892" s="45" t="inlineStr">
        <is>
          <t/>
        </is>
      </c>
      <c r="Q892" s="46" t="inlineStr">
        <is>
          <t>Broadcasting, Radio and Television</t>
        </is>
      </c>
      <c r="R892" s="47" t="inlineStr">
        <is>
          <t>Provider of a real-time cross-screen TV audience attribution platform designed to measure TV viewing on all connected devices. The company's TV audience attribution platform can process and contextualise raw TV and video datasets to deliver a cross-screen view of the viewers, enabling broadcast providers to bridge the linear and digital TV divide.</t>
        </is>
      </c>
      <c r="S892" s="48" t="inlineStr">
        <is>
          <t>London, United Kingdom</t>
        </is>
      </c>
      <c r="T892" s="49" t="inlineStr">
        <is>
          <t>www.tvbeat.com</t>
        </is>
      </c>
      <c r="U892" s="132">
        <f>HYPERLINK("https://my.pitchbook.com?c=57816-46", "View company online")</f>
      </c>
    </row>
    <row r="893">
      <c r="A893" s="9" t="inlineStr">
        <is>
          <t>62689-15</t>
        </is>
      </c>
      <c r="B893" s="10" t="inlineStr">
        <is>
          <t>TV4 Entertainment</t>
        </is>
      </c>
      <c r="C893" s="11" t="inlineStr">
        <is>
          <t/>
        </is>
      </c>
      <c r="D893" s="12" t="n">
        <v>-0.01548919257288363</v>
      </c>
      <c r="E893" s="13" t="n">
        <v>7.634829199659707</v>
      </c>
      <c r="F893" s="14" t="n">
        <v>42341.0</v>
      </c>
      <c r="G893" s="15" t="inlineStr">
        <is>
          <t>Convertible Debt</t>
        </is>
      </c>
      <c r="H893" s="16" t="inlineStr">
        <is>
          <t/>
        </is>
      </c>
      <c r="I893" s="17" t="n">
        <v>0.3</v>
      </c>
      <c r="J893" s="18" t="inlineStr">
        <is>
          <t/>
        </is>
      </c>
      <c r="K893" s="19" t="inlineStr">
        <is>
          <t>Completed</t>
        </is>
      </c>
      <c r="L893" s="20" t="inlineStr">
        <is>
          <t>Privately Held (backing)</t>
        </is>
      </c>
      <c r="M893" s="21" t="inlineStr">
        <is>
          <t>Venture Capital-Backed</t>
        </is>
      </c>
      <c r="N893" s="22" t="inlineStr">
        <is>
          <t>The company received $300,000 of bridge financing from Sky Ventures on December 3, 2015. Previously, it raised an estimated $5 million of Seed funding from Warner Bros. Entertainment, a subsidiary of Time Warner (NWSE: TWX), on April 25, 2014, putting the company's pre-money valuation at $7.3 million.</t>
        </is>
      </c>
      <c r="O893" s="23" t="inlineStr">
        <is>
          <t>Individual Investor, Sky Startup Investments &amp; Partnerships, Warner Bros. Entertainment</t>
        </is>
      </c>
      <c r="P893" s="24" t="inlineStr">
        <is>
          <t/>
        </is>
      </c>
      <c r="Q893" s="25" t="inlineStr">
        <is>
          <t>Broadcasting, Radio and Television</t>
        </is>
      </c>
      <c r="R893" s="26" t="inlineStr">
        <is>
          <t>Provider of media and entertainment services. The company provides broadband television programming and production services.</t>
        </is>
      </c>
      <c r="S893" s="27" t="inlineStr">
        <is>
          <t>Santa Monica, CA</t>
        </is>
      </c>
      <c r="T893" s="28" t="inlineStr">
        <is>
          <t>www.televisionfour.com</t>
        </is>
      </c>
      <c r="U893" s="131">
        <f>HYPERLINK("https://my.pitchbook.com?c=62689-15", "View company online")</f>
      </c>
    </row>
    <row r="894">
      <c r="A894" s="30" t="inlineStr">
        <is>
          <t>100136-53</t>
        </is>
      </c>
      <c r="B894" s="31" t="inlineStr">
        <is>
          <t>TV time</t>
        </is>
      </c>
      <c r="C894" s="32" t="inlineStr">
        <is>
          <t/>
        </is>
      </c>
      <c r="D894" s="33" t="n">
        <v>-0.11994077000957414</v>
      </c>
      <c r="E894" s="34" t="n">
        <v>36.18361581920904</v>
      </c>
      <c r="F894" s="35" t="n">
        <v>42188.0</v>
      </c>
      <c r="G894" s="36" t="inlineStr">
        <is>
          <t>Later Stage VC</t>
        </is>
      </c>
      <c r="H894" s="37" t="inlineStr">
        <is>
          <t>Series C</t>
        </is>
      </c>
      <c r="I894" s="38" t="n">
        <v>43.5</v>
      </c>
      <c r="J894" s="39" t="n">
        <v>603.5</v>
      </c>
      <c r="K894" s="40" t="inlineStr">
        <is>
          <t>Completed</t>
        </is>
      </c>
      <c r="L894" s="41" t="inlineStr">
        <is>
          <t>Privately Held (backing)</t>
        </is>
      </c>
      <c r="M894" s="42" t="inlineStr">
        <is>
          <t>Venture Capital-Backed</t>
        </is>
      </c>
      <c r="N894" s="43" t="inlineStr">
        <is>
          <t>The company raised $43.5 million of Series C venture funding in a deal led by Eminence Capital on July 3, 2015, putting the company's pre-money valuation at $560 million. IVP, HDS Capital, Floodgate Fund, and Raine Ventures also participated in the round. The company will use the funding to accelerate its product development and further build its operations and content partner relationships. Previously, the company raised $15 million of Series B venture funding from IVP, Greycroft Partners and Raine Ventures on December 3, 2014, putting the company's pre-money valuation at $135 million. William Morris Endeavor Entertainment, Ziffren Brittenhanm LLP, Bam Ventures, Compound Ventures, 8 individual investors and other undisclosed investors also participated.</t>
        </is>
      </c>
      <c r="O894" s="44" t="inlineStr">
        <is>
          <t>Ariel Emanuel, Bam Ventures, Compound Ventures, Eminence Capital, Floodgate Fund, Gordon Crawford, Gordon Rubenstein, Greycroft Partners, HDS Capital, Individual Investor, IVP, Michael Liou, Peter Guber, Raine Ventures, Ron Zuckerman, Scooter Braun, Steve Bernstein, Steve Bornstein, Thom Weisel, William Morris Endeavor Entertainment, Ziffren Brittenham LLP</t>
        </is>
      </c>
      <c r="P894" s="45" t="inlineStr">
        <is>
          <t/>
        </is>
      </c>
      <c r="Q894" s="46" t="inlineStr">
        <is>
          <t>Social/Platform Software</t>
        </is>
      </c>
      <c r="R894" s="47" t="inlineStr">
        <is>
          <t>Provider of an online platform for sharing clips of television shows. The company develops a mobile application that enables users to search and legally share clips of television shows, by creating videos directly from television shows.</t>
        </is>
      </c>
      <c r="S894" s="48" t="inlineStr">
        <is>
          <t>Santa Monica, CA</t>
        </is>
      </c>
      <c r="T894" s="49" t="inlineStr">
        <is>
          <t>www.tvtime.com</t>
        </is>
      </c>
      <c r="U894" s="132">
        <f>HYPERLINK("https://my.pitchbook.com?c=100136-53", "View company online")</f>
      </c>
    </row>
    <row r="895">
      <c r="A895" s="9" t="inlineStr">
        <is>
          <t>64498-96</t>
        </is>
      </c>
      <c r="B895" s="10" t="inlineStr">
        <is>
          <t>tuul</t>
        </is>
      </c>
      <c r="C895" s="11" t="inlineStr">
        <is>
          <t/>
        </is>
      </c>
      <c r="D895" s="12" t="n">
        <v>0.0</v>
      </c>
      <c r="E895" s="13" t="n">
        <v>0.2600015269506795</v>
      </c>
      <c r="F895" s="14" t="n">
        <v>41821.0</v>
      </c>
      <c r="G895" s="15" t="inlineStr">
        <is>
          <t>Seed Round</t>
        </is>
      </c>
      <c r="H895" s="16" t="inlineStr">
        <is>
          <t>Seed</t>
        </is>
      </c>
      <c r="I895" s="17" t="n">
        <v>1.7</v>
      </c>
      <c r="J895" s="18" t="inlineStr">
        <is>
          <t/>
        </is>
      </c>
      <c r="K895" s="19" t="inlineStr">
        <is>
          <t>Completed</t>
        </is>
      </c>
      <c r="L895" s="20" t="inlineStr">
        <is>
          <t>Privately Held (backing)</t>
        </is>
      </c>
      <c r="M895" s="21" t="inlineStr">
        <is>
          <t>Venture Capital-Backed</t>
        </is>
      </c>
      <c r="N895" s="22" t="inlineStr">
        <is>
          <t>The company raised $1.7 million of seed funding in a deal led by Greycroft Partners on July 1, 2014. Raine Ventures, Gordon Rubenstein, Streamlined Ventures, Ullas Naik and other undisclosed also participated in this round.</t>
        </is>
      </c>
      <c r="O895" s="23" t="inlineStr">
        <is>
          <t>Gordon Rubenstein, Greycroft Partners, Raine Ventures, Streamlined Ventures, Ullas Naik</t>
        </is>
      </c>
      <c r="P895" s="24" t="inlineStr">
        <is>
          <t/>
        </is>
      </c>
      <c r="Q895" s="25" t="inlineStr">
        <is>
          <t>Business/Productivity Software</t>
        </is>
      </c>
      <c r="R895" s="26" t="inlineStr">
        <is>
          <t>Provider of consumer interaction platform. The company is building the industry’s first workflow communication service simplifying interactions by transforming the way consumers interact with business.</t>
        </is>
      </c>
      <c r="S895" s="27" t="inlineStr">
        <is>
          <t>Santa Cruz, CA</t>
        </is>
      </c>
      <c r="T895" s="28" t="inlineStr">
        <is>
          <t>www.tuul.com</t>
        </is>
      </c>
      <c r="U895" s="131">
        <f>HYPERLINK("https://my.pitchbook.com?c=64498-96", "View company online")</f>
      </c>
    </row>
    <row r="896">
      <c r="A896" s="30" t="inlineStr">
        <is>
          <t>148416-58</t>
        </is>
      </c>
      <c r="B896" s="31" t="inlineStr">
        <is>
          <t>TutorMundi</t>
        </is>
      </c>
      <c r="C896" s="32" t="inlineStr">
        <is>
          <t/>
        </is>
      </c>
      <c r="D896" s="33" t="n">
        <v>-0.03981288559656926</v>
      </c>
      <c r="E896" s="34" t="n">
        <v>0.5322316289339134</v>
      </c>
      <c r="F896" s="35" t="n">
        <v>42654.0</v>
      </c>
      <c r="G896" s="36" t="inlineStr">
        <is>
          <t>Seed Round</t>
        </is>
      </c>
      <c r="H896" s="37" t="inlineStr">
        <is>
          <t>Seed</t>
        </is>
      </c>
      <c r="I896" s="38" t="n">
        <v>0.2</v>
      </c>
      <c r="J896" s="39" t="n">
        <v>3.79</v>
      </c>
      <c r="K896" s="40" t="inlineStr">
        <is>
          <t>Completed</t>
        </is>
      </c>
      <c r="L896" s="41" t="inlineStr">
        <is>
          <t>Privately Held (backing)</t>
        </is>
      </c>
      <c r="M896" s="42" t="inlineStr">
        <is>
          <t>Venture Capital-Backed</t>
        </is>
      </c>
      <c r="N896" s="43" t="inlineStr">
        <is>
          <t>The company raised $204,850 of seed funding from undisclosed investors on October 11, 2016, putting the pre-money valuation at $3.58 million.</t>
        </is>
      </c>
      <c r="O896" s="44" t="inlineStr">
        <is>
          <t/>
        </is>
      </c>
      <c r="P896" s="45" t="inlineStr">
        <is>
          <t/>
        </is>
      </c>
      <c r="Q896" s="46" t="inlineStr">
        <is>
          <t>Social/Platform Software</t>
        </is>
      </c>
      <c r="R896" s="47" t="inlineStr">
        <is>
          <t>Provider of an online tutoring platform. The company's platform enables tutors to help high school students with their homework.</t>
        </is>
      </c>
      <c r="S896" s="48" t="inlineStr">
        <is>
          <t>Palo Alto, CA</t>
        </is>
      </c>
      <c r="T896" s="49" t="inlineStr">
        <is>
          <t>www.tutormundi.com</t>
        </is>
      </c>
      <c r="U896" s="132">
        <f>HYPERLINK("https://my.pitchbook.com?c=148416-58", "View company online")</f>
      </c>
    </row>
    <row r="897">
      <c r="A897" s="9" t="inlineStr">
        <is>
          <t>159198-67</t>
        </is>
      </c>
      <c r="B897" s="10" t="inlineStr">
        <is>
          <t>Tusker Medical</t>
        </is>
      </c>
      <c r="C897" s="11" t="inlineStr">
        <is>
          <t/>
        </is>
      </c>
      <c r="D897" s="12" t="n">
        <v>0.0</v>
      </c>
      <c r="E897" s="13" t="n">
        <v>0.02702702702702703</v>
      </c>
      <c r="F897" s="14" t="n">
        <v>42402.0</v>
      </c>
      <c r="G897" s="15" t="inlineStr">
        <is>
          <t>Early Stage VC</t>
        </is>
      </c>
      <c r="H897" s="16" t="inlineStr">
        <is>
          <t>Series A</t>
        </is>
      </c>
      <c r="I897" s="17" t="inlineStr">
        <is>
          <t/>
        </is>
      </c>
      <c r="J897" s="18" t="inlineStr">
        <is>
          <t/>
        </is>
      </c>
      <c r="K897" s="19" t="inlineStr">
        <is>
          <t>Completed</t>
        </is>
      </c>
      <c r="L897" s="20" t="inlineStr">
        <is>
          <t>Privately Held (backing)</t>
        </is>
      </c>
      <c r="M897" s="21" t="inlineStr">
        <is>
          <t>Venture Capital-Backed</t>
        </is>
      </c>
      <c r="N897" s="22" t="inlineStr">
        <is>
          <t>The company raised an undisclosed amount of series A venture funding from Apple Tree partners and Johnson &amp; Johnson Innovation on February 2, 2016.</t>
        </is>
      </c>
      <c r="O897" s="23" t="inlineStr">
        <is>
          <t>Apple Tree Partners, Johnson &amp; Johnson Innovation - JJDC</t>
        </is>
      </c>
      <c r="P897" s="24" t="inlineStr">
        <is>
          <t/>
        </is>
      </c>
      <c r="Q897" s="25" t="inlineStr">
        <is>
          <t>Surgical Devices</t>
        </is>
      </c>
      <c r="R897" s="26" t="inlineStr">
        <is>
          <t>Developer of ear, nose and throat treatments. The company is developing a suite of pediatric-focused technologies designed to enable placement of tubes within the comfort of an office environment, eliminating the need for general anesthetics.</t>
        </is>
      </c>
      <c r="S897" s="27" t="inlineStr">
        <is>
          <t>Menlo Park, CA</t>
        </is>
      </c>
      <c r="T897" s="28" t="inlineStr">
        <is>
          <t>www.tuskermed.com</t>
        </is>
      </c>
      <c r="U897" s="131">
        <f>HYPERLINK("https://my.pitchbook.com?c=159198-67", "View company online")</f>
      </c>
    </row>
    <row r="898">
      <c r="A898" s="30" t="inlineStr">
        <is>
          <t>154085-50</t>
        </is>
      </c>
      <c r="B898" s="31" t="inlineStr">
        <is>
          <t>Tusk Therapeutics</t>
        </is>
      </c>
      <c r="C898" s="32" t="inlineStr">
        <is>
          <t/>
        </is>
      </c>
      <c r="D898" s="33" t="n">
        <v>0.0</v>
      </c>
      <c r="E898" s="34" t="n">
        <v>0.1891891891891892</v>
      </c>
      <c r="F898" s="35" t="inlineStr">
        <is>
          <t/>
        </is>
      </c>
      <c r="G898" s="36" t="inlineStr">
        <is>
          <t>Early Stage VC</t>
        </is>
      </c>
      <c r="H898" s="37" t="inlineStr">
        <is>
          <t/>
        </is>
      </c>
      <c r="I898" s="38" t="inlineStr">
        <is>
          <t/>
        </is>
      </c>
      <c r="J898" s="39" t="inlineStr">
        <is>
          <t/>
        </is>
      </c>
      <c r="K898" s="40" t="inlineStr">
        <is>
          <t>Completed</t>
        </is>
      </c>
      <c r="L898" s="41" t="inlineStr">
        <is>
          <t>Privately Held (backing)</t>
        </is>
      </c>
      <c r="M898" s="42" t="inlineStr">
        <is>
          <t>Venture Capital-Backed</t>
        </is>
      </c>
      <c r="N898" s="43" t="inlineStr">
        <is>
          <t>The company raised an undisclosed amount of venture funding from Droia.</t>
        </is>
      </c>
      <c r="O898" s="44" t="inlineStr">
        <is>
          <t>Droia Oncology Ventures, Stevenage Bioscience Catalyst</t>
        </is>
      </c>
      <c r="P898" s="45" t="inlineStr">
        <is>
          <t/>
        </is>
      </c>
      <c r="Q898" s="46" t="inlineStr">
        <is>
          <t>Biotechnology</t>
        </is>
      </c>
      <c r="R898" s="47" t="inlineStr">
        <is>
          <t>Developer of novel immune modulating therapeutics to fight cancer. The company is developing novel immune modulating therapeutics based on an in-depth understanding of the innate immune system with a special focus on Natural Killer (NK) cell biology.</t>
        </is>
      </c>
      <c r="S898" s="48" t="inlineStr">
        <is>
          <t>Stevenage, United Kingdom</t>
        </is>
      </c>
      <c r="T898" s="49" t="inlineStr">
        <is>
          <t>www.tusktherapeutics.com</t>
        </is>
      </c>
      <c r="U898" s="132">
        <f>HYPERLINK("https://my.pitchbook.com?c=154085-50", "View company online")</f>
      </c>
    </row>
    <row r="899">
      <c r="A899" s="9" t="inlineStr">
        <is>
          <t>111254-32</t>
        </is>
      </c>
      <c r="B899" s="10" t="inlineStr">
        <is>
          <t>Turvo</t>
        </is>
      </c>
      <c r="C899" s="11" t="inlineStr">
        <is>
          <t/>
        </is>
      </c>
      <c r="D899" s="12" t="n">
        <v>1.430965571466355</v>
      </c>
      <c r="E899" s="13" t="n">
        <v>0.7846410338119992</v>
      </c>
      <c r="F899" s="14" t="n">
        <v>42822.0</v>
      </c>
      <c r="G899" s="15" t="inlineStr">
        <is>
          <t>Early Stage VC</t>
        </is>
      </c>
      <c r="H899" s="16" t="inlineStr">
        <is>
          <t>Series A</t>
        </is>
      </c>
      <c r="I899" s="17" t="n">
        <v>25.0</v>
      </c>
      <c r="J899" s="18" t="n">
        <v>124.44</v>
      </c>
      <c r="K899" s="19" t="inlineStr">
        <is>
          <t>Completed</t>
        </is>
      </c>
      <c r="L899" s="20" t="inlineStr">
        <is>
          <t>Privately Held (backing)</t>
        </is>
      </c>
      <c r="M899" s="21" t="inlineStr">
        <is>
          <t>Venture Capital-Backed</t>
        </is>
      </c>
      <c r="N899" s="22" t="inlineStr">
        <is>
          <t>The company raised $25 million of Series A venture funding in a round led by Activant Capital Group on March 28, 2017, putting the pre-money valuation at $99.44 million. Felicis Ventures, Upside Partnership, Slow Ventures, Tony Fadell, Aaron Levie, Kevin Nazemi and Ravi Venkatesan also participated in this round.</t>
        </is>
      </c>
      <c r="O899" s="23" t="inlineStr">
        <is>
          <t>Aaron Levie, Activant Capital Group, Anthony Fadell, Felicis Ventures, Kevin Nazemi, Ravi Venkatesan, Slow Ventures, Upside Partnership</t>
        </is>
      </c>
      <c r="P899" s="24" t="inlineStr">
        <is>
          <t/>
        </is>
      </c>
      <c r="Q899" s="25" t="inlineStr">
        <is>
          <t>Communication Software</t>
        </is>
      </c>
      <c r="R899" s="26" t="inlineStr">
        <is>
          <t>Developer of a collaborative logistics platform designed to revolutionize the way things move by creating a standard way to share, communicate and collaborate in real time. The company's Turvo platform connects shippers, brokers and carriers to work together across the entire supply chain, enabling businesses make smarter, faster and more informed decisions.</t>
        </is>
      </c>
      <c r="S899" s="27" t="inlineStr">
        <is>
          <t>Sunnyvale, CA</t>
        </is>
      </c>
      <c r="T899" s="28" t="inlineStr">
        <is>
          <t>www.turvo.com</t>
        </is>
      </c>
      <c r="U899" s="131">
        <f>HYPERLINK("https://my.pitchbook.com?c=111254-32", "View company online")</f>
      </c>
    </row>
    <row r="900">
      <c r="A900" s="30" t="inlineStr">
        <is>
          <t>51391-00</t>
        </is>
      </c>
      <c r="B900" s="31" t="inlineStr">
        <is>
          <t>Turo</t>
        </is>
      </c>
      <c r="C900" s="32" t="inlineStr">
        <is>
          <t/>
        </is>
      </c>
      <c r="D900" s="33" t="n">
        <v>0.4393421148629646</v>
      </c>
      <c r="E900" s="34" t="n">
        <v>44.24679615398112</v>
      </c>
      <c r="F900" s="35" t="n">
        <v>42311.0</v>
      </c>
      <c r="G900" s="36" t="inlineStr">
        <is>
          <t>Later Stage VC</t>
        </is>
      </c>
      <c r="H900" s="37" t="inlineStr">
        <is>
          <t>Series C</t>
        </is>
      </c>
      <c r="I900" s="38" t="n">
        <v>47.0</v>
      </c>
      <c r="J900" s="39" t="n">
        <v>311.06</v>
      </c>
      <c r="K900" s="40" t="inlineStr">
        <is>
          <t>Completed</t>
        </is>
      </c>
      <c r="L900" s="41" t="inlineStr">
        <is>
          <t>Privately Held (backing)</t>
        </is>
      </c>
      <c r="M900" s="42" t="inlineStr">
        <is>
          <t>Venture Capital-Backed</t>
        </is>
      </c>
      <c r="N900" s="43" t="inlineStr">
        <is>
          <t>The company raised $47 million of Series C venture funding in a deal led by Kleiner Perkins Caufield &amp; Byers on November 3, 2015, putting the company's pre-money valuation at $264.06 million. August Capital, Canaan Partners, GV, Shasta Ventures, MassChallenge, Tao Capital Partners and Trinity Ventures also participated. The company intends to use the funds to enhance the customer experience, accelerate customer acquisition and expand into new geographies.</t>
        </is>
      </c>
      <c r="O900" s="44" t="inlineStr">
        <is>
          <t>August Capital, Canaan Partners, Dave Balter, Expansion Venture Capital, Fontinalis Partners, GV, Kevin Donahue, Kleiner Perkins Caufield &amp; Byers, Lisa Gansky, Maniv Mobility, MassChallenge, Norwest Venture Partners, Ryan Melohn, Shasta Ventures, Tao Capital Partners, Trinity Ventures, Webb Investment Network</t>
        </is>
      </c>
      <c r="P900" s="45" t="inlineStr">
        <is>
          <t/>
        </is>
      </c>
      <c r="Q900" s="46" t="inlineStr">
        <is>
          <t>Social/Platform Software</t>
        </is>
      </c>
      <c r="R900" s="47" t="inlineStr">
        <is>
          <t>Operator of an online car-rental marketplace. The company enables private car owners to rent out their vehicles on a short-term basis, via an online interface.</t>
        </is>
      </c>
      <c r="S900" s="48" t="inlineStr">
        <is>
          <t>San Francisco, CA</t>
        </is>
      </c>
      <c r="T900" s="49" t="inlineStr">
        <is>
          <t>www.turo.com</t>
        </is>
      </c>
      <c r="U900" s="132">
        <f>HYPERLINK("https://my.pitchbook.com?c=51391-00", "View company online")</f>
      </c>
    </row>
    <row r="901">
      <c r="A901" s="9" t="inlineStr">
        <is>
          <t>163737-37</t>
        </is>
      </c>
      <c r="B901" s="10" t="inlineStr">
        <is>
          <t>Turbine Labs</t>
        </is>
      </c>
      <c r="C901" s="11" t="inlineStr">
        <is>
          <t/>
        </is>
      </c>
      <c r="D901" s="12" t="n">
        <v>0.11441538445253047</v>
      </c>
      <c r="E901" s="13" t="n">
        <v>0.8531073446327684</v>
      </c>
      <c r="F901" s="14" t="inlineStr">
        <is>
          <t/>
        </is>
      </c>
      <c r="G901" s="15" t="inlineStr">
        <is>
          <t>Early Stage VC</t>
        </is>
      </c>
      <c r="H901" s="16" t="inlineStr">
        <is>
          <t>Series A</t>
        </is>
      </c>
      <c r="I901" s="17" t="inlineStr">
        <is>
          <t/>
        </is>
      </c>
      <c r="J901" s="18" t="inlineStr">
        <is>
          <t/>
        </is>
      </c>
      <c r="K901" s="19" t="inlineStr">
        <is>
          <t>Upcoming</t>
        </is>
      </c>
      <c r="L901" s="20" t="inlineStr">
        <is>
          <t>Privately Held (backing)</t>
        </is>
      </c>
      <c r="M901" s="21" t="inlineStr">
        <is>
          <t>Venture Capital-Backed</t>
        </is>
      </c>
      <c r="N901" s="22" t="inlineStr">
        <is>
          <t>The company is in talks to raise Series A of venture funding from undisclosed investors on July 25, 2016. Previously, the company raised an estimated $3.07 of seed venture funding from Upside Partnership and other undisclosed investors on October 23, 2015, putting the pre-money valuation at $9.55 million. The company is being actively tracked by PitchBook.</t>
        </is>
      </c>
      <c r="O901" s="23" t="inlineStr">
        <is>
          <t>Upside Partnership</t>
        </is>
      </c>
      <c r="P901" s="24" t="inlineStr">
        <is>
          <t/>
        </is>
      </c>
      <c r="Q901" s="25" t="inlineStr">
        <is>
          <t>Other Consumer Products and Services</t>
        </is>
      </c>
      <c r="R901" s="26" t="inlineStr">
        <is>
          <t>Provider of application based services. The company offers suite of products which enables user to iterate their software and architecture.</t>
        </is>
      </c>
      <c r="S901" s="27" t="inlineStr">
        <is>
          <t>San Francisco, CA</t>
        </is>
      </c>
      <c r="T901" s="28" t="inlineStr">
        <is>
          <t>www.turbinelabs.io</t>
        </is>
      </c>
      <c r="U901" s="131">
        <f>HYPERLINK("https://my.pitchbook.com?c=163737-37", "View company online")</f>
      </c>
    </row>
    <row r="902">
      <c r="A902" s="30" t="inlineStr">
        <is>
          <t>64142-83</t>
        </is>
      </c>
      <c r="B902" s="31" t="inlineStr">
        <is>
          <t>Tunitas Therapeutics</t>
        </is>
      </c>
      <c r="C902" s="32" t="inlineStr">
        <is>
          <t/>
        </is>
      </c>
      <c r="D902" s="33" t="n">
        <v>0.0</v>
      </c>
      <c r="E902" s="34" t="n">
        <v>0.9459459459459459</v>
      </c>
      <c r="F902" s="35" t="n">
        <v>42277.0</v>
      </c>
      <c r="G902" s="36" t="inlineStr">
        <is>
          <t>Later Stage VC</t>
        </is>
      </c>
      <c r="H902" s="37" t="inlineStr">
        <is>
          <t>Series A</t>
        </is>
      </c>
      <c r="I902" s="38" t="n">
        <v>10.0</v>
      </c>
      <c r="J902" s="39" t="n">
        <v>22.09</v>
      </c>
      <c r="K902" s="40" t="inlineStr">
        <is>
          <t>Completed</t>
        </is>
      </c>
      <c r="L902" s="41" t="inlineStr">
        <is>
          <t>Privately Held (backing)</t>
        </is>
      </c>
      <c r="M902" s="42" t="inlineStr">
        <is>
          <t>Venture Capital-Backed</t>
        </is>
      </c>
      <c r="N902" s="43" t="inlineStr">
        <is>
          <t>The company raised $10 million of Series A venture funding in a deal led by Ally Bridge Group and WuXi Ventures on September 30, 2015, putting the company's pre-money valuation at $12.08 million. RA Capital Advisors and RA Capital Management also participated. The company intends to use the funds to advance its lead fusion protein candidate, epsi-gam, through its initial Phase 1 clinical trials and the initiation of Phase 2a studies.</t>
        </is>
      </c>
      <c r="O902" s="44" t="inlineStr">
        <is>
          <t>Ally Bridge Group, National Institutes of Health, RA Capital Advisors, RA Capital Management, U.S. Department of Health and Human Services, WuXi Healthcare Investment Consulting (Shanghai)</t>
        </is>
      </c>
      <c r="P902" s="45" t="inlineStr">
        <is>
          <t/>
        </is>
      </c>
      <c r="Q902" s="46" t="inlineStr">
        <is>
          <t>Drug Discovery</t>
        </is>
      </c>
      <c r="R902" s="47" t="inlineStr">
        <is>
          <t>Developer of novel therapeutics designed to transform the treatment of patients with serious allergic diseases. The company's therapeutics facilitates the generation of fusion proteins that target novel inhibitory pathways on allergic cells, leading to inhibition of the key mediators of allergic hypersensitivity and the production of IgE, the antibody class that triggers the allergic response, enabling treatment of patients with any IgE-mediated disease, including asthma and severe food allergy.</t>
        </is>
      </c>
      <c r="S902" s="48" t="inlineStr">
        <is>
          <t>South San Francisco, CA</t>
        </is>
      </c>
      <c r="T902" s="49" t="inlineStr">
        <is>
          <t>www.tunitastherapeutics.com</t>
        </is>
      </c>
      <c r="U902" s="132">
        <f>HYPERLINK("https://my.pitchbook.com?c=64142-83", "View company online")</f>
      </c>
    </row>
    <row r="903">
      <c r="A903" s="9" t="inlineStr">
        <is>
          <t>54678-07</t>
        </is>
      </c>
      <c r="B903" s="10" t="inlineStr">
        <is>
          <t>TuneIn</t>
        </is>
      </c>
      <c r="C903" s="11" t="inlineStr">
        <is>
          <t/>
        </is>
      </c>
      <c r="D903" s="12" t="n">
        <v>-0.04067760028475016</v>
      </c>
      <c r="E903" s="13" t="n">
        <v>254.53346388287432</v>
      </c>
      <c r="F903" s="14" t="inlineStr">
        <is>
          <t/>
        </is>
      </c>
      <c r="G903" s="15" t="inlineStr">
        <is>
          <t>Later Stage VC</t>
        </is>
      </c>
      <c r="H903" s="16" t="inlineStr">
        <is>
          <t>Series G</t>
        </is>
      </c>
      <c r="I903" s="17" t="inlineStr">
        <is>
          <t/>
        </is>
      </c>
      <c r="J903" s="18" t="inlineStr">
        <is>
          <t/>
        </is>
      </c>
      <c r="K903" s="19" t="inlineStr">
        <is>
          <t>Upcoming</t>
        </is>
      </c>
      <c r="L903" s="20" t="inlineStr">
        <is>
          <t>Privately Held (backing)</t>
        </is>
      </c>
      <c r="M903" s="21" t="inlineStr">
        <is>
          <t>Venture Capital-Backed</t>
        </is>
      </c>
      <c r="N903" s="22" t="inlineStr">
        <is>
          <t>The company is rumored to be in talks with investors to raise an undisclosed amount of Series G venture funding from Expanding Capital and other investors as of May 5, 2017. Previously, the company raised an estimated $50 million of Series F venture funding from Comcast Ventures and Evolution Media Capital on December 15, 2015, putting the pre-money valuation at $275 million. The company is being actively tracked by PitchBook.</t>
        </is>
      </c>
      <c r="O903" s="23" t="inlineStr">
        <is>
          <t>Causeway Media Partners, Expanding Capital, General Catalyst Partners, GV, ICCP Venture Partners, Icon Ventures, IVP, Motus Ventures, Sequoia Capital, Startup Capital Ventures, Tech Ventures, True Ventures</t>
        </is>
      </c>
      <c r="P903" s="24" t="inlineStr">
        <is>
          <t/>
        </is>
      </c>
      <c r="Q903" s="25" t="inlineStr">
        <is>
          <t>Broadcasting, Radio and Television</t>
        </is>
      </c>
      <c r="R903" s="26" t="inlineStr">
        <is>
          <t>Provider of an online radio application designed to get access to sports and news streams from around the world. The company's TuneIn radio application offers access to AM, FM, HD and Internet radio stations, as well as on-demand shows and programs, providing listeners with a large selection of sports, music, talk and news radio.</t>
        </is>
      </c>
      <c r="S903" s="27" t="inlineStr">
        <is>
          <t>San Francisco, CA</t>
        </is>
      </c>
      <c r="T903" s="28" t="inlineStr">
        <is>
          <t>www.tunein.com</t>
        </is>
      </c>
      <c r="U903" s="131">
        <f>HYPERLINK("https://my.pitchbook.com?c=54678-07", "View company online")</f>
      </c>
    </row>
    <row r="904">
      <c r="A904" s="30" t="inlineStr">
        <is>
          <t>57055-69</t>
        </is>
      </c>
      <c r="B904" s="31" t="inlineStr">
        <is>
          <t>Tune</t>
        </is>
      </c>
      <c r="C904" s="32" t="n">
        <v>100.0</v>
      </c>
      <c r="D904" s="33" t="n">
        <v>2.1458002806606995</v>
      </c>
      <c r="E904" s="34" t="n">
        <v>50.00114521300962</v>
      </c>
      <c r="F904" s="35" t="n">
        <v>42033.0</v>
      </c>
      <c r="G904" s="36" t="inlineStr">
        <is>
          <t>Later Stage VC</t>
        </is>
      </c>
      <c r="H904" s="37" t="inlineStr">
        <is>
          <t>Series B</t>
        </is>
      </c>
      <c r="I904" s="38" t="n">
        <v>27.0</v>
      </c>
      <c r="J904" s="39" t="n">
        <v>269.08</v>
      </c>
      <c r="K904" s="40" t="inlineStr">
        <is>
          <t>Completed</t>
        </is>
      </c>
      <c r="L904" s="41" t="inlineStr">
        <is>
          <t>Privately Held (backing)</t>
        </is>
      </c>
      <c r="M904" s="42" t="inlineStr">
        <is>
          <t>Venture Capital-Backed</t>
        </is>
      </c>
      <c r="N904" s="43" t="inlineStr">
        <is>
          <t>The company raised $27 million of Series B venture funding in a deal led by Icon Ventures on January 29, 2015, putting the pre-money valuation at $242.08 million. Performance Equity Management, Accel Partners and other undisclosed investors also participated in the round. The new capital will help fuel more growth, with additional expansion planned for its newly-opened European operations in Berlin as well as at its hubs in Tel-Aviv, Seoul and New York as well as hire an additional 100 employees.</t>
        </is>
      </c>
      <c r="O904" s="44" t="inlineStr">
        <is>
          <t>Accel, Founder's Co-Op, Icon Ventures, Performance Equity Management, Robert Glaser</t>
        </is>
      </c>
      <c r="P904" s="45" t="inlineStr">
        <is>
          <t/>
        </is>
      </c>
      <c r="Q904" s="46" t="inlineStr">
        <is>
          <t>Media and Information Services (B2B)</t>
        </is>
      </c>
      <c r="R904" s="47" t="inlineStr">
        <is>
          <t>Provider of a performance marketing and attribution analytics platform. The company enables marketers to manage their own performance advertising relationships from tracking desktop offers and online campaigns to promoting mobile apps and other digital properties.</t>
        </is>
      </c>
      <c r="S904" s="48" t="inlineStr">
        <is>
          <t>Seattle, WA</t>
        </is>
      </c>
      <c r="T904" s="49" t="inlineStr">
        <is>
          <t>www.tune.com</t>
        </is>
      </c>
      <c r="U904" s="132">
        <f>HYPERLINK("https://my.pitchbook.com?c=57055-69", "View company online")</f>
      </c>
    </row>
    <row r="905">
      <c r="A905" s="9" t="inlineStr">
        <is>
          <t>58136-50</t>
        </is>
      </c>
      <c r="B905" s="10" t="inlineStr">
        <is>
          <t>Tumult</t>
        </is>
      </c>
      <c r="C905" s="11" t="inlineStr">
        <is>
          <t/>
        </is>
      </c>
      <c r="D905" s="12" t="n">
        <v>0.04971399367181728</v>
      </c>
      <c r="E905" s="13" t="n">
        <v>5.12384376164774</v>
      </c>
      <c r="F905" s="14" t="n">
        <v>40571.0</v>
      </c>
      <c r="G905" s="15" t="inlineStr">
        <is>
          <t>Accelerator/Incubator</t>
        </is>
      </c>
      <c r="H905" s="16" t="inlineStr">
        <is>
          <t/>
        </is>
      </c>
      <c r="I905" s="17" t="n">
        <v>0.27</v>
      </c>
      <c r="J905" s="18" t="inlineStr">
        <is>
          <t/>
        </is>
      </c>
      <c r="K905" s="19" t="inlineStr">
        <is>
          <t>Completed</t>
        </is>
      </c>
      <c r="L905" s="20" t="inlineStr">
        <is>
          <t>Privately Held (backing)</t>
        </is>
      </c>
      <c r="M905" s="21" t="inlineStr">
        <is>
          <t>Venture Capital-Backed</t>
        </is>
      </c>
      <c r="N905" s="22" t="inlineStr">
        <is>
          <t>The company joined Y Combinator as part of the Winter 2011 batch and received $270,000 in funding on January 28, 2011. The transaction included convertible debt funding of $150,000 from Start Fund.</t>
        </is>
      </c>
      <c r="O905" s="23" t="inlineStr">
        <is>
          <t>Start Fund, Y Combinator</t>
        </is>
      </c>
      <c r="P905" s="24" t="inlineStr">
        <is>
          <t/>
        </is>
      </c>
      <c r="Q905" s="25" t="inlineStr">
        <is>
          <t>Application Software</t>
        </is>
      </c>
      <c r="R905" s="26" t="inlineStr">
        <is>
          <t>Developer of web design applications. The company's products help users to produce HTML5 based animations, infographics, app prototypes, ebook educational content, games, personal web pages and other web content without writing codes.</t>
        </is>
      </c>
      <c r="S905" s="27" t="inlineStr">
        <is>
          <t>San Francisco, CA</t>
        </is>
      </c>
      <c r="T905" s="28" t="inlineStr">
        <is>
          <t>www.tumult.com</t>
        </is>
      </c>
      <c r="U905" s="131">
        <f>HYPERLINK("https://my.pitchbook.com?c=58136-50", "View company online")</f>
      </c>
    </row>
    <row r="906">
      <c r="A906" s="30" t="inlineStr">
        <is>
          <t>64003-33</t>
        </is>
      </c>
      <c r="B906" s="31" t="inlineStr">
        <is>
          <t>Tule Technologies</t>
        </is>
      </c>
      <c r="C906" s="32" t="inlineStr">
        <is>
          <t/>
        </is>
      </c>
      <c r="D906" s="33" t="inlineStr">
        <is>
          <t/>
        </is>
      </c>
      <c r="E906" s="34" t="inlineStr">
        <is>
          <t/>
        </is>
      </c>
      <c r="F906" s="35" t="n">
        <v>41913.0</v>
      </c>
      <c r="G906" s="36" t="inlineStr">
        <is>
          <t>Early Stage VC</t>
        </is>
      </c>
      <c r="H906" s="37" t="inlineStr">
        <is>
          <t/>
        </is>
      </c>
      <c r="I906" s="38" t="n">
        <v>0.98</v>
      </c>
      <c r="J906" s="39" t="inlineStr">
        <is>
          <t/>
        </is>
      </c>
      <c r="K906" s="40" t="inlineStr">
        <is>
          <t>Completed</t>
        </is>
      </c>
      <c r="L906" s="41" t="inlineStr">
        <is>
          <t>Privately Held (backing)</t>
        </is>
      </c>
      <c r="M906" s="42" t="inlineStr">
        <is>
          <t>Venture Capital-Backed</t>
        </is>
      </c>
      <c r="N906" s="43" t="inlineStr">
        <is>
          <t>The company raised venture funding from Village Capital, Khosla Ventures, Ben Choi, Bloomberg Beta and Next Level Capital in October 2014.</t>
        </is>
      </c>
      <c r="O906" s="44" t="inlineStr">
        <is>
          <t>Bloomberg Beta, Khosla Ventures, Next Level Ventures, Village Capital, Y Combinator</t>
        </is>
      </c>
      <c r="P906" s="45" t="inlineStr">
        <is>
          <t/>
        </is>
      </c>
      <c r="Q906" s="46" t="inlineStr">
        <is>
          <t>Electrical Equipment</t>
        </is>
      </c>
      <c r="R906" s="47" t="inlineStr">
        <is>
          <t>Provider of crop water use measurements over an entire field for making irrigation decisions. The company's sensor system provides the farmer with the one number that tells him how long to turn on his pumps.</t>
        </is>
      </c>
      <c r="S906" s="48" t="inlineStr">
        <is>
          <t>Oakland, CA</t>
        </is>
      </c>
      <c r="T906" s="49" t="inlineStr">
        <is>
          <t/>
        </is>
      </c>
      <c r="U906" s="132">
        <f>HYPERLINK("https://my.pitchbook.com?c=64003-33", "View company online")</f>
      </c>
    </row>
    <row r="907">
      <c r="A907" s="9" t="inlineStr">
        <is>
          <t>52785-01</t>
        </is>
      </c>
      <c r="B907" s="10" t="inlineStr">
        <is>
          <t>Tula Technology</t>
        </is>
      </c>
      <c r="C907" s="11" t="inlineStr">
        <is>
          <t/>
        </is>
      </c>
      <c r="D907" s="12" t="n">
        <v>0.0</v>
      </c>
      <c r="E907" s="13" t="n">
        <v>0.1891891891891892</v>
      </c>
      <c r="F907" s="14" t="n">
        <v>42215.0</v>
      </c>
      <c r="G907" s="15" t="inlineStr">
        <is>
          <t>Later Stage VC</t>
        </is>
      </c>
      <c r="H907" s="16" t="inlineStr">
        <is>
          <t>Series D</t>
        </is>
      </c>
      <c r="I907" s="17" t="inlineStr">
        <is>
          <t/>
        </is>
      </c>
      <c r="J907" s="18" t="inlineStr">
        <is>
          <t/>
        </is>
      </c>
      <c r="K907" s="19" t="inlineStr">
        <is>
          <t>Completed</t>
        </is>
      </c>
      <c r="L907" s="20" t="inlineStr">
        <is>
          <t>Privately Held (backing)</t>
        </is>
      </c>
      <c r="M907" s="21" t="inlineStr">
        <is>
          <t>Venture Capital-Backed</t>
        </is>
      </c>
      <c r="N907" s="22" t="inlineStr">
        <is>
          <t>The company raised an undisclosed amount of Series D venture funding in a deal led by Delphi Automotive on July 30, 2015. Other undisclosed investors also participated in this round. The funds will be used to advance the continued development and commercialization of the company's revolutionary, fuel-saving Dynamic Skip Fire (DSF) cylinder deactivation system.</t>
        </is>
      </c>
      <c r="O907" s="23" t="inlineStr">
        <is>
          <t>Delphi Automotive, General Motors, Khosla Ventures, Sequoia Capital, Sigma Partners, TriplePoint Capital</t>
        </is>
      </c>
      <c r="P907" s="24" t="inlineStr">
        <is>
          <t/>
        </is>
      </c>
      <c r="Q907" s="25" t="inlineStr">
        <is>
          <t>Other Equipment</t>
        </is>
      </c>
      <c r="R907" s="26" t="inlineStr">
        <is>
          <t>Developer of power management systems designed to bring revolutionary improvement in fuel efficiency and greenhouse gas emissions in the traditional internal combustion engine. The company's power management systems provides the ultimate extension of cylinder deactivation technology, so that any or all of the cylinders are fired or skipped, in a continuously variable manner, enabling customers to maintain improved fuel economy labels on vehicles and also helps the environment save up to one ton of carbon dioxide annually per vehicle.</t>
        </is>
      </c>
      <c r="S907" s="27" t="inlineStr">
        <is>
          <t>San Jose, CA</t>
        </is>
      </c>
      <c r="T907" s="28" t="inlineStr">
        <is>
          <t>www.tula-tech.com</t>
        </is>
      </c>
      <c r="U907" s="131">
        <f>HYPERLINK("https://my.pitchbook.com?c=52785-01", "View company online")</f>
      </c>
    </row>
    <row r="908">
      <c r="A908" s="30" t="inlineStr">
        <is>
          <t>58590-46</t>
        </is>
      </c>
      <c r="B908" s="31" t="inlineStr">
        <is>
          <t>Tuizzi</t>
        </is>
      </c>
      <c r="C908" s="32" t="inlineStr">
        <is>
          <t/>
        </is>
      </c>
      <c r="D908" s="33" t="n">
        <v>-0.02509836198285288</v>
      </c>
      <c r="E908" s="34" t="n">
        <v>1.4879622700919681</v>
      </c>
      <c r="F908" s="35" t="inlineStr">
        <is>
          <t/>
        </is>
      </c>
      <c r="G908" s="36" t="inlineStr">
        <is>
          <t>Angel (individual)</t>
        </is>
      </c>
      <c r="H908" s="37" t="inlineStr">
        <is>
          <t>Angel</t>
        </is>
      </c>
      <c r="I908" s="38" t="inlineStr">
        <is>
          <t/>
        </is>
      </c>
      <c r="J908" s="39" t="inlineStr">
        <is>
          <t/>
        </is>
      </c>
      <c r="K908" s="40" t="inlineStr">
        <is>
          <t>Completed</t>
        </is>
      </c>
      <c r="L908" s="41" t="inlineStr">
        <is>
          <t>Privately Held (backing)</t>
        </is>
      </c>
      <c r="M908" s="42" t="inlineStr">
        <is>
          <t>Venture Capital-Backed</t>
        </is>
      </c>
      <c r="N908" s="43" t="inlineStr">
        <is>
          <t>The company raised angel funding from Invicta Angels on an undisclosed date.</t>
        </is>
      </c>
      <c r="O908" s="44" t="inlineStr">
        <is>
          <t>Beta-i, Invicta Angels, Portugal Capital Ventures, UPTEC</t>
        </is>
      </c>
      <c r="P908" s="45" t="inlineStr">
        <is>
          <t/>
        </is>
      </c>
      <c r="Q908" s="46" t="inlineStr">
        <is>
          <t>Media and Information Services (B2B)</t>
        </is>
      </c>
      <c r="R908" s="47" t="inlineStr">
        <is>
          <t>Provider of an online platform for outdoor advertising. The company is an online platform that connects advertisers and media owners in one place, simplifying the communication between those seeking and those who sell media spaces.</t>
        </is>
      </c>
      <c r="S908" s="48" t="inlineStr">
        <is>
          <t>Porto, Portugal</t>
        </is>
      </c>
      <c r="T908" s="49" t="inlineStr">
        <is>
          <t>www.tuizzi.com</t>
        </is>
      </c>
      <c r="U908" s="132">
        <f>HYPERLINK("https://my.pitchbook.com?c=58590-46", "View company online")</f>
      </c>
    </row>
    <row r="909">
      <c r="A909" s="9" t="inlineStr">
        <is>
          <t>54888-04</t>
        </is>
      </c>
      <c r="B909" s="10" t="inlineStr">
        <is>
          <t>Tuition.io</t>
        </is>
      </c>
      <c r="C909" s="11" t="inlineStr">
        <is>
          <t/>
        </is>
      </c>
      <c r="D909" s="12" t="n">
        <v>-0.07333129946964223</v>
      </c>
      <c r="E909" s="13" t="n">
        <v>16.32008753410743</v>
      </c>
      <c r="F909" s="14" t="inlineStr">
        <is>
          <t/>
        </is>
      </c>
      <c r="G909" s="15" t="inlineStr">
        <is>
          <t>Secondary Transaction - Private</t>
        </is>
      </c>
      <c r="H909" s="16" t="inlineStr">
        <is>
          <t/>
        </is>
      </c>
      <c r="I909" s="17" t="inlineStr">
        <is>
          <t/>
        </is>
      </c>
      <c r="J909" s="18" t="inlineStr">
        <is>
          <t/>
        </is>
      </c>
      <c r="K909" s="19" t="inlineStr">
        <is>
          <t>Completed</t>
        </is>
      </c>
      <c r="L909" s="20" t="inlineStr">
        <is>
          <t>Privately Held (backing)</t>
        </is>
      </c>
      <c r="M909" s="21" t="inlineStr">
        <is>
          <t>Venture Capital-Backed</t>
        </is>
      </c>
      <c r="N909" s="22" t="inlineStr">
        <is>
          <t>Fenway Summer Ventures sold its stake in the company for an undisclosed amount. Previously, the company raised $5 million of Series A venture funding from MassMutual Ventures, Mohr Davidow Ventures and Wildcat Venture Partners on November 18, 2015, putting the company's pre-money valuation at $14.08 million. Double M Partners, Bryan Wolff, Sep Alavi, Mark Mullen and Neu Venture Capital also participated in the round.</t>
        </is>
      </c>
      <c r="O909" s="23" t="inlineStr">
        <is>
          <t>Atom Factory, Benjamin Narasin, Brian McLoughlin, Bryan Wolff, Conversion Capital, Double M Partners, Edward Zimmerman, FirstGrowth Venture Network, Individual Investor, Jerry Neumann, Launchpad LA, Mark Mullen, MassMutual Ventures, Mesa Ventures, Mohr Davidow Ventures, Neu Venture Capital, Residence Ventures, Richard Wolpert, Robert Glaser, Rothenberg Ventures, Todd Kimmel, Troy Carter, Wildcat Venture Partners, Will Smith</t>
        </is>
      </c>
      <c r="P909" s="24" t="inlineStr">
        <is>
          <t/>
        </is>
      </c>
      <c r="Q909" s="25" t="inlineStr">
        <is>
          <t>Application Software</t>
        </is>
      </c>
      <c r="R909" s="26" t="inlineStr">
        <is>
          <t>Provider of a tool for managing student loans. The company provides a tool for students to access private data regarding their education debt. Its platform allows them to load all of their student loans into one site, get detailed information on loans, visualize graphical representations of their debt load via desktop or mobile, figure out which repayment programs they are eligible for and create a plan for their unique situation.</t>
        </is>
      </c>
      <c r="S909" s="27" t="inlineStr">
        <is>
          <t>Santa Monica, CA</t>
        </is>
      </c>
      <c r="T909" s="28" t="inlineStr">
        <is>
          <t>www.tuition.io</t>
        </is>
      </c>
      <c r="U909" s="131">
        <f>HYPERLINK("https://my.pitchbook.com?c=54888-04", "View company online")</f>
      </c>
    </row>
    <row r="910">
      <c r="A910" s="30" t="inlineStr">
        <is>
          <t>55361-80</t>
        </is>
      </c>
      <c r="B910" s="31" t="inlineStr">
        <is>
          <t>Tubular Labs</t>
        </is>
      </c>
      <c r="C910" s="32" t="inlineStr">
        <is>
          <t/>
        </is>
      </c>
      <c r="D910" s="33" t="n">
        <v>0.6961686040279516</v>
      </c>
      <c r="E910" s="34" t="n">
        <v>3.528715706442309</v>
      </c>
      <c r="F910" s="35" t="n">
        <v>42409.0</v>
      </c>
      <c r="G910" s="36" t="inlineStr">
        <is>
          <t>Later Stage VC</t>
        </is>
      </c>
      <c r="H910" s="37" t="inlineStr">
        <is>
          <t>Series C</t>
        </is>
      </c>
      <c r="I910" s="38" t="n">
        <v>10.0</v>
      </c>
      <c r="J910" s="39" t="n">
        <v>124.19</v>
      </c>
      <c r="K910" s="40" t="inlineStr">
        <is>
          <t>Completed</t>
        </is>
      </c>
      <c r="L910" s="41" t="inlineStr">
        <is>
          <t>Privately Held (backing)</t>
        </is>
      </c>
      <c r="M910" s="42" t="inlineStr">
        <is>
          <t>Venture Capital-Backed</t>
        </is>
      </c>
      <c r="N910" s="43" t="inlineStr">
        <is>
          <t>The company raised $10 million of Series C venture funding led by Marker on June 27, 2016, putting the company's pre-money valuation at $114.19 million. FirstMark Capital also participated in the round. The new funding will be used for product development and hiring.</t>
        </is>
      </c>
      <c r="O910" s="44" t="inlineStr">
        <is>
          <t>Allen Debevoise, Bedrocket, Benjamin Ling, Canaan Partners, FirstMark Capital, Jonah Goodhart, Lerer Hippeau Ventures, Marker, Matt Coffin, Paul Bricault, SV Angel, Third Kind Venture Capital, Third Wave Digital, Tony Nethercutt</t>
        </is>
      </c>
      <c r="P910" s="45" t="inlineStr">
        <is>
          <t/>
        </is>
      </c>
      <c r="Q910" s="46" t="inlineStr">
        <is>
          <t>Media and Information Services (B2B)</t>
        </is>
      </c>
      <c r="R910" s="47" t="inlineStr">
        <is>
          <t>Provider of an online video intelligence platform. The company provides a real-time platform for enterprises to refine their content and distribution strategy, find and partner with influencers and optimize their paid media campaigns.</t>
        </is>
      </c>
      <c r="S910" s="48" t="inlineStr">
        <is>
          <t>Mountain View, CA</t>
        </is>
      </c>
      <c r="T910" s="49" t="inlineStr">
        <is>
          <t>www.tubularlabs.com</t>
        </is>
      </c>
      <c r="U910" s="132">
        <f>HYPERLINK("https://my.pitchbook.com?c=55361-80", "View company online")</f>
      </c>
    </row>
    <row r="911">
      <c r="A911" s="9" t="inlineStr">
        <is>
          <t>62721-19</t>
        </is>
      </c>
      <c r="B911" s="10" t="inlineStr">
        <is>
          <t>TSI Semiconductors</t>
        </is>
      </c>
      <c r="C911" s="11" t="inlineStr">
        <is>
          <t/>
        </is>
      </c>
      <c r="D911" s="12" t="n">
        <v>0.0</v>
      </c>
      <c r="E911" s="13" t="n">
        <v>0.8108108108108109</v>
      </c>
      <c r="F911" s="14" t="n">
        <v>42216.0</v>
      </c>
      <c r="G911" s="15" t="inlineStr">
        <is>
          <t>Later Stage VC</t>
        </is>
      </c>
      <c r="H911" s="16" t="inlineStr">
        <is>
          <t/>
        </is>
      </c>
      <c r="I911" s="17" t="inlineStr">
        <is>
          <t/>
        </is>
      </c>
      <c r="J911" s="18" t="inlineStr">
        <is>
          <t/>
        </is>
      </c>
      <c r="K911" s="19" t="inlineStr">
        <is>
          <t>Failed/Cancelled</t>
        </is>
      </c>
      <c r="L911" s="20" t="inlineStr">
        <is>
          <t>Privately Held (backing)</t>
        </is>
      </c>
      <c r="M911" s="21" t="inlineStr">
        <is>
          <t>Venture Capital-Backed</t>
        </is>
      </c>
      <c r="N911" s="22" t="inlineStr">
        <is>
          <t>The company was in talks to receive an undisclosed amount of venture funding on July 31, 2015. Subsequently the deal was cancelled. Previously, the company raised an undisclosed amount of venture funding from Somerset Group and Wafra Investment Advisory Group on March 30, 2011.</t>
        </is>
      </c>
      <c r="O911" s="23" t="inlineStr">
        <is>
          <t>Somerset Group, Wafra Investment Advisory Group</t>
        </is>
      </c>
      <c r="P911" s="24" t="inlineStr">
        <is>
          <t/>
        </is>
      </c>
      <c r="Q911" s="25" t="inlineStr">
        <is>
          <t>General Purpose Semiconductors</t>
        </is>
      </c>
      <c r="R911" s="26" t="inlineStr">
        <is>
          <t>Manufacturer of semiconductor chips. The company is a manufacturer of semiconductors that include analog/mixed-signal, deep-submicron, high-voltage BCDMOS, and SOI for power management applications.</t>
        </is>
      </c>
      <c r="S911" s="27" t="inlineStr">
        <is>
          <t>Roseville, CA</t>
        </is>
      </c>
      <c r="T911" s="28" t="inlineStr">
        <is>
          <t>www.tsisemi.com</t>
        </is>
      </c>
      <c r="U911" s="131">
        <f>HYPERLINK("https://my.pitchbook.com?c=62721-19", "View company online")</f>
      </c>
    </row>
    <row r="912">
      <c r="A912" s="30" t="inlineStr">
        <is>
          <t>118001-71</t>
        </is>
      </c>
      <c r="B912" s="31" t="inlineStr">
        <is>
          <t>TryTopic</t>
        </is>
      </c>
      <c r="C912" s="32" t="inlineStr">
        <is>
          <t/>
        </is>
      </c>
      <c r="D912" s="33" t="n">
        <v>0.0</v>
      </c>
      <c r="E912" s="34" t="n">
        <v>0.05534122131395529</v>
      </c>
      <c r="F912" s="35" t="n">
        <v>41228.0</v>
      </c>
      <c r="G912" s="36" t="inlineStr">
        <is>
          <t>Seed Round</t>
        </is>
      </c>
      <c r="H912" s="37" t="inlineStr">
        <is>
          <t>Seed</t>
        </is>
      </c>
      <c r="I912" s="38" t="inlineStr">
        <is>
          <t/>
        </is>
      </c>
      <c r="J912" s="39" t="inlineStr">
        <is>
          <t/>
        </is>
      </c>
      <c r="K912" s="40" t="inlineStr">
        <is>
          <t>Completed</t>
        </is>
      </c>
      <c r="L912" s="41" t="inlineStr">
        <is>
          <t>Privately Held (backing)</t>
        </is>
      </c>
      <c r="M912" s="42" t="inlineStr">
        <is>
          <t>Venture Capital-Backed</t>
        </is>
      </c>
      <c r="N912" s="43" t="inlineStr">
        <is>
          <t>The company raised an undisclosed amount of seed funding from Altair on November 15, 2012.</t>
        </is>
      </c>
      <c r="O912" s="44" t="inlineStr">
        <is>
          <t>Altair Capital</t>
        </is>
      </c>
      <c r="P912" s="45" t="inlineStr">
        <is>
          <t/>
        </is>
      </c>
      <c r="Q912" s="46" t="inlineStr">
        <is>
          <t>Social Content</t>
        </is>
      </c>
      <c r="R912" s="47" t="inlineStr">
        <is>
          <t>Provider of a mobile application designed to provide health and wellness event coordination services. The company's mobile application focuses on making it easier for people to do sports as well as enables them to discover the best sports games and leagues nearby.</t>
        </is>
      </c>
      <c r="S912" s="48" t="inlineStr">
        <is>
          <t>San Francisco, CA</t>
        </is>
      </c>
      <c r="T912" s="49" t="inlineStr">
        <is>
          <t>www.trytopic.com</t>
        </is>
      </c>
      <c r="U912" s="132">
        <f>HYPERLINK("https://my.pitchbook.com?c=118001-71", "View company online")</f>
      </c>
    </row>
    <row r="913">
      <c r="A913" s="9" t="inlineStr">
        <is>
          <t>149091-85</t>
        </is>
      </c>
      <c r="B913" s="10" t="inlineStr">
        <is>
          <t>Try.com</t>
        </is>
      </c>
      <c r="C913" s="11" t="n">
        <v>1.0</v>
      </c>
      <c r="D913" s="12" t="n">
        <v>-0.35893045051997996</v>
      </c>
      <c r="E913" s="13" t="n">
        <v>15.780392530650452</v>
      </c>
      <c r="F913" s="14" t="n">
        <v>42542.0</v>
      </c>
      <c r="G913" s="15" t="inlineStr">
        <is>
          <t>Early Stage VC</t>
        </is>
      </c>
      <c r="H913" s="16" t="inlineStr">
        <is>
          <t>Series A</t>
        </is>
      </c>
      <c r="I913" s="17" t="n">
        <v>5.46</v>
      </c>
      <c r="J913" s="18" t="n">
        <v>21.28</v>
      </c>
      <c r="K913" s="19" t="inlineStr">
        <is>
          <t>Completed</t>
        </is>
      </c>
      <c r="L913" s="20" t="inlineStr">
        <is>
          <t>Privately Held (backing)</t>
        </is>
      </c>
      <c r="M913" s="21" t="inlineStr">
        <is>
          <t>Venture Capital-Backed</t>
        </is>
      </c>
      <c r="N913" s="22" t="inlineStr">
        <is>
          <t>The company raised $5.5 million of a planned $6 million of Series A venture funding from Cherubic Ventures and other undisclosed investors on June 21, 2016, putting the company's pre-money valuation at $15.83 million.</t>
        </is>
      </c>
      <c r="O913" s="23" t="inlineStr">
        <is>
          <t>Cherubic Ventures, Gabbi Cahane, Gagan Biyani, Giordano Bruno Contestabile, Haystack, Ludlow Ventures, Playfair Capital, Raj Mehta, Seedcamp, Semil Shah</t>
        </is>
      </c>
      <c r="P913" s="24" t="inlineStr">
        <is>
          <t/>
        </is>
      </c>
      <c r="Q913" s="25" t="inlineStr">
        <is>
          <t>Internet Retail</t>
        </is>
      </c>
      <c r="R913" s="26" t="inlineStr">
        <is>
          <t>Provider of a personalized online shopping platform. The company offers an online platform that allows both men and women to try on clothes of multiple sizes from several major online retailers sitting at home.</t>
        </is>
      </c>
      <c r="S913" s="27" t="inlineStr">
        <is>
          <t>San Francisco, CA</t>
        </is>
      </c>
      <c r="T913" s="28" t="inlineStr">
        <is>
          <t>www.try.com</t>
        </is>
      </c>
      <c r="U913" s="131">
        <f>HYPERLINK("https://my.pitchbook.com?c=149091-85", "View company online")</f>
      </c>
    </row>
    <row r="914">
      <c r="A914" s="30" t="inlineStr">
        <is>
          <t>108821-80</t>
        </is>
      </c>
      <c r="B914" s="31" t="inlineStr">
        <is>
          <t>TruValue Labs</t>
        </is>
      </c>
      <c r="C914" s="32" t="inlineStr">
        <is>
          <t/>
        </is>
      </c>
      <c r="D914" s="33" t="n">
        <v>0.07863549369457007</v>
      </c>
      <c r="E914" s="34" t="n">
        <v>1.8991839586717996</v>
      </c>
      <c r="F914" s="35" t="n">
        <v>42709.0</v>
      </c>
      <c r="G914" s="36" t="inlineStr">
        <is>
          <t>Early Stage VC</t>
        </is>
      </c>
      <c r="H914" s="37" t="inlineStr">
        <is>
          <t>Series A2</t>
        </is>
      </c>
      <c r="I914" s="38" t="n">
        <v>1.96</v>
      </c>
      <c r="J914" s="39" t="n">
        <v>20.53</v>
      </c>
      <c r="K914" s="40" t="inlineStr">
        <is>
          <t>Completed</t>
        </is>
      </c>
      <c r="L914" s="41" t="inlineStr">
        <is>
          <t>Privately Held (backing)</t>
        </is>
      </c>
      <c r="M914" s="42" t="inlineStr">
        <is>
          <t>Venture Capital-Backed</t>
        </is>
      </c>
      <c r="N914" s="43" t="inlineStr">
        <is>
          <t>The company raised $1.96 million of Series A2 venture funding from The Entrepreneurs Fund and other undisclosed investors on December 5, 2016, putting the pre-money valuation at $18.57 million.</t>
        </is>
      </c>
      <c r="O914" s="44" t="inlineStr">
        <is>
          <t>The Entrepreneurs Fund</t>
        </is>
      </c>
      <c r="P914" s="45" t="inlineStr">
        <is>
          <t/>
        </is>
      </c>
      <c r="Q914" s="46" t="inlineStr">
        <is>
          <t>Business/Productivity Software</t>
        </is>
      </c>
      <c r="R914" s="47" t="inlineStr">
        <is>
          <t>Provider of actionable investment insights intended to apply artificial intelligence and machine learning on financial information about public companies obscured in unstructured data.The company's actionable investment insights are offered as SaaS and data API products which monitors thousands of public companies in tens of thousands of sources and analyzes ESG data to provide actionable investment insights in real-time enabling investors to invest on the right time.</t>
        </is>
      </c>
      <c r="S914" s="48" t="inlineStr">
        <is>
          <t>San Francisco, CA</t>
        </is>
      </c>
      <c r="T914" s="49" t="inlineStr">
        <is>
          <t>www.insight360.io</t>
        </is>
      </c>
      <c r="U914" s="132">
        <f>HYPERLINK("https://my.pitchbook.com?c=108821-80", "View company online")</f>
      </c>
    </row>
    <row r="915">
      <c r="A915" s="9" t="inlineStr">
        <is>
          <t>53676-55</t>
        </is>
      </c>
      <c r="B915" s="10" t="inlineStr">
        <is>
          <t>TruTouch Technologies</t>
        </is>
      </c>
      <c r="C915" s="11" t="n">
        <v>6.4</v>
      </c>
      <c r="D915" s="12" t="n">
        <v>0.0</v>
      </c>
      <c r="E915" s="13" t="n">
        <v>1.0948967601141515</v>
      </c>
      <c r="F915" s="14" t="n">
        <v>42879.0</v>
      </c>
      <c r="G915" s="15" t="inlineStr">
        <is>
          <t>Later Stage VC</t>
        </is>
      </c>
      <c r="H915" s="16" t="inlineStr">
        <is>
          <t/>
        </is>
      </c>
      <c r="I915" s="17" t="n">
        <v>0.5</v>
      </c>
      <c r="J915" s="18" t="inlineStr">
        <is>
          <t/>
        </is>
      </c>
      <c r="K915" s="19" t="inlineStr">
        <is>
          <t>Completed</t>
        </is>
      </c>
      <c r="L915" s="20" t="inlineStr">
        <is>
          <t>Privately Held (backing)</t>
        </is>
      </c>
      <c r="M915" s="21" t="inlineStr">
        <is>
          <t>Venture Capital-Backed</t>
        </is>
      </c>
      <c r="N915" s="22" t="inlineStr">
        <is>
          <t>The company raised $500,000 of venture funding from undisclosed investors on May 24, 2017.</t>
        </is>
      </c>
      <c r="O915" s="23" t="inlineStr">
        <is>
          <t>Boston Harbor Angels, DataPoint Ventures, Desert Angels, Flywheel Ventures, Fort Washington Capital Partners Group, Individual Investor, InLight Solutions, Internal Revenue Service, iTulip, Jerome Capital, KS Centoco, Launchpad Venture Group, New Mexico Community Capital, Omphalos Venture Partners, Synergy Ventures, Telemedicine and Advanced Technology Research Center, Verge Fund</t>
        </is>
      </c>
      <c r="P915" s="24" t="inlineStr">
        <is>
          <t/>
        </is>
      </c>
      <c r="Q915" s="25" t="inlineStr">
        <is>
          <t>Other Commercial Products</t>
        </is>
      </c>
      <c r="R915" s="26" t="inlineStr">
        <is>
          <t>Manufacturer of non-invasive intoxication measurement systems designed to enhance work-site safety. The company's non-invasive intoxication measurement systems offer accurate bio-metric alcohol test results, enabling clients to verify fitness of employees at work.</t>
        </is>
      </c>
      <c r="S915" s="27" t="inlineStr">
        <is>
          <t>Sudbury, MA</t>
        </is>
      </c>
      <c r="T915" s="28" t="inlineStr">
        <is>
          <t>www.trutouchtechnologies.com</t>
        </is>
      </c>
      <c r="U915" s="131">
        <f>HYPERLINK("https://my.pitchbook.com?c=53676-55", "View company online")</f>
      </c>
    </row>
    <row r="916">
      <c r="A916" s="30" t="inlineStr">
        <is>
          <t>62193-70</t>
        </is>
      </c>
      <c r="B916" s="31" t="inlineStr">
        <is>
          <t>TruTag Technologies</t>
        </is>
      </c>
      <c r="C916" s="32" t="inlineStr">
        <is>
          <t/>
        </is>
      </c>
      <c r="D916" s="33" t="n">
        <v>0.1558913374186345</v>
      </c>
      <c r="E916" s="34" t="n">
        <v>2.701297813235912</v>
      </c>
      <c r="F916" s="35" t="n">
        <v>41801.0</v>
      </c>
      <c r="G916" s="36" t="inlineStr">
        <is>
          <t>Early Stage VC</t>
        </is>
      </c>
      <c r="H916" s="37" t="inlineStr">
        <is>
          <t>Series A</t>
        </is>
      </c>
      <c r="I916" s="38" t="n">
        <v>16.78</v>
      </c>
      <c r="J916" s="39" t="n">
        <v>32.54</v>
      </c>
      <c r="K916" s="40" t="inlineStr">
        <is>
          <t>Completed</t>
        </is>
      </c>
      <c r="L916" s="41" t="inlineStr">
        <is>
          <t>Privately Held (backing)</t>
        </is>
      </c>
      <c r="M916" s="42" t="inlineStr">
        <is>
          <t>Venture Capital-Backed</t>
        </is>
      </c>
      <c r="N916" s="43" t="inlineStr">
        <is>
          <t>The company raised $16.8 million of Series A venture funding from Skai Ventures and DiNova Venture Capital on June 11, 2014, putting the pre-money valuation at $15.77 million. The funding was raised in the form of equity and warrants. Previously, the company received an undisclosed amount of financing from WuXi Venture Fund on April 3, 2014.</t>
        </is>
      </c>
      <c r="O916" s="44" t="inlineStr">
        <is>
          <t>DiNova Venture Capital, Skai Ventures, WuXi Healthcare Investment Consulting (Shanghai)</t>
        </is>
      </c>
      <c r="P916" s="45" t="inlineStr">
        <is>
          <t/>
        </is>
      </c>
      <c r="Q916" s="46" t="inlineStr">
        <is>
          <t>Media and Information Services (B2B)</t>
        </is>
      </c>
      <c r="R916" s="47" t="inlineStr">
        <is>
          <t>Developer of technology for product authentication and brand protection.The company is the creator of Trutags, a microtagging product achieved through nanotechnology which contains a unique code that can only be scanned using the company's proprietary instruments. The tags are biologically inert, edible and virtually invisible. The product is designed as a business-information tool as well as a product-security measure.</t>
        </is>
      </c>
      <c r="S916" s="48" t="inlineStr">
        <is>
          <t>Kapolei, HI</t>
        </is>
      </c>
      <c r="T916" s="49" t="inlineStr">
        <is>
          <t>www.trutags.com</t>
        </is>
      </c>
      <c r="U916" s="132">
        <f>HYPERLINK("https://my.pitchbook.com?c=62193-70", "View company online")</f>
      </c>
    </row>
    <row r="917">
      <c r="A917" s="9" t="inlineStr">
        <is>
          <t>52829-20</t>
        </is>
      </c>
      <c r="B917" s="10" t="inlineStr">
        <is>
          <t>TrustYou</t>
        </is>
      </c>
      <c r="C917" s="11" t="inlineStr">
        <is>
          <t/>
        </is>
      </c>
      <c r="D917" s="12" t="n">
        <v>0.2098558032945996</v>
      </c>
      <c r="E917" s="13" t="n">
        <v>24.56227810608798</v>
      </c>
      <c r="F917" s="14" t="n">
        <v>40806.0</v>
      </c>
      <c r="G917" s="15" t="inlineStr">
        <is>
          <t>Early Stage VC</t>
        </is>
      </c>
      <c r="H917" s="16" t="inlineStr">
        <is>
          <t>Series A</t>
        </is>
      </c>
      <c r="I917" s="17" t="n">
        <v>5.0</v>
      </c>
      <c r="J917" s="18" t="inlineStr">
        <is>
          <t/>
        </is>
      </c>
      <c r="K917" s="19" t="inlineStr">
        <is>
          <t>Completed</t>
        </is>
      </c>
      <c r="L917" s="20" t="inlineStr">
        <is>
          <t>Privately Held (backing)</t>
        </is>
      </c>
      <c r="M917" s="21" t="inlineStr">
        <is>
          <t>Venture Capital-Backed</t>
        </is>
      </c>
      <c r="N917" s="22" t="inlineStr">
        <is>
          <t>The company raised $5 million of Series A venture funding from Omnes Capital and Holtzbrink Ventures on September 20, 2011.</t>
        </is>
      </c>
      <c r="O917" s="23" t="inlineStr">
        <is>
          <t>Harbert Management, Holtzbrinck Ventures, Omnes Capital</t>
        </is>
      </c>
      <c r="P917" s="24" t="inlineStr">
        <is>
          <t/>
        </is>
      </c>
      <c r="Q917" s="25" t="inlineStr">
        <is>
          <t>Application Software</t>
        </is>
      </c>
      <c r="R917" s="26" t="inlineStr">
        <is>
          <t>Provider of a Software-as-a-Service platform. The company develops an online platform that allows travellers to search, book, review and benchmark hotels and resort based on their experiences.</t>
        </is>
      </c>
      <c r="S917" s="27" t="inlineStr">
        <is>
          <t>Munich, Germany</t>
        </is>
      </c>
      <c r="T917" s="28" t="inlineStr">
        <is>
          <t>www.trustyou.com</t>
        </is>
      </c>
      <c r="U917" s="131">
        <f>HYPERLINK("https://my.pitchbook.com?c=52829-20", "View company online")</f>
      </c>
    </row>
    <row r="918">
      <c r="A918" s="30" t="inlineStr">
        <is>
          <t>94281-58</t>
        </is>
      </c>
      <c r="B918" s="31" t="inlineStr">
        <is>
          <t>Trustlook</t>
        </is>
      </c>
      <c r="C918" s="32" t="inlineStr">
        <is>
          <t/>
        </is>
      </c>
      <c r="D918" s="33" t="n">
        <v>-0.3745997334611596</v>
      </c>
      <c r="E918" s="34" t="n">
        <v>21.57956223936327</v>
      </c>
      <c r="F918" s="35" t="n">
        <v>42354.0</v>
      </c>
      <c r="G918" s="36" t="inlineStr">
        <is>
          <t>Early Stage VC</t>
        </is>
      </c>
      <c r="H918" s="37" t="inlineStr">
        <is>
          <t>Series A</t>
        </is>
      </c>
      <c r="I918" s="38" t="n">
        <v>17.0</v>
      </c>
      <c r="J918" s="39" t="n">
        <v>37.63</v>
      </c>
      <c r="K918" s="40" t="inlineStr">
        <is>
          <t>Completed</t>
        </is>
      </c>
      <c r="L918" s="41" t="inlineStr">
        <is>
          <t>Privately Held (backing)</t>
        </is>
      </c>
      <c r="M918" s="42" t="inlineStr">
        <is>
          <t>Venture Capital-Backed</t>
        </is>
      </c>
      <c r="N918" s="43" t="inlineStr">
        <is>
          <t>The company raised $17 million of Series A venture funding from lead investor Trustbridge Partners on December 16, 2015, putting the company's pre-money valuation at $20.62 million. Sparkland Ventures, Linear Capital Partners, Yao Ma, Yu Yuan, Ping Wu, Linear Venture and Danhua Capital also participated. The company will use the funds to accelerate product development. Previously, the company raised $3 million of Pre-Series A venture funding from ZhenFund, Beijing Daqi Fortune Investment Company and Danhua Capital on September 4, 2014. The company will use these new funds to enhance its security research, new product development and expand go-to-market efforts. Wei Guo also participated in this round.</t>
        </is>
      </c>
      <c r="O918" s="44" t="inlineStr">
        <is>
          <t>Amino Capital, Beijing Daqi Fortune Investment Company, Danhua Capital, Hanhai Investment, Han-Sheong Lai, Linear Capital Partners, Linear Venture, Ping Wu, Sparkland Capital, Trustbridge Partners, Wei Guo, Yao Ma, Yu Yuan, ZhenFund</t>
        </is>
      </c>
      <c r="P918" s="45" t="inlineStr">
        <is>
          <t/>
        </is>
      </c>
      <c r="Q918" s="46" t="inlineStr">
        <is>
          <t>Network Management Software</t>
        </is>
      </c>
      <c r="R918" s="47" t="inlineStr">
        <is>
          <t>Developer of security software for Android devices. The company develops a static analysis platform for detecting suspicious behavior and malicious characteristics for Android operating systems.</t>
        </is>
      </c>
      <c r="S918" s="48" t="inlineStr">
        <is>
          <t>San Jose, CA</t>
        </is>
      </c>
      <c r="T918" s="49" t="inlineStr">
        <is>
          <t>www.trustlook.com</t>
        </is>
      </c>
      <c r="U918" s="132">
        <f>HYPERLINK("https://my.pitchbook.com?c=94281-58", "View company online")</f>
      </c>
    </row>
    <row r="919">
      <c r="A919" s="9" t="inlineStr">
        <is>
          <t>91238-23</t>
        </is>
      </c>
      <c r="B919" s="10" t="inlineStr">
        <is>
          <t>TrustLeaf</t>
        </is>
      </c>
      <c r="C919" s="11" t="inlineStr">
        <is>
          <t/>
        </is>
      </c>
      <c r="D919" s="12" t="n">
        <v>-0.037580378541109606</v>
      </c>
      <c r="E919" s="13" t="n">
        <v>1.1164961413671803</v>
      </c>
      <c r="F919" s="14" t="n">
        <v>42058.0</v>
      </c>
      <c r="G919" s="15" t="inlineStr">
        <is>
          <t>Angel (individual)</t>
        </is>
      </c>
      <c r="H919" s="16" t="inlineStr">
        <is>
          <t>Angel</t>
        </is>
      </c>
      <c r="I919" s="17" t="inlineStr">
        <is>
          <t/>
        </is>
      </c>
      <c r="J919" s="18" t="inlineStr">
        <is>
          <t/>
        </is>
      </c>
      <c r="K919" s="19" t="inlineStr">
        <is>
          <t>Completed</t>
        </is>
      </c>
      <c r="L919" s="20" t="inlineStr">
        <is>
          <t>Privately Held (backing)</t>
        </is>
      </c>
      <c r="M919" s="21" t="inlineStr">
        <is>
          <t>Venture Capital-Backed</t>
        </is>
      </c>
      <c r="N919" s="22" t="inlineStr">
        <is>
          <t>The company raised an undisclosed amount of angel funding from David L Chen on February 23, 2015. Previously, the company joined Plug and Play on February 23, 2015. Prior to that, the company raised an undisclosed amount of venture capital funding from China Growth Capital, Vincent Turner and Wally (Yingxiao) Wang on October 23, 2014. Oher undisclosed investors also participated. Before that, the company joined Founder Institute on August 19, 2014.</t>
        </is>
      </c>
      <c r="O919" s="23" t="inlineStr">
        <is>
          <t>China Growth Capital, David Chen, Founder Institute, Plug and Play Tech Center, Vincent Turner, Wally Wang</t>
        </is>
      </c>
      <c r="P919" s="24" t="inlineStr">
        <is>
          <t/>
        </is>
      </c>
      <c r="Q919" s="25" t="inlineStr">
        <is>
          <t>Social/Platform Software</t>
        </is>
      </c>
      <c r="R919" s="26" t="inlineStr">
        <is>
          <t>Provider of an online platform for crowdfunding early-stage businesses. The company helps early-stage startup founders get funding from their friends and family by automatically creating custom loan documents and making repayment planning a smooth process.</t>
        </is>
      </c>
      <c r="S919" s="27" t="inlineStr">
        <is>
          <t>Sunnyvale, CA</t>
        </is>
      </c>
      <c r="T919" s="28" t="inlineStr">
        <is>
          <t>www.trustleaf.com</t>
        </is>
      </c>
      <c r="U919" s="131">
        <f>HYPERLINK("https://my.pitchbook.com?c=91238-23", "View company online")</f>
      </c>
    </row>
    <row r="920">
      <c r="A920" s="30" t="inlineStr">
        <is>
          <t>111951-01</t>
        </is>
      </c>
      <c r="B920" s="31" t="inlineStr">
        <is>
          <t>TrustInSoft</t>
        </is>
      </c>
      <c r="C920" s="32" t="n">
        <v>0.52</v>
      </c>
      <c r="D920" s="33" t="n">
        <v>0.24432245658495017</v>
      </c>
      <c r="E920" s="34" t="n">
        <v>0.44835724765717394</v>
      </c>
      <c r="F920" s="35" t="n">
        <v>42803.0</v>
      </c>
      <c r="G920" s="36" t="inlineStr">
        <is>
          <t>Early Stage VC</t>
        </is>
      </c>
      <c r="H920" s="37" t="inlineStr">
        <is>
          <t/>
        </is>
      </c>
      <c r="I920" s="38" t="n">
        <v>1.2</v>
      </c>
      <c r="J920" s="39" t="inlineStr">
        <is>
          <t/>
        </is>
      </c>
      <c r="K920" s="40" t="inlineStr">
        <is>
          <t>Completed</t>
        </is>
      </c>
      <c r="L920" s="41" t="inlineStr">
        <is>
          <t>Privately Held (backing)</t>
        </is>
      </c>
      <c r="M920" s="42" t="inlineStr">
        <is>
          <t>Venture Capital-Backed</t>
        </is>
      </c>
      <c r="N920" s="43" t="inlineStr">
        <is>
          <t>The company raised $1.2 million of venture funding from IDInvest Partners on March 9, 2017. The company will use the funds to make its technology available to wider audience of code developers around the world.</t>
        </is>
      </c>
      <c r="O920" s="44" t="inlineStr">
        <is>
          <t>IdInvest Partners, Starburst Accelerator</t>
        </is>
      </c>
      <c r="P920" s="45" t="inlineStr">
        <is>
          <t/>
        </is>
      </c>
      <c r="Q920" s="46" t="inlineStr">
        <is>
          <t>Software Development Applications</t>
        </is>
      </c>
      <c r="R920" s="47" t="inlineStr">
        <is>
          <t>Provider of an advanced static code analyzer designed to find source code flaws. The company's advanced static code analyzer performs comprehensive mathematical analyses of software to find and resolve source code flaws and also detect all vulnerabilities, enabling software designers and validation teams to verify and detect flaws in their critical software.</t>
        </is>
      </c>
      <c r="S920" s="48" t="inlineStr">
        <is>
          <t>San Francisco, CA</t>
        </is>
      </c>
      <c r="T920" s="49" t="inlineStr">
        <is>
          <t>www.trust-in-soft.com</t>
        </is>
      </c>
      <c r="U920" s="132">
        <f>HYPERLINK("https://my.pitchbook.com?c=111951-01", "View company online")</f>
      </c>
    </row>
    <row r="921">
      <c r="A921" s="9" t="inlineStr">
        <is>
          <t>102481-66</t>
        </is>
      </c>
      <c r="B921" s="10" t="inlineStr">
        <is>
          <t>Trusting Social</t>
        </is>
      </c>
      <c r="C921" s="11" t="inlineStr">
        <is>
          <t/>
        </is>
      </c>
      <c r="D921" s="12" t="n">
        <v>0.15356023720504633</v>
      </c>
      <c r="E921" s="13" t="n">
        <v>1.0649481832606371</v>
      </c>
      <c r="F921" s="14" t="n">
        <v>42093.0</v>
      </c>
      <c r="G921" s="15" t="inlineStr">
        <is>
          <t>Seed Round</t>
        </is>
      </c>
      <c r="H921" s="16" t="inlineStr">
        <is>
          <t>Seed</t>
        </is>
      </c>
      <c r="I921" s="17" t="inlineStr">
        <is>
          <t/>
        </is>
      </c>
      <c r="J921" s="18" t="inlineStr">
        <is>
          <t/>
        </is>
      </c>
      <c r="K921" s="19" t="inlineStr">
        <is>
          <t>Completed</t>
        </is>
      </c>
      <c r="L921" s="20" t="inlineStr">
        <is>
          <t>Privately Held (backing)</t>
        </is>
      </c>
      <c r="M921" s="21" t="inlineStr">
        <is>
          <t>Venture Capital-Backed</t>
        </is>
      </c>
      <c r="N921" s="22" t="inlineStr">
        <is>
          <t>The company raised an undisclosed amount of seed funding from Kima Ventures and 500 Startups on March 30, 2015.</t>
        </is>
      </c>
      <c r="O921" s="23" t="inlineStr">
        <is>
          <t>500 Startups, Kima Ventures, Plug and Play Tech Center</t>
        </is>
      </c>
      <c r="P921" s="24" t="inlineStr">
        <is>
          <t/>
        </is>
      </c>
      <c r="Q921" s="25" t="inlineStr">
        <is>
          <t>Financial Software</t>
        </is>
      </c>
      <c r="R921" s="26" t="inlineStr">
        <is>
          <t>Provider of consumer credit score data designed to make lending faster, cheaper and friendlier. The company's online platform offers consumer credit score and traditional credit score checks based on social, web and mobile data, enabling lenders to detect identity fraud, verify application data and evaluate credit risk.</t>
        </is>
      </c>
      <c r="S921" s="27" t="inlineStr">
        <is>
          <t>Sunnyvale, CA</t>
        </is>
      </c>
      <c r="T921" s="28" t="inlineStr">
        <is>
          <t>www.trustingsocial.com</t>
        </is>
      </c>
      <c r="U921" s="131">
        <f>HYPERLINK("https://my.pitchbook.com?c=102481-66", "View company online")</f>
      </c>
    </row>
    <row r="922">
      <c r="A922" s="30" t="inlineStr">
        <is>
          <t>170578-90</t>
        </is>
      </c>
      <c r="B922" s="31" t="inlineStr">
        <is>
          <t>Trusted Mobility</t>
        </is>
      </c>
      <c r="C922" s="32" t="inlineStr">
        <is>
          <t/>
        </is>
      </c>
      <c r="D922" s="33" t="n">
        <v>0.0</v>
      </c>
      <c r="E922" s="34" t="n">
        <v>0.13422370681029488</v>
      </c>
      <c r="F922" s="35" t="inlineStr">
        <is>
          <t/>
        </is>
      </c>
      <c r="G922" s="36" t="inlineStr">
        <is>
          <t>Early Stage VC</t>
        </is>
      </c>
      <c r="H922" s="37" t="inlineStr">
        <is>
          <t/>
        </is>
      </c>
      <c r="I922" s="38" t="inlineStr">
        <is>
          <t/>
        </is>
      </c>
      <c r="J922" s="39" t="inlineStr">
        <is>
          <t/>
        </is>
      </c>
      <c r="K922" s="40" t="inlineStr">
        <is>
          <t>Completed</t>
        </is>
      </c>
      <c r="L922" s="41" t="inlineStr">
        <is>
          <t>Privately Held (backing)</t>
        </is>
      </c>
      <c r="M922" s="42" t="inlineStr">
        <is>
          <t>Venture Capital-Backed</t>
        </is>
      </c>
      <c r="N922" s="43" t="inlineStr">
        <is>
          <t>The company raised an undisclosed amount of venture funding from Torrey Pines Investment.</t>
        </is>
      </c>
      <c r="O922" s="44" t="inlineStr">
        <is>
          <t>Torrey Pines Investment</t>
        </is>
      </c>
      <c r="P922" s="45" t="inlineStr">
        <is>
          <t/>
        </is>
      </c>
      <c r="Q922" s="46" t="inlineStr">
        <is>
          <t>Other Services (B2C Non-Financial)</t>
        </is>
      </c>
      <c r="R922" s="47" t="inlineStr">
        <is>
          <t>Retailer of medical supplies and equipment created to provide effective and prompt service and maintenance to customers with mobility needs. The company's repairing or maintaining mobility device retail store, specialize in repair, maintenance and service of power wheelchairs and mobility devices on-site and gives temporary replacement rental if the chair repair requires device to come to audited service centers, enabling mobility patients to get service and care at a cost effective, prompt and respectful manner, and helping them to keep their power wheelchairs working.</t>
        </is>
      </c>
      <c r="S922" s="48" t="inlineStr">
        <is>
          <t>San Diego, CA</t>
        </is>
      </c>
      <c r="T922" s="49" t="inlineStr">
        <is>
          <t>www.trustedmobilityrepair.com</t>
        </is>
      </c>
      <c r="U922" s="132">
        <f>HYPERLINK("https://my.pitchbook.com?c=170578-90", "View company online")</f>
      </c>
    </row>
    <row r="923">
      <c r="A923" s="9" t="inlineStr">
        <is>
          <t>55323-82</t>
        </is>
      </c>
      <c r="B923" s="10" t="inlineStr">
        <is>
          <t>Trusted Insight</t>
        </is>
      </c>
      <c r="C923" s="11" t="inlineStr">
        <is>
          <t/>
        </is>
      </c>
      <c r="D923" s="12" t="n">
        <v>-0.08337755492578862</v>
      </c>
      <c r="E923" s="13" t="n">
        <v>4.913244708546846</v>
      </c>
      <c r="F923" s="14" t="n">
        <v>42138.0</v>
      </c>
      <c r="G923" s="15" t="inlineStr">
        <is>
          <t>Early Stage VC</t>
        </is>
      </c>
      <c r="H923" s="16" t="inlineStr">
        <is>
          <t>Series A1</t>
        </is>
      </c>
      <c r="I923" s="17" t="n">
        <v>5.22</v>
      </c>
      <c r="J923" s="18" t="inlineStr">
        <is>
          <t/>
        </is>
      </c>
      <c r="K923" s="19" t="inlineStr">
        <is>
          <t>Completed</t>
        </is>
      </c>
      <c r="L923" s="20" t="inlineStr">
        <is>
          <t>Privately Held (backing)</t>
        </is>
      </c>
      <c r="M923" s="21" t="inlineStr">
        <is>
          <t>Venture Capital-Backed</t>
        </is>
      </c>
      <c r="N923" s="22" t="inlineStr">
        <is>
          <t>The company raised $5.22 million of Series A and Series A1 venture funding in a deal led by BootstrapLabs on May 14, 2015. Route 66 Ventures, Cross Border Angels, Morado Venture Partners, DoubleRock and The Hive also participated in the round.</t>
        </is>
      </c>
      <c r="O923" s="23" t="inlineStr">
        <is>
          <t>500 Startups, BootstrapLabs, Cross Border Angels, Data Collective, DN Capital, DoubleRock, Eric Chen, Founders Fund, Individual Investor, Initialized Capital, John Taysom, Lauder Partners, Marleen Groen, Morado Venture Partners, Oakhouse Partners, Real Ventures, Rothenberg Ventures, Route 66 Ventures, RRE Ventures, Saad AlSogair, Sherry Coutu, Steelhead Ventures, Surender Punia, The Entrepreneurs Fund, The Hive, Tikhon Bernstam, Vectr Ventures, Vision Ventures</t>
        </is>
      </c>
      <c r="P923" s="24" t="inlineStr">
        <is>
          <t/>
        </is>
      </c>
      <c r="Q923" s="25" t="inlineStr">
        <is>
          <t>Media and Information Services (B2B)</t>
        </is>
      </c>
      <c r="R923" s="26" t="inlineStr">
        <is>
          <t>Provider of an online network of investment professionals designed to get insights into alternative assets. The company's network of investment professionals narrows the gap between the digital and real worlds, enabling consumers to keep up with the latest investment trends efficiently with relevant alternative asset news and peer insights.</t>
        </is>
      </c>
      <c r="S923" s="27" t="inlineStr">
        <is>
          <t>San Francisco, CA</t>
        </is>
      </c>
      <c r="T923" s="28" t="inlineStr">
        <is>
          <t>www.thetrustedinsight.com</t>
        </is>
      </c>
      <c r="U923" s="131">
        <f>HYPERLINK("https://my.pitchbook.com?c=55323-82", "View company online")</f>
      </c>
    </row>
    <row r="924">
      <c r="A924" s="30" t="inlineStr">
        <is>
          <t>125531-29</t>
        </is>
      </c>
      <c r="B924" s="31" t="inlineStr">
        <is>
          <t>Trusted (ChildCare)</t>
        </is>
      </c>
      <c r="C924" s="32" t="inlineStr">
        <is>
          <t/>
        </is>
      </c>
      <c r="D924" s="33" t="n">
        <v>0.05919107932336185</v>
      </c>
      <c r="E924" s="34" t="n">
        <v>6.117536269820721</v>
      </c>
      <c r="F924" s="35" t="n">
        <v>42445.0</v>
      </c>
      <c r="G924" s="36" t="inlineStr">
        <is>
          <t>Seed Round</t>
        </is>
      </c>
      <c r="H924" s="37" t="inlineStr">
        <is>
          <t>Seed</t>
        </is>
      </c>
      <c r="I924" s="38" t="n">
        <v>2.1</v>
      </c>
      <c r="J924" s="39" t="inlineStr">
        <is>
          <t/>
        </is>
      </c>
      <c r="K924" s="40" t="inlineStr">
        <is>
          <t>Completed</t>
        </is>
      </c>
      <c r="L924" s="41" t="inlineStr">
        <is>
          <t>Privately Held (backing)</t>
        </is>
      </c>
      <c r="M924" s="42" t="inlineStr">
        <is>
          <t>Venture Capital-Backed</t>
        </is>
      </c>
      <c r="N924" s="43" t="inlineStr">
        <is>
          <t>The company raised $2.1 million of seed funding from Metamorphic Ventures, Slow Ventures and Techstars on March 16, 2016. Great Oaks Ventures, KPCB Edge, Sara Mauskopf, Haystack, Chad Boeding, Tianxiang Zhuo, Naval Ravikant and CrunchFund also participated in the round. The company will use the funding to expand its business in to new cities.</t>
        </is>
      </c>
      <c r="O924" s="44" t="inlineStr">
        <is>
          <t>Chad Boeding, Compound Ventures, CrunchFund, Great Oaks Venture Capital, Haystack, Kleiner Perkins Caufield &amp; Byers, KPCB Edge, Naval Ravikant, Sara Mauskopf, Slow Ventures, Techstars, Tianxiang Zhuo</t>
        </is>
      </c>
      <c r="P924" s="45" t="inlineStr">
        <is>
          <t/>
        </is>
      </c>
      <c r="Q924" s="46" t="inlineStr">
        <is>
          <t>Application Software</t>
        </is>
      </c>
      <c r="R924" s="47" t="inlineStr">
        <is>
          <t>Provider of a curated platform for parents seeking child care services. The company provides a mobile application for parents to discover and schedule vetted, trained and qualified child care providers.</t>
        </is>
      </c>
      <c r="S924" s="48" t="inlineStr">
        <is>
          <t>San Francisco, CA</t>
        </is>
      </c>
      <c r="T924" s="49" t="inlineStr">
        <is>
          <t>www.usetrusted.com</t>
        </is>
      </c>
      <c r="U924" s="132">
        <f>HYPERLINK("https://my.pitchbook.com?c=125531-29", "View company online")</f>
      </c>
    </row>
    <row r="925">
      <c r="A925" s="9" t="inlineStr">
        <is>
          <t>52816-60</t>
        </is>
      </c>
      <c r="B925" s="10" t="inlineStr">
        <is>
          <t>TRUSTe</t>
        </is>
      </c>
      <c r="C925" s="11" t="n">
        <v>14.71</v>
      </c>
      <c r="D925" s="12" t="n">
        <v>1.1434906154310291</v>
      </c>
      <c r="E925" s="13" t="n">
        <v>127.84538953365409</v>
      </c>
      <c r="F925" s="14" t="n">
        <v>40931.0</v>
      </c>
      <c r="G925" s="15" t="inlineStr">
        <is>
          <t>Later Stage VC</t>
        </is>
      </c>
      <c r="H925" s="16" t="inlineStr">
        <is>
          <t>Series C</t>
        </is>
      </c>
      <c r="I925" s="17" t="n">
        <v>15.05</v>
      </c>
      <c r="J925" s="18" t="n">
        <v>117.45</v>
      </c>
      <c r="K925" s="19" t="inlineStr">
        <is>
          <t>Completed</t>
        </is>
      </c>
      <c r="L925" s="20" t="inlineStr">
        <is>
          <t>Privately Held (backing)</t>
        </is>
      </c>
      <c r="M925" s="21" t="inlineStr">
        <is>
          <t>Venture Capital-Backed</t>
        </is>
      </c>
      <c r="N925" s="22" t="inlineStr">
        <is>
          <t>The company raised $15 million of Series C venture funding in a deal led by Baseline Ventures on January 23, 2012, putting the pre-money valuation at $102.4 million. Accel Partners, Duff Ackerman &amp; Goodrich and Icon Ventures also participated in this round.</t>
        </is>
      </c>
      <c r="O925" s="23" t="inlineStr">
        <is>
          <t>Accel, Baseline Ventures, DAG Ventures, Icon Ventures, Industry Ventures, Sherpalo Ventures, Steve Anderson</t>
        </is>
      </c>
      <c r="P925" s="24" t="inlineStr">
        <is>
          <t/>
        </is>
      </c>
      <c r="Q925" s="25" t="inlineStr">
        <is>
          <t>Network Management Software</t>
        </is>
      </c>
      <c r="R925" s="26" t="inlineStr">
        <is>
          <t>Provider of online privacy tools.The company provides privacy consulting, certifications and technology tools to help businesses manage privacy compliance risk.</t>
        </is>
      </c>
      <c r="S925" s="27" t="inlineStr">
        <is>
          <t>San Francisco, CA</t>
        </is>
      </c>
      <c r="T925" s="28" t="inlineStr">
        <is>
          <t>www.truste.com</t>
        </is>
      </c>
      <c r="U925" s="131">
        <f>HYPERLINK("https://my.pitchbook.com?c=52816-60", "View company online")</f>
      </c>
    </row>
    <row r="926">
      <c r="A926" s="30" t="inlineStr">
        <is>
          <t>113881-96</t>
        </is>
      </c>
      <c r="B926" s="31" t="inlineStr">
        <is>
          <t>TruSTAR Technology</t>
        </is>
      </c>
      <c r="C926" s="32" t="inlineStr">
        <is>
          <t/>
        </is>
      </c>
      <c r="D926" s="33" t="n">
        <v>3.476776006899915</v>
      </c>
      <c r="E926" s="34" t="n">
        <v>0.7033898305084746</v>
      </c>
      <c r="F926" s="35" t="n">
        <v>42702.0</v>
      </c>
      <c r="G926" s="36" t="inlineStr">
        <is>
          <t>Early Stage VC</t>
        </is>
      </c>
      <c r="H926" s="37" t="inlineStr">
        <is>
          <t>Series A</t>
        </is>
      </c>
      <c r="I926" s="38" t="n">
        <v>5.0</v>
      </c>
      <c r="J926" s="39" t="n">
        <v>16.67</v>
      </c>
      <c r="K926" s="40" t="inlineStr">
        <is>
          <t>Completed</t>
        </is>
      </c>
      <c r="L926" s="41" t="inlineStr">
        <is>
          <t>Privately Held (backing)</t>
        </is>
      </c>
      <c r="M926" s="42" t="inlineStr">
        <is>
          <t>Venture Capital-Backed</t>
        </is>
      </c>
      <c r="N926" s="43" t="inlineStr">
        <is>
          <t>The company raised $5 million of Series A venture funding in a deal led by Storm Ventures on November 28, 2016, putting the pre-money valuation at $11.67 million. Aspect Ventures, Resolute Ventures and other undisclosed investors also participated. The company intends to use the new capital to scale platform features and accelerate customer success.</t>
        </is>
      </c>
      <c r="O926" s="44" t="inlineStr">
        <is>
          <t>Aspect Venture Partners, Resolute Ventures, Storm Ventures</t>
        </is>
      </c>
      <c r="P926" s="45" t="inlineStr">
        <is>
          <t/>
        </is>
      </c>
      <c r="Q926" s="46" t="inlineStr">
        <is>
          <t>Network Management Software</t>
        </is>
      </c>
      <c r="R926" s="47" t="inlineStr">
        <is>
          <t>Provider of cyber incident-sharing platform for businesses. The company offers a cloud based platform that helps to protect and incentivize enterprises to share cyber threat information through their privacy-preserving sharing, correlation and collaboration technology.</t>
        </is>
      </c>
      <c r="S926" s="48" t="inlineStr">
        <is>
          <t>San Francisco, CA</t>
        </is>
      </c>
      <c r="T926" s="49" t="inlineStr">
        <is>
          <t>www.trustar.co</t>
        </is>
      </c>
      <c r="U926" s="132">
        <f>HYPERLINK("https://my.pitchbook.com?c=113881-96", "View company online")</f>
      </c>
    </row>
    <row r="927">
      <c r="A927" s="9" t="inlineStr">
        <is>
          <t>180143-20</t>
        </is>
      </c>
      <c r="B927" s="10" t="inlineStr">
        <is>
          <t>Trust Circle</t>
        </is>
      </c>
      <c r="C927" s="11" t="inlineStr">
        <is>
          <t/>
        </is>
      </c>
      <c r="D927" s="12" t="n">
        <v>-0.04623758675074628</v>
      </c>
      <c r="E927" s="13" t="n">
        <v>15.198002350176264</v>
      </c>
      <c r="F927" s="14" t="inlineStr">
        <is>
          <t/>
        </is>
      </c>
      <c r="G927" s="15" t="inlineStr">
        <is>
          <t>Early Stage VC</t>
        </is>
      </c>
      <c r="H927" s="16" t="inlineStr">
        <is>
          <t/>
        </is>
      </c>
      <c r="I927" s="17" t="inlineStr">
        <is>
          <t/>
        </is>
      </c>
      <c r="J927" s="18" t="inlineStr">
        <is>
          <t/>
        </is>
      </c>
      <c r="K927" s="19" t="inlineStr">
        <is>
          <t>Completed</t>
        </is>
      </c>
      <c r="L927" s="20" t="inlineStr">
        <is>
          <t>Privately Held (backing)</t>
        </is>
      </c>
      <c r="M927" s="21" t="inlineStr">
        <is>
          <t>Venture Capital-Backed</t>
        </is>
      </c>
      <c r="N927" s="22" t="inlineStr">
        <is>
          <t>The company raised an undisclosed amount of venture funding form Unitus Impact.</t>
        </is>
      </c>
      <c r="O927" s="23" t="inlineStr">
        <is>
          <t>Unitus Impact</t>
        </is>
      </c>
      <c r="P927" s="24" t="inlineStr">
        <is>
          <t/>
        </is>
      </c>
      <c r="Q927" s="25" t="inlineStr">
        <is>
          <t>Financial Software</t>
        </is>
      </c>
      <c r="R927" s="26" t="inlineStr">
        <is>
          <t>Developer of a mobile application designed to provide peer-to-peer financial platform. The company's mobile application helps individuals to pool funds in informal savings clubs and track exactly how much they have put into their kitty which reduces the chance of the organizers to abscond with their money, enabling ordinary people to save and borrow easily without having to pay high financial transactional costs.</t>
        </is>
      </c>
      <c r="S927" s="27" t="inlineStr">
        <is>
          <t>Ho Chi Minh City, Vietnam</t>
        </is>
      </c>
      <c r="T927" s="28" t="inlineStr">
        <is>
          <t>www.trustcircleglobal.com</t>
        </is>
      </c>
      <c r="U927" s="131">
        <f>HYPERLINK("https://my.pitchbook.com?c=180143-20", "View company online")</f>
      </c>
    </row>
    <row r="928">
      <c r="A928" s="30" t="inlineStr">
        <is>
          <t>61397-83</t>
        </is>
      </c>
      <c r="B928" s="31" t="inlineStr">
        <is>
          <t>Trusper</t>
        </is>
      </c>
      <c r="C928" s="32" t="inlineStr">
        <is>
          <t/>
        </is>
      </c>
      <c r="D928" s="33" t="n">
        <v>0.008368217447879755</v>
      </c>
      <c r="E928" s="34" t="n">
        <v>467.60663754079377</v>
      </c>
      <c r="F928" s="35" t="n">
        <v>41894.0</v>
      </c>
      <c r="G928" s="36" t="inlineStr">
        <is>
          <t>Early Stage VC</t>
        </is>
      </c>
      <c r="H928" s="37" t="inlineStr">
        <is>
          <t>Series B</t>
        </is>
      </c>
      <c r="I928" s="38" t="n">
        <v>20.0</v>
      </c>
      <c r="J928" s="39" t="n">
        <v>120.0</v>
      </c>
      <c r="K928" s="40" t="inlineStr">
        <is>
          <t>Completed</t>
        </is>
      </c>
      <c r="L928" s="41" t="inlineStr">
        <is>
          <t>Privately Held (backing)</t>
        </is>
      </c>
      <c r="M928" s="42" t="inlineStr">
        <is>
          <t>Venture Capital-Backed</t>
        </is>
      </c>
      <c r="N928" s="43" t="inlineStr">
        <is>
          <t>The company raised $20 million of Series B venture funding from SharesPost and other undisclosed investors on September 12, 2014, putting the pre-money valuation at $100 million.</t>
        </is>
      </c>
      <c r="O928" s="44" t="inlineStr">
        <is>
          <t>Charles R. Schwab, DCM Ventures, InnoSpring (Shanghai) Company, Justin Caldbeck, Ken Xie, Mark Thompson, Robert V. Gunderson, Jr, SharesPost, Subrah Iyar, Tsingyuan Ventures</t>
        </is>
      </c>
      <c r="P928" s="45" t="inlineStr">
        <is>
          <t/>
        </is>
      </c>
      <c r="Q928" s="46" t="inlineStr">
        <is>
          <t>Social/Platform Software</t>
        </is>
      </c>
      <c r="R928" s="47" t="inlineStr">
        <is>
          <t>Developer of an online platform designed to promote healthy living with both tips and products. The company offers both apps and websites for users to create and share tips, and to buy natural products.</t>
        </is>
      </c>
      <c r="S928" s="48" t="inlineStr">
        <is>
          <t>Santa Clara, CA</t>
        </is>
      </c>
      <c r="T928" s="49" t="inlineStr">
        <is>
          <t>www.musely.com</t>
        </is>
      </c>
      <c r="U928" s="132">
        <f>HYPERLINK("https://my.pitchbook.com?c=61397-83", "View company online")</f>
      </c>
    </row>
    <row r="929">
      <c r="A929" s="9" t="inlineStr">
        <is>
          <t>53964-19</t>
        </is>
      </c>
      <c r="B929" s="10" t="inlineStr">
        <is>
          <t>Truphone</t>
        </is>
      </c>
      <c r="C929" s="11" t="n">
        <v>17.09</v>
      </c>
      <c r="D929" s="12" t="n">
        <v>-0.13058438096065214</v>
      </c>
      <c r="E929" s="13" t="n">
        <v>36.76739844118252</v>
      </c>
      <c r="F929" s="14" t="n">
        <v>41982.0</v>
      </c>
      <c r="G929" s="15" t="inlineStr">
        <is>
          <t>Later Stage VC</t>
        </is>
      </c>
      <c r="H929" s="16" t="inlineStr">
        <is>
          <t/>
        </is>
      </c>
      <c r="I929" s="17" t="n">
        <v>79.72</v>
      </c>
      <c r="J929" s="18" t="inlineStr">
        <is>
          <t/>
        </is>
      </c>
      <c r="K929" s="19" t="inlineStr">
        <is>
          <t>Completed</t>
        </is>
      </c>
      <c r="L929" s="20" t="inlineStr">
        <is>
          <t>Privately Held (backing)</t>
        </is>
      </c>
      <c r="M929" s="21" t="inlineStr">
        <is>
          <t>Venture Capital-Backed</t>
        </is>
      </c>
      <c r="N929" s="22" t="inlineStr">
        <is>
          <t>The company raised GBP 51 million from Alexander Abramov and other undisclosed investors on December 9, 2014.</t>
        </is>
      </c>
      <c r="O929" s="23" t="inlineStr">
        <is>
          <t>Alexander Abramov, Burda Digital Ventures, Eden Ventures, Independent News &amp; Media, Individual Investor, Minden, Straub Ventures, Wellington Partners</t>
        </is>
      </c>
      <c r="P929" s="24" t="inlineStr">
        <is>
          <t/>
        </is>
      </c>
      <c r="Q929" s="25" t="inlineStr">
        <is>
          <t>Telecommunications Service Providers</t>
        </is>
      </c>
      <c r="R929" s="26" t="inlineStr">
        <is>
          <t>Developer of a global mobile network. The company provides sim cards for international mobile communications, with plans offering packages of minutes, text and data across 66 countries, as well as connected coverage in over 200 countries.</t>
        </is>
      </c>
      <c r="S929" s="27" t="inlineStr">
        <is>
          <t>London, United Kingdom</t>
        </is>
      </c>
      <c r="T929" s="28" t="inlineStr">
        <is>
          <t>www.truphone.com</t>
        </is>
      </c>
      <c r="U929" s="131">
        <f>HYPERLINK("https://my.pitchbook.com?c=53964-19", "View company online")</f>
      </c>
    </row>
    <row r="930">
      <c r="A930" s="30" t="inlineStr">
        <is>
          <t>109420-75</t>
        </is>
      </c>
      <c r="B930" s="31" t="inlineStr">
        <is>
          <t>Trunomi</t>
        </is>
      </c>
      <c r="C930" s="32" t="inlineStr">
        <is>
          <t/>
        </is>
      </c>
      <c r="D930" s="33" t="n">
        <v>-0.17489864999565857</v>
      </c>
      <c r="E930" s="34" t="n">
        <v>2.4017434267618496</v>
      </c>
      <c r="F930" s="35" t="n">
        <v>42641.0</v>
      </c>
      <c r="G930" s="36" t="inlineStr">
        <is>
          <t>Seed Round</t>
        </is>
      </c>
      <c r="H930" s="37" t="inlineStr">
        <is>
          <t>Seed</t>
        </is>
      </c>
      <c r="I930" s="38" t="n">
        <v>3.0</v>
      </c>
      <c r="J930" s="39" t="n">
        <v>18.96</v>
      </c>
      <c r="K930" s="40" t="inlineStr">
        <is>
          <t>Completed</t>
        </is>
      </c>
      <c r="L930" s="41" t="inlineStr">
        <is>
          <t>Privately Held (backing)</t>
        </is>
      </c>
      <c r="M930" s="42" t="inlineStr">
        <is>
          <t>Venture Capital-Backed</t>
        </is>
      </c>
      <c r="N930" s="43" t="inlineStr">
        <is>
          <t>The company raised $3 million of seed funding in a deal co-led by Saturn Partners and Fintonia on September 28, 2016. WorldQuant Ventures and other existing investors also participated in the round. The funds will be used to continue evolving company's technology in response to a demanding regulatory environment for financial institutions and build on the business' latest industry successes.</t>
        </is>
      </c>
      <c r="O930" s="44" t="inlineStr">
        <is>
          <t>Fenway Summer Ventures, Fintonia, Persistent Systems, Plug and Play Tech Center, Saturn Partners, SenaHill Partners, WorldQuant Ventures</t>
        </is>
      </c>
      <c r="P930" s="45" t="inlineStr">
        <is>
          <t/>
        </is>
      </c>
      <c r="Q930" s="46" t="inlineStr">
        <is>
          <t>Business/Productivity Software</t>
        </is>
      </c>
      <c r="R930" s="47" t="inlineStr">
        <is>
          <t>Provider of a consent-based data sharing platform intended to create, share and monetize customer data. The company's consent management data sharing platform connects financial institutions and their customers, capturing customer consent to the use of their personal data enabling companies to ensure customer data privacy and consent compliance management.</t>
        </is>
      </c>
      <c r="S930" s="48" t="inlineStr">
        <is>
          <t>San Jose, CA</t>
        </is>
      </c>
      <c r="T930" s="49" t="inlineStr">
        <is>
          <t>www.trunomi.com</t>
        </is>
      </c>
      <c r="U930" s="132">
        <f>HYPERLINK("https://my.pitchbook.com?c=109420-75", "View company online")</f>
      </c>
    </row>
    <row r="931">
      <c r="A931" s="9" t="inlineStr">
        <is>
          <t>99029-26</t>
        </is>
      </c>
      <c r="B931" s="10" t="inlineStr">
        <is>
          <t>TruMed Systems</t>
        </is>
      </c>
      <c r="C931" s="11" t="inlineStr">
        <is>
          <t/>
        </is>
      </c>
      <c r="D931" s="12" t="n">
        <v>0.0</v>
      </c>
      <c r="E931" s="13" t="n">
        <v>0.21140632157581313</v>
      </c>
      <c r="F931" s="14" t="n">
        <v>42877.0</v>
      </c>
      <c r="G931" s="15" t="inlineStr">
        <is>
          <t>Later Stage VC</t>
        </is>
      </c>
      <c r="H931" s="16" t="inlineStr">
        <is>
          <t>Series C</t>
        </is>
      </c>
      <c r="I931" s="17" t="n">
        <v>13.25</v>
      </c>
      <c r="J931" s="18" t="n">
        <v>25.25</v>
      </c>
      <c r="K931" s="19" t="inlineStr">
        <is>
          <t>Completed</t>
        </is>
      </c>
      <c r="L931" s="20" t="inlineStr">
        <is>
          <t>Privately Held (backing)</t>
        </is>
      </c>
      <c r="M931" s="21" t="inlineStr">
        <is>
          <t>Venture Capital-Backed</t>
        </is>
      </c>
      <c r="N931" s="22" t="inlineStr">
        <is>
          <t>The company raised $13.25 million of Series C venture funding from FusionX Ventures and other undisclosed investors on May 22, 2017, putting the pre-money valuation at $11.99 million.</t>
        </is>
      </c>
      <c r="O931" s="23" t="inlineStr">
        <is>
          <t>EvoNexus, FusionX Ventures</t>
        </is>
      </c>
      <c r="P931" s="24" t="inlineStr">
        <is>
          <t/>
        </is>
      </c>
      <c r="Q931" s="25" t="inlineStr">
        <is>
          <t>Other Devices and Supplies</t>
        </is>
      </c>
      <c r="R931" s="26" t="inlineStr">
        <is>
          <t>Developer of a vaccine management system intended to provide efficient and effective handling of vaccine. The company's vaccine management system helps in minimizing time, errors and waste associated with vaccine storage and handling.</t>
        </is>
      </c>
      <c r="S931" s="27" t="inlineStr">
        <is>
          <t>San Diego, CA</t>
        </is>
      </c>
      <c r="T931" s="28" t="inlineStr">
        <is>
          <t>www.trumedsystems.com</t>
        </is>
      </c>
      <c r="U931" s="131">
        <f>HYPERLINK("https://my.pitchbook.com?c=99029-26", "View company online")</f>
      </c>
    </row>
    <row r="932">
      <c r="A932" s="30" t="inlineStr">
        <is>
          <t>55426-15</t>
        </is>
      </c>
      <c r="B932" s="31" t="inlineStr">
        <is>
          <t>Trumaker</t>
        </is>
      </c>
      <c r="C932" s="32" t="inlineStr">
        <is>
          <t/>
        </is>
      </c>
      <c r="D932" s="33" t="n">
        <v>-0.2588005742794174</v>
      </c>
      <c r="E932" s="34" t="n">
        <v>22.777908177152835</v>
      </c>
      <c r="F932" s="35" t="n">
        <v>42156.0</v>
      </c>
      <c r="G932" s="36" t="inlineStr">
        <is>
          <t>Early Stage VC</t>
        </is>
      </c>
      <c r="H932" s="37" t="inlineStr">
        <is>
          <t>Series B</t>
        </is>
      </c>
      <c r="I932" s="38" t="inlineStr">
        <is>
          <t/>
        </is>
      </c>
      <c r="J932" s="39" t="inlineStr">
        <is>
          <t/>
        </is>
      </c>
      <c r="K932" s="40" t="inlineStr">
        <is>
          <t>Completed</t>
        </is>
      </c>
      <c r="L932" s="41" t="inlineStr">
        <is>
          <t>Privately Held (backing)</t>
        </is>
      </c>
      <c r="M932" s="42" t="inlineStr">
        <is>
          <t>Venture Capital-Backed</t>
        </is>
      </c>
      <c r="N932" s="43" t="inlineStr">
        <is>
          <t>The company raised an undisclosed amount of Series B venture funding from Velos Partners, Rubicon Venture Capital and Kevin Tung on June 1, 2015. Interplay Ventures and Point Judith Capital also participated in the round.</t>
        </is>
      </c>
      <c r="O932" s="44" t="inlineStr">
        <is>
          <t>Alex Bard, Andrew Dunn, BoxGroup, Correlation Ventures, Coyote Ridge Ventures, David Tisch, Eniac Ventures, Individual Investor, Interplay Ventures, Javelin Venture Partners, Kevin Tung, Nihal Mehta, Point Judith Capital, RRE Ventures, Rubicon Venture Capital, Velos Partners, Venrock</t>
        </is>
      </c>
      <c r="P932" s="45" t="inlineStr">
        <is>
          <t/>
        </is>
      </c>
      <c r="Q932" s="46" t="inlineStr">
        <is>
          <t>Clothing</t>
        </is>
      </c>
      <c r="R932" s="47" t="inlineStr">
        <is>
          <t>Provider of an online website designed to solve the problems of shopping for men. The company's online website offers tailored menswear that are made by combining old-world personal service with today's technology to build custom and in-stock clothing, enabling men to avail fitted clothes from personal stylist.</t>
        </is>
      </c>
      <c r="S932" s="48" t="inlineStr">
        <is>
          <t>San Francisco, CA</t>
        </is>
      </c>
      <c r="T932" s="49" t="inlineStr">
        <is>
          <t>www.trumaker.com</t>
        </is>
      </c>
      <c r="U932" s="132">
        <f>HYPERLINK("https://my.pitchbook.com?c=55426-15", "View company online")</f>
      </c>
    </row>
    <row r="933">
      <c r="A933" s="9" t="inlineStr">
        <is>
          <t>60341-05</t>
        </is>
      </c>
      <c r="B933" s="10" t="inlineStr">
        <is>
          <t>Truly Wireless</t>
        </is>
      </c>
      <c r="C933" s="11" t="inlineStr">
        <is>
          <t/>
        </is>
      </c>
      <c r="D933" s="12" t="n">
        <v>-0.10739186385738111</v>
      </c>
      <c r="E933" s="13" t="n">
        <v>0.26061776061776065</v>
      </c>
      <c r="F933" s="14" t="n">
        <v>42223.0</v>
      </c>
      <c r="G933" s="15" t="inlineStr">
        <is>
          <t>Early Stage VC</t>
        </is>
      </c>
      <c r="H933" s="16" t="inlineStr">
        <is>
          <t/>
        </is>
      </c>
      <c r="I933" s="17" t="inlineStr">
        <is>
          <t/>
        </is>
      </c>
      <c r="J933" s="18" t="inlineStr">
        <is>
          <t/>
        </is>
      </c>
      <c r="K933" s="19" t="inlineStr">
        <is>
          <t>Completed</t>
        </is>
      </c>
      <c r="L933" s="20" t="inlineStr">
        <is>
          <t>Privately Held (backing)</t>
        </is>
      </c>
      <c r="M933" s="21" t="inlineStr">
        <is>
          <t>Venture Capital-Backed</t>
        </is>
      </c>
      <c r="N933" s="22" t="inlineStr">
        <is>
          <t>The company raised an undisclosed amount of convertible debt financing from BOLDstart Ventures and Eniac Ventures on August 7, 2015. Previously, the company raised $1.4 million of seed funding from Index Ventures, Greylock Partners and BOLDstart Ventures on December 17, 2014. Eniac Ventures, Nihal Mehta, Jason Sanders, Jim Payne, Zachary Weinberg, Nat Turner, Zach Aarons also participated in the round.</t>
        </is>
      </c>
      <c r="O933" s="23" t="inlineStr">
        <is>
          <t>AngelPad, Boldstart Ventures, Eniac Ventures, Great Oaks Venture Capital, Greylock Partners, Index Ventures (UK), Individual Investor, Jason Sanders, Jim Payne, Kevin Hartz, LocalGlobe, Nathaniel Turner, Nihal Mehta, Thomas Korte, Zachary Aarons, Zachary Weinberg</t>
        </is>
      </c>
      <c r="P933" s="24" t="inlineStr">
        <is>
          <t/>
        </is>
      </c>
      <c r="Q933" s="25" t="inlineStr">
        <is>
          <t>Communication Software</t>
        </is>
      </c>
      <c r="R933" s="26" t="inlineStr">
        <is>
          <t>Developer of an enterprise phone system. The company has developed a business voice platform built for the 3G/4G wireless network, transforming any smartphone with a cellular connection into an enterprise-ready device.</t>
        </is>
      </c>
      <c r="S933" s="27" t="inlineStr">
        <is>
          <t>San Francisco, CA</t>
        </is>
      </c>
      <c r="T933" s="28" t="inlineStr">
        <is>
          <t>www.trulywireless.com</t>
        </is>
      </c>
      <c r="U933" s="131">
        <f>HYPERLINK("https://my.pitchbook.com?c=60341-05", "View company online")</f>
      </c>
    </row>
    <row r="934">
      <c r="A934" s="30" t="inlineStr">
        <is>
          <t>60583-33</t>
        </is>
      </c>
      <c r="B934" s="31" t="inlineStr">
        <is>
          <t>Trufa</t>
        </is>
      </c>
      <c r="C934" s="32" t="inlineStr">
        <is>
          <t/>
        </is>
      </c>
      <c r="D934" s="33" t="n">
        <v>0.14313173000799553</v>
      </c>
      <c r="E934" s="34" t="n">
        <v>0.9449216086283145</v>
      </c>
      <c r="F934" s="35" t="n">
        <v>42793.0</v>
      </c>
      <c r="G934" s="36" t="inlineStr">
        <is>
          <t>Early Stage VC</t>
        </is>
      </c>
      <c r="H934" s="37" t="inlineStr">
        <is>
          <t/>
        </is>
      </c>
      <c r="I934" s="38" t="n">
        <v>0.37</v>
      </c>
      <c r="J934" s="39" t="inlineStr">
        <is>
          <t/>
        </is>
      </c>
      <c r="K934" s="40" t="inlineStr">
        <is>
          <t>Announced/In Progress</t>
        </is>
      </c>
      <c r="L934" s="41" t="inlineStr">
        <is>
          <t>Privately Held (backing)</t>
        </is>
      </c>
      <c r="M934" s="42" t="inlineStr">
        <is>
          <t>Venture Capital-Backed</t>
        </is>
      </c>
      <c r="N934" s="43" t="inlineStr">
        <is>
          <t>The company closed on a $367,303 of convertible debt financing from undisclosed investors on February 27, 2017. Previously, the company raised $7.45 million of Series A1 venture funding through a combination of debt and equity from Foundation Capital and other undisclosed investors on December 04, 2015, putting the pre-money valuation at $13.64 million.The company is being actively tracked by PitchBook.</t>
        </is>
      </c>
      <c r="O934" s="44" t="inlineStr">
        <is>
          <t>Accel, Foundation Capital</t>
        </is>
      </c>
      <c r="P934" s="45" t="inlineStr">
        <is>
          <t/>
        </is>
      </c>
      <c r="Q934" s="46" t="inlineStr">
        <is>
          <t>Business/Productivity Software</t>
        </is>
      </c>
      <c r="R934" s="47" t="inlineStr">
        <is>
          <t>Developer of operational performance management software platform designed to help enterprises optimize operational performance and gain competitive advantage in the global marketplace. The company's Trufa Performance Management Machine analyzes a company's entire SAP ERP data set and statistically identifies the business drivers that transform operational performance, enabling enterprises to find performance improvements worth billions in profits, price and working capital.</t>
        </is>
      </c>
      <c r="S934" s="48" t="inlineStr">
        <is>
          <t>San Mateo, CA</t>
        </is>
      </c>
      <c r="T934" s="49" t="inlineStr">
        <is>
          <t>www.trufa.net</t>
        </is>
      </c>
      <c r="U934" s="132">
        <f>HYPERLINK("https://my.pitchbook.com?c=60583-33", "View company online")</f>
      </c>
    </row>
    <row r="935">
      <c r="A935" s="9" t="inlineStr">
        <is>
          <t>57516-76</t>
        </is>
      </c>
      <c r="B935" s="10" t="inlineStr">
        <is>
          <t>TrueVision Systems</t>
        </is>
      </c>
      <c r="C935" s="11" t="inlineStr">
        <is>
          <t/>
        </is>
      </c>
      <c r="D935" s="12" t="n">
        <v>0.3923819742073271</v>
      </c>
      <c r="E935" s="13" t="n">
        <v>1.7528076687067107</v>
      </c>
      <c r="F935" s="14" t="n">
        <v>42424.0</v>
      </c>
      <c r="G935" s="15" t="inlineStr">
        <is>
          <t>Later Stage VC</t>
        </is>
      </c>
      <c r="H935" s="16" t="inlineStr">
        <is>
          <t/>
        </is>
      </c>
      <c r="I935" s="17" t="n">
        <v>9.21</v>
      </c>
      <c r="J935" s="18" t="inlineStr">
        <is>
          <t/>
        </is>
      </c>
      <c r="K935" s="19" t="inlineStr">
        <is>
          <t>Announced/In Progress</t>
        </is>
      </c>
      <c r="L935" s="20" t="inlineStr">
        <is>
          <t>Privately Held (backing)</t>
        </is>
      </c>
      <c r="M935" s="21" t="inlineStr">
        <is>
          <t>Venture Capital-Backed</t>
        </is>
      </c>
      <c r="N935" s="22" t="inlineStr">
        <is>
          <t>The company closed on $9.21 million of convertible debt financing from undisclosed investors on February 24, 2016. Prior to that the company raised $4.32 million of Series C venture funding from undisclosed investors on August 19, 2013, putting the pre-money valuation at $25.96 million. The company is being actively tracked by PitchBook.</t>
        </is>
      </c>
      <c r="O935" s="23" t="inlineStr">
        <is>
          <t>Agility Capital</t>
        </is>
      </c>
      <c r="P935" s="24" t="inlineStr">
        <is>
          <t/>
        </is>
      </c>
      <c r="Q935" s="25" t="inlineStr">
        <is>
          <t>Other Healthcare Technology Systems</t>
        </is>
      </c>
      <c r="R935" s="26" t="inlineStr">
        <is>
          <t>Developer of a high-definition visualization system designed to displays the surgical field of view in real-time on a 3D flat-panel display in the operating room. The company's high-definition visualization system combines 3D visualization and guidance software applications focused on improving accuracy, efficiency and outcomes for both surgeons and patients.</t>
        </is>
      </c>
      <c r="S935" s="27" t="inlineStr">
        <is>
          <t>Santa Barbara, CA</t>
        </is>
      </c>
      <c r="T935" s="28" t="inlineStr">
        <is>
          <t>www.truevisionsys.com</t>
        </is>
      </c>
      <c r="U935" s="131">
        <f>HYPERLINK("https://my.pitchbook.com?c=57516-76", "View company online")</f>
      </c>
    </row>
    <row r="936">
      <c r="A936" s="30" t="inlineStr">
        <is>
          <t>61731-64</t>
        </is>
      </c>
      <c r="B936" s="31" t="inlineStr">
        <is>
          <t>TrueVault</t>
        </is>
      </c>
      <c r="C936" s="32" t="inlineStr">
        <is>
          <t/>
        </is>
      </c>
      <c r="D936" s="33" t="n">
        <v>0.006548029365344488</v>
      </c>
      <c r="E936" s="34" t="n">
        <v>15.111994316139493</v>
      </c>
      <c r="F936" s="35" t="n">
        <v>41968.0</v>
      </c>
      <c r="G936" s="36" t="inlineStr">
        <is>
          <t>Accelerator/Incubator</t>
        </is>
      </c>
      <c r="H936" s="37" t="inlineStr">
        <is>
          <t/>
        </is>
      </c>
      <c r="I936" s="38" t="inlineStr">
        <is>
          <t/>
        </is>
      </c>
      <c r="J936" s="39" t="inlineStr">
        <is>
          <t/>
        </is>
      </c>
      <c r="K936" s="40" t="inlineStr">
        <is>
          <t>Completed</t>
        </is>
      </c>
      <c r="L936" s="41" t="inlineStr">
        <is>
          <t>Privately Held (backing)</t>
        </is>
      </c>
      <c r="M936" s="42" t="inlineStr">
        <is>
          <t>Venture Capital-Backed</t>
        </is>
      </c>
      <c r="N936" s="43" t="inlineStr">
        <is>
          <t>The company joined Tigerlabs Health on November 25, 2014. Previously, the company raised $3.2 million of seed funding from ChinaRock Capital Management, FundersClub and Andreessen Horowitz on March 9, 2014. General Catalyst Partners, Amino Capital, Launchpad LA, K5 Ventures, Fenox Venture Capital, Maverick Capital, Khosla Ventures, Tech Coast Angels, TEEC Angel Fund, 9 individual investors and other undisclosed investors also participated.</t>
        </is>
      </c>
      <c r="O936" s="44" t="inlineStr">
        <is>
          <t>Alexander Gerko, Amino Capital, Amir Banifatemi, Andreessen Horowitz, Bertrand Navarette, ChinaRock Capital Management, Christian Dahlen, Fenox Venture Capital, FundersClub, General Catalyst Partners, Hironori Maeda, Individual Investor, Justin Darcy, K5 Ventures, Khosla Ventures, Launchpad LA, Maverick Capital, Robert Wuttke, Robin Pimentel, Tech Coast Angels, Tigerlabs Health, Tsingyuan Ventures, William Tai, Y Combinator</t>
        </is>
      </c>
      <c r="P936" s="45" t="inlineStr">
        <is>
          <t/>
        </is>
      </c>
      <c r="Q936" s="46" t="inlineStr">
        <is>
          <t>Enterprise Systems (Healthcare)</t>
        </is>
      </c>
      <c r="R936" s="47" t="inlineStr">
        <is>
          <t>Operator of a data storage platform that is compliant with the Health Insurance Portability and Accountability Act (HIPAA). The company provides an application user interface (API) designed to store patients' protected health information.</t>
        </is>
      </c>
      <c r="S936" s="48" t="inlineStr">
        <is>
          <t>Redwood City, CA</t>
        </is>
      </c>
      <c r="T936" s="49" t="inlineStr">
        <is>
          <t>www.truevault.com</t>
        </is>
      </c>
      <c r="U936" s="132">
        <f>HYPERLINK("https://my.pitchbook.com?c=61731-64", "View company online")</f>
      </c>
    </row>
    <row r="937">
      <c r="A937" s="9" t="inlineStr">
        <is>
          <t>114693-04</t>
        </is>
      </c>
      <c r="B937" s="10" t="inlineStr">
        <is>
          <t>TruePath Wireless</t>
        </is>
      </c>
      <c r="C937" s="11" t="inlineStr">
        <is>
          <t/>
        </is>
      </c>
      <c r="D937" s="12" t="inlineStr">
        <is>
          <t/>
        </is>
      </c>
      <c r="E937" s="13" t="inlineStr">
        <is>
          <t/>
        </is>
      </c>
      <c r="F937" s="14" t="n">
        <v>40782.0</v>
      </c>
      <c r="G937" s="15" t="inlineStr">
        <is>
          <t>Angel (individual)</t>
        </is>
      </c>
      <c r="H937" s="16" t="inlineStr">
        <is>
          <t>Angel</t>
        </is>
      </c>
      <c r="I937" s="17" t="inlineStr">
        <is>
          <t/>
        </is>
      </c>
      <c r="J937" s="18" t="inlineStr">
        <is>
          <t/>
        </is>
      </c>
      <c r="K937" s="19" t="inlineStr">
        <is>
          <t>Completed</t>
        </is>
      </c>
      <c r="L937" s="20" t="inlineStr">
        <is>
          <t>Privately Held (backing)</t>
        </is>
      </c>
      <c r="M937" s="21" t="inlineStr">
        <is>
          <t>Venture Capital-Backed</t>
        </is>
      </c>
      <c r="N937" s="22" t="inlineStr">
        <is>
          <t>The company raised an undisclosed amount of angel funding from Marc La Magna on August 27, 2011. Previously, the company raised $4 million of Series A venture funding from V-Ten Capital Partners and Turnstone Capital Management in September 2010.</t>
        </is>
      </c>
      <c r="O937" s="23" t="inlineStr">
        <is>
          <t>Marc La Magna, Turnstone Capital, V-Ten Capital Partners</t>
        </is>
      </c>
      <c r="P937" s="24" t="inlineStr">
        <is>
          <t/>
        </is>
      </c>
      <c r="Q937" s="25" t="inlineStr">
        <is>
          <t>Other Commercial Services</t>
        </is>
      </c>
      <c r="R937" s="26" t="inlineStr">
        <is>
          <t>Provider of wireless communications technologies. The company offers wireless communications technologies for the aviation, marine and telecom industry.</t>
        </is>
      </c>
      <c r="S937" s="27" t="inlineStr">
        <is>
          <t>San Jose, CA</t>
        </is>
      </c>
      <c r="T937" s="28" t="inlineStr">
        <is>
          <t>www.truepathwireless.com</t>
        </is>
      </c>
      <c r="U937" s="131">
        <f>HYPERLINK("https://my.pitchbook.com?c=114693-04", "View company online")</f>
      </c>
    </row>
    <row r="938">
      <c r="A938" s="30" t="inlineStr">
        <is>
          <t>62645-86</t>
        </is>
      </c>
      <c r="B938" s="31" t="inlineStr">
        <is>
          <t>TrueChoice</t>
        </is>
      </c>
      <c r="C938" s="32" t="inlineStr">
        <is>
          <t/>
        </is>
      </c>
      <c r="D938" s="33" t="n">
        <v>0.0</v>
      </c>
      <c r="E938" s="34" t="n">
        <v>0.22892808062299588</v>
      </c>
      <c r="F938" s="35" t="n">
        <v>42418.0</v>
      </c>
      <c r="G938" s="36" t="inlineStr">
        <is>
          <t>Later Stage VC</t>
        </is>
      </c>
      <c r="H938" s="37" t="inlineStr">
        <is>
          <t/>
        </is>
      </c>
      <c r="I938" s="38" t="inlineStr">
        <is>
          <t/>
        </is>
      </c>
      <c r="J938" s="39" t="inlineStr">
        <is>
          <t/>
        </is>
      </c>
      <c r="K938" s="40" t="inlineStr">
        <is>
          <t>Completed</t>
        </is>
      </c>
      <c r="L938" s="41" t="inlineStr">
        <is>
          <t>Privately Held (backing)</t>
        </is>
      </c>
      <c r="M938" s="42" t="inlineStr">
        <is>
          <t>Venture Capital-Backed</t>
        </is>
      </c>
      <c r="N938" s="43" t="inlineStr">
        <is>
          <t>The company raised an undisclosed amount of venture funding from Canyon Creek Capital on February 18, 2016.</t>
        </is>
      </c>
      <c r="O938" s="44" t="inlineStr">
        <is>
          <t>Bridgepoint Merchant Banking, Canyon Creek Capital, David Garrity, Mustapha Baha, NexGen Capital Partners, Pasadena Angels</t>
        </is>
      </c>
      <c r="P938" s="45" t="inlineStr">
        <is>
          <t/>
        </is>
      </c>
      <c r="Q938" s="46" t="inlineStr">
        <is>
          <t>Application Software</t>
        </is>
      </c>
      <c r="R938" s="47" t="inlineStr">
        <is>
          <t>Provider of a preference analytics measurement software. The company's TrueChoice Predictive Selling Suite is based on patented econometric technologies that allows companies to precisely quantify the preference structures of individual customers and employees in real time.</t>
        </is>
      </c>
      <c r="S938" s="48" t="inlineStr">
        <is>
          <t>New York, NY</t>
        </is>
      </c>
      <c r="T938" s="49" t="inlineStr">
        <is>
          <t>www.truechoicesolutions.com</t>
        </is>
      </c>
      <c r="U938" s="132">
        <f>HYPERLINK("https://my.pitchbook.com?c=62645-86", "View company online")</f>
      </c>
    </row>
    <row r="939">
      <c r="A939" s="9" t="inlineStr">
        <is>
          <t>55280-44</t>
        </is>
      </c>
      <c r="B939" s="10" t="inlineStr">
        <is>
          <t>Truecaller</t>
        </is>
      </c>
      <c r="C939" s="11" t="n">
        <v>0.33</v>
      </c>
      <c r="D939" s="12" t="n">
        <v>0.04264092998661469</v>
      </c>
      <c r="E939" s="13" t="n">
        <v>870.7646555493276</v>
      </c>
      <c r="F939" s="14" t="n">
        <v>42716.0</v>
      </c>
      <c r="G939" s="15" t="inlineStr">
        <is>
          <t>Secondary Transaction - Private</t>
        </is>
      </c>
      <c r="H939" s="16" t="inlineStr">
        <is>
          <t/>
        </is>
      </c>
      <c r="I939" s="17" t="n">
        <v>10.85</v>
      </c>
      <c r="J939" s="18" t="n">
        <v>361.63</v>
      </c>
      <c r="K939" s="19" t="inlineStr">
        <is>
          <t>Announced/In Progress</t>
        </is>
      </c>
      <c r="L939" s="20" t="inlineStr">
        <is>
          <t>Privately Held (backing)</t>
        </is>
      </c>
      <c r="M939" s="21" t="inlineStr">
        <is>
          <t>Venture Capital-Backed</t>
        </is>
      </c>
      <c r="N939" s="22" t="inlineStr">
        <is>
          <t>Zenith Venture Capital acquired an estimated 3% stake in the company from undisclosed investors for SEK 100 million on December 12, 2016. The company announced that this investment is part of a larger financing round. The company is being actively tracked by PitchBook.</t>
        </is>
      </c>
      <c r="O939" s="23" t="inlineStr">
        <is>
          <t>Access Partners, Arjun Sethi, Arun Sarin, Atomico Uk Partners, Kleiner Perkins Caufield &amp; Byers, Martin Varsavsky, Niklas Adalberth, OpenOcean, Pandelis Eliopoulos, Sebastian Siemiatkowski, Sequoia Capital India, Stefan Lennhammer, Zenith Venture Capital</t>
        </is>
      </c>
      <c r="P939" s="24" t="inlineStr">
        <is>
          <t/>
        </is>
      </c>
      <c r="Q939" s="25" t="inlineStr">
        <is>
          <t>Information Services (B2C)</t>
        </is>
      </c>
      <c r="R939" s="26" t="inlineStr">
        <is>
          <t>Provider of a global crowdsourced phone directory. The company allows users to share their phone book numbers to prepaid phones networks and create a global directory through a mobile application to search and find people.</t>
        </is>
      </c>
      <c r="S939" s="27" t="inlineStr">
        <is>
          <t>Stockholm, Sweden</t>
        </is>
      </c>
      <c r="T939" s="28" t="inlineStr">
        <is>
          <t>www.truecaller.com</t>
        </is>
      </c>
      <c r="U939" s="131">
        <f>HYPERLINK("https://my.pitchbook.com?c=55280-44", "View company online")</f>
      </c>
    </row>
    <row r="940">
      <c r="A940" s="30" t="inlineStr">
        <is>
          <t>155878-21</t>
        </is>
      </c>
      <c r="B940" s="31" t="inlineStr">
        <is>
          <t>Truebill</t>
        </is>
      </c>
      <c r="C940" s="32" t="inlineStr">
        <is>
          <t/>
        </is>
      </c>
      <c r="D940" s="33" t="n">
        <v>0.6223308070969837</v>
      </c>
      <c r="E940" s="34" t="n">
        <v>6.907538299432183</v>
      </c>
      <c r="F940" s="35" t="n">
        <v>42655.0</v>
      </c>
      <c r="G940" s="36" t="inlineStr">
        <is>
          <t>Accelerator/Incubator</t>
        </is>
      </c>
      <c r="H940" s="37" t="inlineStr">
        <is>
          <t/>
        </is>
      </c>
      <c r="I940" s="38" t="inlineStr">
        <is>
          <t/>
        </is>
      </c>
      <c r="J940" s="39" t="inlineStr">
        <is>
          <t/>
        </is>
      </c>
      <c r="K940" s="40" t="inlineStr">
        <is>
          <t>Completed</t>
        </is>
      </c>
      <c r="L940" s="41" t="inlineStr">
        <is>
          <t>Privately Held (backing)</t>
        </is>
      </c>
      <c r="M940" s="42" t="inlineStr">
        <is>
          <t>Venture Capital-Backed</t>
        </is>
      </c>
      <c r="N940" s="43" t="inlineStr">
        <is>
          <t>The company raised an undisclosed amount of angel funding from Masha Drokova on May 11, 2017. Previously, the company joined Commerce.Innovated as part of the 2016 Class 5 and received an undisclosed amount in funding on October 12, 2016.</t>
        </is>
      </c>
      <c r="O940" s="44" t="inlineStr">
        <is>
          <t>Bobby Yazdani, Brad Flora, Commerce.Innovated, David Baggett, David Marcus, Eric Wu, Great Oaks Venture Capital, Hiten Shah, Masha Drokova, NKM Capital, Plug and Play Tech Center, Ricardo Calvillo, Sherpa Capital, Signature Capital, Social Capital, Transmedia Capital, Y Combinator</t>
        </is>
      </c>
      <c r="P940" s="45" t="inlineStr">
        <is>
          <t/>
        </is>
      </c>
      <c r="Q940" s="46" t="inlineStr">
        <is>
          <t>Information Services (B2C)</t>
        </is>
      </c>
      <c r="R940" s="47" t="inlineStr">
        <is>
          <t>Developer of a subscription management platform designed to give control over subscription services back to the subscriber. The company's subscription management platform acts as a personal financial assistant to find, track and cancel media, digital content and physical good subscriptions, notifies users of all charges they receive from paid subscriptions and recurring bills, and makes recommendations on subscriptions using its data on rates, subscription lengths and why people cancel, enabling users to stay on top of their finances by cancelling unwanted or fraudulent subscriptions.</t>
        </is>
      </c>
      <c r="S940" s="48" t="inlineStr">
        <is>
          <t>San Francisco, CA</t>
        </is>
      </c>
      <c r="T940" s="49" t="inlineStr">
        <is>
          <t>www.truebill.com</t>
        </is>
      </c>
      <c r="U940" s="132">
        <f>HYPERLINK("https://my.pitchbook.com?c=155878-21", "View company online")</f>
      </c>
    </row>
    <row r="941">
      <c r="A941" s="9" t="inlineStr">
        <is>
          <t>93116-62</t>
        </is>
      </c>
      <c r="B941" s="10" t="inlineStr">
        <is>
          <t>TrueAccord</t>
        </is>
      </c>
      <c r="C941" s="11" t="inlineStr">
        <is>
          <t/>
        </is>
      </c>
      <c r="D941" s="12" t="n">
        <v>0.39912633257838026</v>
      </c>
      <c r="E941" s="13" t="n">
        <v>2.44658752604589</v>
      </c>
      <c r="F941" s="14" t="n">
        <v>42736.0</v>
      </c>
      <c r="G941" s="15" t="inlineStr">
        <is>
          <t>Early Stage VC</t>
        </is>
      </c>
      <c r="H941" s="16" t="inlineStr">
        <is>
          <t/>
        </is>
      </c>
      <c r="I941" s="17" t="inlineStr">
        <is>
          <t/>
        </is>
      </c>
      <c r="J941" s="18" t="inlineStr">
        <is>
          <t/>
        </is>
      </c>
      <c r="K941" s="19" t="inlineStr">
        <is>
          <t>Completed</t>
        </is>
      </c>
      <c r="L941" s="20" t="inlineStr">
        <is>
          <t>Privately Held (backing)</t>
        </is>
      </c>
      <c r="M941" s="21" t="inlineStr">
        <is>
          <t>Venture Capital-Backed</t>
        </is>
      </c>
      <c r="N941" s="22" t="inlineStr">
        <is>
          <t>The company raised an undisclosed amount of venture funding from Arbor Ventures in 2017.</t>
        </is>
      </c>
      <c r="O941" s="23" t="inlineStr">
        <is>
          <t>Arbor Ventures, Benjamin Ling, BoxGroup, Bryan Johnson, Homebrew, Hunter Walk, Ilya Sukhar, James Pallotta, Khosla Ventures, Lee Linden, Matt Humphrey, Max Levchin, Michael Liou, Nyca Partners, Plug and Play Tech Center, Raymond Tonsing, TenOneTen Ventures, Tikhon Bernstam, Webb Investment Network</t>
        </is>
      </c>
      <c r="P941" s="24" t="inlineStr">
        <is>
          <t/>
        </is>
      </c>
      <c r="Q941" s="25" t="inlineStr">
        <is>
          <t>Financial Software</t>
        </is>
      </c>
      <c r="R941" s="26" t="inlineStr">
        <is>
          <t>Developer of an automated debt-recovery platform designed to fundamentally change the debt collection process. The company's automated debt-recovery platform uses behavioral analytics, machine learning and modern communication channels, enabling creditors to improve recovery rates and reduce compliance risk while giving their customers real-time personalization and better user experience.</t>
        </is>
      </c>
      <c r="S941" s="27" t="inlineStr">
        <is>
          <t>San Francisco, CA</t>
        </is>
      </c>
      <c r="T941" s="28" t="inlineStr">
        <is>
          <t>www.trueaccord.com</t>
        </is>
      </c>
      <c r="U941" s="131">
        <f>HYPERLINK("https://my.pitchbook.com?c=93116-62", "View company online")</f>
      </c>
    </row>
    <row r="942">
      <c r="A942" s="30" t="inlineStr">
        <is>
          <t>54564-49</t>
        </is>
      </c>
      <c r="B942" s="31" t="inlineStr">
        <is>
          <t>True&amp;Co</t>
        </is>
      </c>
      <c r="C942" s="32" t="inlineStr">
        <is>
          <t/>
        </is>
      </c>
      <c r="D942" s="33" t="n">
        <v>-4.380726033839278</v>
      </c>
      <c r="E942" s="34" t="n">
        <v>115.51472981034514</v>
      </c>
      <c r="F942" s="35" t="n">
        <v>42810.0</v>
      </c>
      <c r="G942" s="36" t="inlineStr">
        <is>
          <t>Merger/Acquisition</t>
        </is>
      </c>
      <c r="H942" s="37" t="inlineStr">
        <is>
          <t/>
        </is>
      </c>
      <c r="I942" s="38" t="inlineStr">
        <is>
          <t/>
        </is>
      </c>
      <c r="J942" s="39" t="inlineStr">
        <is>
          <t/>
        </is>
      </c>
      <c r="K942" s="40" t="inlineStr">
        <is>
          <t>Announced/In Progress</t>
        </is>
      </c>
      <c r="L942" s="41" t="inlineStr">
        <is>
          <t>Privately Held (backing)</t>
        </is>
      </c>
      <c r="M942" s="42" t="inlineStr">
        <is>
          <t>Venture Capital-Backed</t>
        </is>
      </c>
      <c r="N942" s="43" t="inlineStr">
        <is>
          <t>The company reached a definitive agreement to be acquired by PVH (NYSE: PVH) for an undisclosed amount on March 16, 2017. Previously, the company raised an estimated $6 million of Series A venture funding from undisclosed investors on December 18, 2015, putting the pre-money valuation at $18 million. An undisclosed debt financing was provided by Western Technology Investment.The company is being actively tracked by PitchBook.</t>
        </is>
      </c>
      <c r="O942" s="44" t="inlineStr">
        <is>
          <t>Andy White, Barbara Corcoran Venture Partners, Ben Lin, Bobby Yazdani, Chad Byers, Cota Capital, Cowboy Ventures, Crosslink Capital, David Beyer, Ellen Levy, First Round Capital, FundersClub, Great Oaks Venture Capital, Idris Mokhtarzada, Jean-Francois Clavier, Joe O'Connor, Justin Darcy, Kevin Moore, Ligaya Tichy, Michael Wolf, Patrick Sweeney, Paul Holliman, Pear Ventures, Phil Boyer, Robert Kunz, Seth Ginns, Signatures Capital, SoftBank Capital, SoftTech VC, StartX, Stephen Culp, VTF Capital, Zack Christensen</t>
        </is>
      </c>
      <c r="P942" s="45" t="inlineStr">
        <is>
          <t/>
        </is>
      </c>
      <c r="Q942" s="46" t="inlineStr">
        <is>
          <t>Internet Retail</t>
        </is>
      </c>
      <c r="R942" s="47" t="inlineStr">
        <is>
          <t>Provider of an online lingerie marketplace designed to offer personalized bra shopping. The company's online lingerie marketplace takes an online quiz about the comfort and fit of existing lingerie and provides a personalized home try-on kit with shipping and returns facility, enabling women to find better-fitting brassieres.</t>
        </is>
      </c>
      <c r="S942" s="48" t="inlineStr">
        <is>
          <t>San Francisco, CA</t>
        </is>
      </c>
      <c r="T942" s="49" t="inlineStr">
        <is>
          <t>www.trueandco.com</t>
        </is>
      </c>
      <c r="U942" s="132">
        <f>HYPERLINK("https://my.pitchbook.com?c=54564-49", "View company online")</f>
      </c>
    </row>
    <row r="943">
      <c r="A943" s="9" t="inlineStr">
        <is>
          <t>58804-39</t>
        </is>
      </c>
      <c r="B943" s="10" t="inlineStr">
        <is>
          <t>True North Therapeutics</t>
        </is>
      </c>
      <c r="C943" s="11" t="inlineStr">
        <is>
          <t/>
        </is>
      </c>
      <c r="D943" s="12" t="n">
        <v>0.0</v>
      </c>
      <c r="E943" s="13" t="n">
        <v>1.972972972972973</v>
      </c>
      <c r="F943" s="14" t="n">
        <v>42878.0</v>
      </c>
      <c r="G943" s="15" t="inlineStr">
        <is>
          <t>Merger/Acquisition</t>
        </is>
      </c>
      <c r="H943" s="16" t="inlineStr">
        <is>
          <t/>
        </is>
      </c>
      <c r="I943" s="17" t="n">
        <v>825.0</v>
      </c>
      <c r="J943" s="18" t="n">
        <v>825.0</v>
      </c>
      <c r="K943" s="19" t="inlineStr">
        <is>
          <t>Announced/In Progress</t>
        </is>
      </c>
      <c r="L943" s="20" t="inlineStr">
        <is>
          <t>Privately Held (backing)</t>
        </is>
      </c>
      <c r="M943" s="21" t="inlineStr">
        <is>
          <t>Venture Capital-Backed</t>
        </is>
      </c>
      <c r="N943" s="22" t="inlineStr">
        <is>
          <t>The company reached a definitive agreement to be acquired by Bioverativ (NASDAQ: BIVV) for $825 million on May 23, 2017. The deal includes an upfront payment of $400 million plus assumed cash, as well as additional payments of up to $425 million contingent on the achievement of future development, regulatory and sales milestones. The acquisition strengthens Bioverativ's pipeline with a potential first-in-class therapy to treat CAD (Cold Agglutinin Disease), a rare blood disorder with a high unmet patient need. The deal is expected to close in mid-2017. Previously, the company raised $45 million of Series D venture funding in a deal led by HBM Healthcare Investments, Redmile Group and Perceptive Advisors on October 18, 2016, putting the pre-money valuation at $292.55 million. The company is being actively tracked by PitchBook.</t>
        </is>
      </c>
      <c r="O943" s="23" t="inlineStr">
        <is>
          <t>Baxalta, Biogen, Cowen Private Investments, Franklin Templeton Investments, HBM Healthcare Investments, Kleiner Perkins Caufield &amp; Byers, Mission Bay Capital, MPM Capital, New Leaf Venture Partners, OrbiMed, Perceptive Advisors, Redmile Group, SR One</t>
        </is>
      </c>
      <c r="P943" s="24" t="inlineStr">
        <is>
          <t/>
        </is>
      </c>
      <c r="Q943" s="25" t="inlineStr">
        <is>
          <t>Drug Discovery</t>
        </is>
      </c>
      <c r="R943" s="26" t="inlineStr">
        <is>
          <t>Developer of innovative antibody therapeutics targeting the classical pathway of the complement system. The company's monoclonal antibody to treat cold agglutinin disease TNT009, selectively targets the classical pathway of the complement system and prevents the generation of critical inflammatory mediators and phagocytic markers not addressed by other therapeutic approaches that act by inhibiting the complement system further downstream.</t>
        </is>
      </c>
      <c r="S943" s="27" t="inlineStr">
        <is>
          <t>South San Francisco, CA</t>
        </is>
      </c>
      <c r="T943" s="28" t="inlineStr">
        <is>
          <t>www.truenorthrx.com</t>
        </is>
      </c>
      <c r="U943" s="131">
        <f>HYPERLINK("https://my.pitchbook.com?c=58804-39", "View company online")</f>
      </c>
    </row>
    <row r="944">
      <c r="A944" s="30" t="inlineStr">
        <is>
          <t>58218-40</t>
        </is>
      </c>
      <c r="B944" s="31" t="inlineStr">
        <is>
          <t>True Link Financial</t>
        </is>
      </c>
      <c r="C944" s="32" t="inlineStr">
        <is>
          <t/>
        </is>
      </c>
      <c r="D944" s="33" t="n">
        <v>0.9427786275229433</v>
      </c>
      <c r="E944" s="34" t="n">
        <v>13.536892693303894</v>
      </c>
      <c r="F944" s="35" t="n">
        <v>42695.0</v>
      </c>
      <c r="G944" s="36" t="inlineStr">
        <is>
          <t>Early Stage VC</t>
        </is>
      </c>
      <c r="H944" s="37" t="inlineStr">
        <is>
          <t/>
        </is>
      </c>
      <c r="I944" s="38" t="n">
        <v>3.6</v>
      </c>
      <c r="J944" s="39" t="inlineStr">
        <is>
          <t/>
        </is>
      </c>
      <c r="K944" s="40" t="inlineStr">
        <is>
          <t>Completed</t>
        </is>
      </c>
      <c r="L944" s="41" t="inlineStr">
        <is>
          <t>Privately Held (backing)</t>
        </is>
      </c>
      <c r="M944" s="42" t="inlineStr">
        <is>
          <t>Venture Capital-Backed</t>
        </is>
      </c>
      <c r="N944" s="43" t="inlineStr">
        <is>
          <t>The company raised $3.6 million of venture funding in a deal co-led by Kapor Capital and Cambia Health Solutions on November 21, 2016. Initialized Capital, Link-age Ventures and Symmetrical Ventures also participated in the round. The company intends to use the funds to accelerate its growth, specifically around marketing its software tools that are used to oversee benefits eligibility and its debit card product. It is also gearing up to launch its online financial advisory service.</t>
        </is>
      </c>
      <c r="O944" s="44" t="inlineStr">
        <is>
          <t>Aging2.0, Alexis Ohanian, Allison Bhusri, Bodley Group, Cambia Health Solutions, Collaborative Fund, David Beyer, Deciens Capital, Eric Ries, Garry Tan, Generator Ventures, Initialized Capital, John Wolthuis, Kapor Capital, Karlin Ventures, Kenny Van Zant, Link-age, Matt Cutts, Michael Liou, Paul Buchheit, Rakesh Agrawal, Russell Siegelman, Sumit Gupta, Symmetrical Ventures, Tianxiang Zhuo, Y Combinator</t>
        </is>
      </c>
      <c r="P944" s="45" t="inlineStr">
        <is>
          <t/>
        </is>
      </c>
      <c r="Q944" s="46" t="inlineStr">
        <is>
          <t>Application Software</t>
        </is>
      </c>
      <c r="R944" s="47" t="inlineStr">
        <is>
          <t>Provider of an anti-fraud payment service for seniors. The company's platform entails a prepaid debit card for seniors or other vulnerable spenders, accompanied with an online fraud-blocking service enabling family members to prevent purchases at specific types of stores and types of merchants. The service also alerts family immediately if suspicious charges do occur.</t>
        </is>
      </c>
      <c r="S944" s="48" t="inlineStr">
        <is>
          <t>San Francisco, CA</t>
        </is>
      </c>
      <c r="T944" s="49" t="inlineStr">
        <is>
          <t>www.truelinkfinancial.com</t>
        </is>
      </c>
      <c r="U944" s="132">
        <f>HYPERLINK("https://my.pitchbook.com?c=58218-40", "View company online")</f>
      </c>
    </row>
    <row r="945">
      <c r="A945" s="9" t="inlineStr">
        <is>
          <t>60072-31</t>
        </is>
      </c>
      <c r="B945" s="10" t="inlineStr">
        <is>
          <t>True Fit</t>
        </is>
      </c>
      <c r="C945" s="11" t="inlineStr">
        <is>
          <t/>
        </is>
      </c>
      <c r="D945" s="12" t="n">
        <v>1.8270140923130542</v>
      </c>
      <c r="E945" s="13" t="n">
        <v>6.183696150092613</v>
      </c>
      <c r="F945" s="14" t="n">
        <v>42564.0</v>
      </c>
      <c r="G945" s="15" t="inlineStr">
        <is>
          <t>Later Stage VC</t>
        </is>
      </c>
      <c r="H945" s="16" t="inlineStr">
        <is>
          <t>Series B</t>
        </is>
      </c>
      <c r="I945" s="17" t="n">
        <v>25.0</v>
      </c>
      <c r="J945" s="18" t="inlineStr">
        <is>
          <t/>
        </is>
      </c>
      <c r="K945" s="19" t="inlineStr">
        <is>
          <t>Completed</t>
        </is>
      </c>
      <c r="L945" s="20" t="inlineStr">
        <is>
          <t>Privately Held (backing)</t>
        </is>
      </c>
      <c r="M945" s="21" t="inlineStr">
        <is>
          <t>Venture Capital-Backed</t>
        </is>
      </c>
      <c r="N945" s="22" t="inlineStr">
        <is>
          <t>The company raised $25 million of Series B venture funding from lead investor Intel Capital on July 13, 2016. Signal Peak Ventures and Jump Capital also participated. The company will use funds to hire more people to serve its retail customers and expand its data science team, as well as accelerate product innovation.</t>
        </is>
      </c>
      <c r="O945" s="23" t="inlineStr">
        <is>
          <t>Breakaway Innovation Group, BYU Cougar Capital, Founder Collective, Guggenheim Partners, Intel Capital, Jump Capital, Novel TMT Ventures, Promus Ventures, Signal Peak Ventures</t>
        </is>
      </c>
      <c r="P945" s="24" t="inlineStr">
        <is>
          <t/>
        </is>
      </c>
      <c r="Q945" s="25" t="inlineStr">
        <is>
          <t>Social/Platform Software</t>
        </is>
      </c>
      <c r="R945" s="26" t="inlineStr">
        <is>
          <t>Provider of a database software which helps consumers, brands and retailers to find online stores. The company provides a software which manages database of apparel, footwear and consumer fit data which helps consumers, brands and retailers to find required products on online market.</t>
        </is>
      </c>
      <c r="S945" s="27" t="inlineStr">
        <is>
          <t>Woburn, MA</t>
        </is>
      </c>
      <c r="T945" s="28" t="inlineStr">
        <is>
          <t>www.truefit.com</t>
        </is>
      </c>
      <c r="U945" s="131">
        <f>HYPERLINK("https://my.pitchbook.com?c=60072-31", "View company online")</f>
      </c>
    </row>
    <row r="946">
      <c r="A946" s="30" t="inlineStr">
        <is>
          <t>180621-37</t>
        </is>
      </c>
      <c r="B946" s="31" t="inlineStr">
        <is>
          <t>True Botanicals</t>
        </is>
      </c>
      <c r="C946" s="32" t="inlineStr">
        <is>
          <t/>
        </is>
      </c>
      <c r="D946" s="33" t="n">
        <v>0.974751666981225</v>
      </c>
      <c r="E946" s="34" t="n">
        <v>11.33742148296312</v>
      </c>
      <c r="F946" s="35" t="n">
        <v>42824.0</v>
      </c>
      <c r="G946" s="36" t="inlineStr">
        <is>
          <t>Seed Round</t>
        </is>
      </c>
      <c r="H946" s="37" t="inlineStr">
        <is>
          <t>Seed</t>
        </is>
      </c>
      <c r="I946" s="38" t="n">
        <v>3.0</v>
      </c>
      <c r="J946" s="39" t="inlineStr">
        <is>
          <t/>
        </is>
      </c>
      <c r="K946" s="40" t="inlineStr">
        <is>
          <t>Completed</t>
        </is>
      </c>
      <c r="L946" s="41" t="inlineStr">
        <is>
          <t>Privately Held (backing)</t>
        </is>
      </c>
      <c r="M946" s="42" t="inlineStr">
        <is>
          <t>Venture Capital-Backed</t>
        </is>
      </c>
      <c r="N946" s="43" t="inlineStr">
        <is>
          <t>The company raised $3 million of seed funding led by Unilever Ventures on March 30, 2017. Mats Lederhausen and other undisclosed investors also participated in the round. the funds will bge used to further expand the digital infrastructure.</t>
        </is>
      </c>
      <c r="O946" s="44" t="inlineStr">
        <is>
          <t>Cue Ball, Mats Lederhausen, Unilever Ventures</t>
        </is>
      </c>
      <c r="P946" s="45" t="inlineStr">
        <is>
          <t/>
        </is>
      </c>
      <c r="Q946" s="46" t="inlineStr">
        <is>
          <t>Personal Products</t>
        </is>
      </c>
      <c r="R946" s="47" t="inlineStr">
        <is>
          <t>Provider of luxury natural skincare products intended to transform the result for every skin type. The company's natural skincare products is a direct-to-consumer prestige skin care brand which includes super concentrated and bio-active ingredients which does not harm health or skin and is more than just an anti-aging skin care, enabling users to get incredible skin with organic and chemical free products.</t>
        </is>
      </c>
      <c r="S946" s="48" t="inlineStr">
        <is>
          <t>Mill Valley, CA</t>
        </is>
      </c>
      <c r="T946" s="49" t="inlineStr">
        <is>
          <t>www.truebotanicals.com</t>
        </is>
      </c>
      <c r="U946" s="132">
        <f>HYPERLINK("https://my.pitchbook.com?c=180621-37", "View company online")</f>
      </c>
    </row>
    <row r="947">
      <c r="A947" s="9" t="inlineStr">
        <is>
          <t>58362-04</t>
        </is>
      </c>
      <c r="B947" s="10" t="inlineStr">
        <is>
          <t>True Anthem</t>
        </is>
      </c>
      <c r="C947" s="11" t="inlineStr">
        <is>
          <t/>
        </is>
      </c>
      <c r="D947" s="12" t="n">
        <v>0.5950266964276221</v>
      </c>
      <c r="E947" s="13" t="n">
        <v>3.3980239740740847</v>
      </c>
      <c r="F947" s="14" t="n">
        <v>42867.0</v>
      </c>
      <c r="G947" s="15" t="inlineStr">
        <is>
          <t>Angel (individual)</t>
        </is>
      </c>
      <c r="H947" s="16" t="inlineStr">
        <is>
          <t>Angel</t>
        </is>
      </c>
      <c r="I947" s="17" t="n">
        <v>1.5</v>
      </c>
      <c r="J947" s="18" t="inlineStr">
        <is>
          <t/>
        </is>
      </c>
      <c r="K947" s="19" t="inlineStr">
        <is>
          <t>Completed</t>
        </is>
      </c>
      <c r="L947" s="20" t="inlineStr">
        <is>
          <t>Privately Held (backing)</t>
        </is>
      </c>
      <c r="M947" s="21" t="inlineStr">
        <is>
          <t>Venture Capital-Backed</t>
        </is>
      </c>
      <c r="N947" s="22" t="inlineStr">
        <is>
          <t>The company raised $1.5 million of angel funding from WorldQuant Ventures and other undisclosed investors on May 12, 2017. The company will use the funding to expand and strengthen its data-driven platform.</t>
        </is>
      </c>
      <c r="O947" s="23" t="inlineStr">
        <is>
          <t>Core Ventures Group, CrunchFund, KEC Ventures, Matthew Sonsini, Rubicon Venture Capital, Shinya Akamine, WorldQuant Ventures</t>
        </is>
      </c>
      <c r="P947" s="24" t="inlineStr">
        <is>
          <t/>
        </is>
      </c>
      <c r="Q947" s="25" t="inlineStr">
        <is>
          <t>Media and Information Services (B2B)</t>
        </is>
      </c>
      <c r="R947" s="26" t="inlineStr">
        <is>
          <t>Provider of an online platform designed to help publishers and media companies efficiently distribute their most popular stories across social media. The company's online platform uses artificial intelligence to identify the right content for social audiences and then automatically post it at the right time, enabling clients to engage audiences and create new content instead of repetitive tasks.</t>
        </is>
      </c>
      <c r="S947" s="27" t="inlineStr">
        <is>
          <t>San Francisco, CA</t>
        </is>
      </c>
      <c r="T947" s="28" t="inlineStr">
        <is>
          <t>www.trueanthem.com</t>
        </is>
      </c>
      <c r="U947" s="131">
        <f>HYPERLINK("https://my.pitchbook.com?c=58362-04", "View company online")</f>
      </c>
    </row>
    <row r="948">
      <c r="A948" s="30" t="inlineStr">
        <is>
          <t>62918-92</t>
        </is>
      </c>
      <c r="B948" s="31" t="inlineStr">
        <is>
          <t>TruckTrack</t>
        </is>
      </c>
      <c r="C948" s="32" t="inlineStr">
        <is>
          <t/>
        </is>
      </c>
      <c r="D948" s="33" t="n">
        <v>-0.006058397089572507</v>
      </c>
      <c r="E948" s="34" t="n">
        <v>0.8802228826362946</v>
      </c>
      <c r="F948" s="35" t="n">
        <v>42216.0</v>
      </c>
      <c r="G948" s="36" t="inlineStr">
        <is>
          <t>Accelerator/Incubator</t>
        </is>
      </c>
      <c r="H948" s="37" t="inlineStr">
        <is>
          <t/>
        </is>
      </c>
      <c r="I948" s="38" t="n">
        <v>0.13</v>
      </c>
      <c r="J948" s="39" t="n">
        <v>2.5</v>
      </c>
      <c r="K948" s="40" t="inlineStr">
        <is>
          <t>Completed</t>
        </is>
      </c>
      <c r="L948" s="41" t="inlineStr">
        <is>
          <t>Privately Held (backing)</t>
        </is>
      </c>
      <c r="M948" s="42" t="inlineStr">
        <is>
          <t>Venture Capital-Backed</t>
        </is>
      </c>
      <c r="N948" s="43" t="inlineStr">
        <is>
          <t>The company joined 500 Startups as a part of its 14th class, and received $125,000 in funding on July 31, 2015.</t>
        </is>
      </c>
      <c r="O948" s="44" t="inlineStr">
        <is>
          <t>500 Startups, Eileen Burbidge, Ivan Mitrovic, Passion Capital, Robert Dighero, Seedcamp</t>
        </is>
      </c>
      <c r="P948" s="45" t="inlineStr">
        <is>
          <t/>
        </is>
      </c>
      <c r="Q948" s="46" t="inlineStr">
        <is>
          <t>Application Software</t>
        </is>
      </c>
      <c r="R948" s="47" t="inlineStr">
        <is>
          <t>Developer of a SaaS software for trucking industries. The company focuses on digitizing truck transportation industry by providing a record of all documents, equipment and employees through its cloud application.</t>
        </is>
      </c>
      <c r="S948" s="48" t="inlineStr">
        <is>
          <t>San Francisco, CA</t>
        </is>
      </c>
      <c r="T948" s="49" t="inlineStr">
        <is>
          <t>www.trucktrack.co</t>
        </is>
      </c>
      <c r="U948" s="132">
        <f>HYPERLINK("https://my.pitchbook.com?c=62918-92", "View company online")</f>
      </c>
    </row>
    <row r="949">
      <c r="A949" s="9" t="inlineStr">
        <is>
          <t>109616-41</t>
        </is>
      </c>
      <c r="B949" s="10" t="inlineStr">
        <is>
          <t>Trucker Path</t>
        </is>
      </c>
      <c r="C949" s="11" t="n">
        <v>150.0</v>
      </c>
      <c r="D949" s="12" t="n">
        <v>0.32621429785586464</v>
      </c>
      <c r="E949" s="13" t="n">
        <v>32.57766175481724</v>
      </c>
      <c r="F949" s="14" t="n">
        <v>42185.0</v>
      </c>
      <c r="G949" s="15" t="inlineStr">
        <is>
          <t>Early Stage VC</t>
        </is>
      </c>
      <c r="H949" s="16" t="inlineStr">
        <is>
          <t>Series A</t>
        </is>
      </c>
      <c r="I949" s="17" t="n">
        <v>20.0</v>
      </c>
      <c r="J949" s="18" t="n">
        <v>180.0</v>
      </c>
      <c r="K949" s="19" t="inlineStr">
        <is>
          <t>Completed</t>
        </is>
      </c>
      <c r="L949" s="20" t="inlineStr">
        <is>
          <t>Privately Held (backing)</t>
        </is>
      </c>
      <c r="M949" s="21" t="inlineStr">
        <is>
          <t>Venture Capital-Backed</t>
        </is>
      </c>
      <c r="N949" s="22" t="inlineStr">
        <is>
          <t>The company raised $20 million of Series A venture funding from Wicklow Capital and Renren on June 30, 2015, putting the company's pre-money valuation at $160 million. Previously, the company raised $1.5 million of Series A venture funding from Renren on January 13, 2015, putting the pre-money valuation at $3.5 million.</t>
        </is>
      </c>
      <c r="O949" s="23" t="inlineStr">
        <is>
          <t>Renren, StartX, Wicklow Capital</t>
        </is>
      </c>
      <c r="P949" s="24" t="inlineStr">
        <is>
          <t/>
        </is>
      </c>
      <c r="Q949" s="25" t="inlineStr">
        <is>
          <t>Application Software</t>
        </is>
      </c>
      <c r="R949" s="26" t="inlineStr">
        <is>
          <t>Provider of navigational assistance and load sourcing services for the truck drivers. The company provides a platform for trip planning enabling drivers to update the real-time status of places on their route while connecting shippers and brokers to the carriers helping in the load matching process.</t>
        </is>
      </c>
      <c r="S949" s="27" t="inlineStr">
        <is>
          <t>Mountain View, CA</t>
        </is>
      </c>
      <c r="T949" s="28" t="inlineStr">
        <is>
          <t>www.truckerpath.com</t>
        </is>
      </c>
      <c r="U949" s="131">
        <f>HYPERLINK("https://my.pitchbook.com?c=109616-41", "View company online")</f>
      </c>
    </row>
    <row r="950">
      <c r="A950" s="30" t="inlineStr">
        <is>
          <t>128343-88</t>
        </is>
      </c>
      <c r="B950" s="31" t="inlineStr">
        <is>
          <t>TruBuzz</t>
        </is>
      </c>
      <c r="C950" s="32" t="inlineStr">
        <is>
          <t/>
        </is>
      </c>
      <c r="D950" s="33" t="n">
        <v>0.0</v>
      </c>
      <c r="E950" s="34" t="n">
        <v>0.02702702702702703</v>
      </c>
      <c r="F950" s="35" t="inlineStr">
        <is>
          <t/>
        </is>
      </c>
      <c r="G950" s="36" t="inlineStr">
        <is>
          <t>Early Stage VC</t>
        </is>
      </c>
      <c r="H950" s="37" t="inlineStr">
        <is>
          <t/>
        </is>
      </c>
      <c r="I950" s="38" t="inlineStr">
        <is>
          <t/>
        </is>
      </c>
      <c r="J950" s="39" t="inlineStr">
        <is>
          <t/>
        </is>
      </c>
      <c r="K950" s="40" t="inlineStr">
        <is>
          <t>Completed</t>
        </is>
      </c>
      <c r="L950" s="41" t="inlineStr">
        <is>
          <t>Privately Held (backing)</t>
        </is>
      </c>
      <c r="M950" s="42" t="inlineStr">
        <is>
          <t>Venture Capital-Backed</t>
        </is>
      </c>
      <c r="N950" s="43" t="inlineStr">
        <is>
          <t>The company raised venture funding from Innolinks Ventures on an undisclosed date.</t>
        </is>
      </c>
      <c r="O950" s="44" t="inlineStr">
        <is>
          <t>Innolinks Ventures</t>
        </is>
      </c>
      <c r="P950" s="45" t="inlineStr">
        <is>
          <t/>
        </is>
      </c>
      <c r="Q950" s="46" t="inlineStr">
        <is>
          <t>Financial Software</t>
        </is>
      </c>
      <c r="R950" s="47" t="inlineStr">
        <is>
          <t>Provider of an investment platform designed to offer investment advisory and portfolio management services. The company's investment platform helps users to set alerts and trade using their smartphone, monitor important financial information form anywhere, as well as manage personal assets easily and efficiently, enabling users to invest in various securities, track investments and get advice from investment experts.</t>
        </is>
      </c>
      <c r="S950" s="48" t="inlineStr">
        <is>
          <t>Irvine, CA</t>
        </is>
      </c>
      <c r="T950" s="49" t="inlineStr">
        <is>
          <t>www.trubuzz.com</t>
        </is>
      </c>
      <c r="U950" s="132">
        <f>HYPERLINK("https://my.pitchbook.com?c=128343-88", "View company online")</f>
      </c>
    </row>
    <row r="951">
      <c r="A951" s="9" t="inlineStr">
        <is>
          <t>95299-03</t>
        </is>
      </c>
      <c r="B951" s="10" t="inlineStr">
        <is>
          <t>truBrain</t>
        </is>
      </c>
      <c r="C951" s="11" t="n">
        <v>1.5</v>
      </c>
      <c r="D951" s="12" t="n">
        <v>0.26598891000430475</v>
      </c>
      <c r="E951" s="13" t="n">
        <v>13.37939218827207</v>
      </c>
      <c r="F951" s="14" t="n">
        <v>42415.0</v>
      </c>
      <c r="G951" s="15" t="inlineStr">
        <is>
          <t>Angel (individual)</t>
        </is>
      </c>
      <c r="H951" s="16" t="inlineStr">
        <is>
          <t>Angel</t>
        </is>
      </c>
      <c r="I951" s="17" t="n">
        <v>1.0</v>
      </c>
      <c r="J951" s="18" t="inlineStr">
        <is>
          <t/>
        </is>
      </c>
      <c r="K951" s="19" t="inlineStr">
        <is>
          <t>Completed</t>
        </is>
      </c>
      <c r="L951" s="20" t="inlineStr">
        <is>
          <t>Privately Held (backing)</t>
        </is>
      </c>
      <c r="M951" s="21" t="inlineStr">
        <is>
          <t>Venture Capital-Backed</t>
        </is>
      </c>
      <c r="N951" s="22" t="inlineStr">
        <is>
          <t>The company closed on $1 million of a planned $1.33 million of angel funding via crowdfunding platform Crowdfunder on an undisclosed date. Previously the company raised $750,000 of seed funding from Brightstone Venture Capital on May 7, 2015. The company is being actively tracked by PitchBook.</t>
        </is>
      </c>
      <c r="O951" s="23" t="inlineStr">
        <is>
          <t>Blueberry Ventures, Brent Beckley, Brightstone Venture Capital, Howard Marks, Jackson Leung, Paul Kessler, Sherpa Capital, StartEngine.com</t>
        </is>
      </c>
      <c r="P951" s="24" t="inlineStr">
        <is>
          <t/>
        </is>
      </c>
      <c r="Q951" s="25" t="inlineStr">
        <is>
          <t>Beverages</t>
        </is>
      </c>
      <c r="R951" s="26" t="inlineStr">
        <is>
          <t>Developer of a brain stimulating drink. The company develops a drink that address the fundamental components of brain chemistry by stimulating blood flow to deliver oxygen and nourishment to the brain and create optimal conditions for attention span, memory, sustained energy and complex reasoning.</t>
        </is>
      </c>
      <c r="S951" s="27" t="inlineStr">
        <is>
          <t>Santa Monica, CA</t>
        </is>
      </c>
      <c r="T951" s="28" t="inlineStr">
        <is>
          <t>www.trubrain.com</t>
        </is>
      </c>
      <c r="U951" s="131">
        <f>HYPERLINK("https://my.pitchbook.com?c=95299-03", "View company online")</f>
      </c>
    </row>
    <row r="952">
      <c r="A952" s="30" t="inlineStr">
        <is>
          <t>109893-07</t>
        </is>
      </c>
      <c r="B952" s="31" t="inlineStr">
        <is>
          <t>Trove Tech</t>
        </is>
      </c>
      <c r="C952" s="32" t="inlineStr">
        <is>
          <t/>
        </is>
      </c>
      <c r="D952" s="33" t="n">
        <v>0.6735077526740412</v>
      </c>
      <c r="E952" s="34" t="n">
        <v>7.545006468201014</v>
      </c>
      <c r="F952" s="35" t="inlineStr">
        <is>
          <t/>
        </is>
      </c>
      <c r="G952" s="36" t="inlineStr">
        <is>
          <t>Early Stage VC</t>
        </is>
      </c>
      <c r="H952" s="37" t="inlineStr">
        <is>
          <t/>
        </is>
      </c>
      <c r="I952" s="38" t="inlineStr">
        <is>
          <t/>
        </is>
      </c>
      <c r="J952" s="39" t="inlineStr">
        <is>
          <t/>
        </is>
      </c>
      <c r="K952" s="40" t="inlineStr">
        <is>
          <t>Completed</t>
        </is>
      </c>
      <c r="L952" s="41" t="inlineStr">
        <is>
          <t>Privately Held (backing)</t>
        </is>
      </c>
      <c r="M952" s="42" t="inlineStr">
        <is>
          <t>Venture Capital-Backed</t>
        </is>
      </c>
      <c r="N952" s="43" t="inlineStr">
        <is>
          <t>The company raised venture funding from iSeed Ventures on an undisclosed date.</t>
        </is>
      </c>
      <c r="O952" s="44" t="inlineStr">
        <is>
          <t>iSeed Ventures</t>
        </is>
      </c>
      <c r="P952" s="45" t="inlineStr">
        <is>
          <t/>
        </is>
      </c>
      <c r="Q952" s="46" t="inlineStr">
        <is>
          <t>Internet Retail</t>
        </is>
      </c>
      <c r="R952" s="47" t="inlineStr">
        <is>
          <t>Provider of an online trading platform for used furniture. The company operates an online marketplace for buying and selling used furniture and other home decor.</t>
        </is>
      </c>
      <c r="S952" s="48" t="inlineStr">
        <is>
          <t>San Francisco, CA</t>
        </is>
      </c>
      <c r="T952" s="49" t="inlineStr">
        <is>
          <t>www.usetrove.com</t>
        </is>
      </c>
      <c r="U952" s="132">
        <f>HYPERLINK("https://my.pitchbook.com?c=109893-07", "View company online")</f>
      </c>
    </row>
    <row r="953">
      <c r="A953" s="9" t="inlineStr">
        <is>
          <t>98444-35</t>
        </is>
      </c>
      <c r="B953" s="10" t="inlineStr">
        <is>
          <t>Trove app</t>
        </is>
      </c>
      <c r="C953" s="11" t="inlineStr">
        <is>
          <t/>
        </is>
      </c>
      <c r="D953" s="12" t="n">
        <v>0.0</v>
      </c>
      <c r="E953" s="13" t="n">
        <v>0.08726357160402849</v>
      </c>
      <c r="F953" s="14" t="n">
        <v>42795.0</v>
      </c>
      <c r="G953" s="15" t="inlineStr">
        <is>
          <t>Early Stage VC</t>
        </is>
      </c>
      <c r="H953" s="16" t="inlineStr">
        <is>
          <t/>
        </is>
      </c>
      <c r="I953" s="17" t="inlineStr">
        <is>
          <t/>
        </is>
      </c>
      <c r="J953" s="18" t="inlineStr">
        <is>
          <t/>
        </is>
      </c>
      <c r="K953" s="19" t="inlineStr">
        <is>
          <t>Announced/In Progress</t>
        </is>
      </c>
      <c r="L953" s="20" t="inlineStr">
        <is>
          <t>Privately Held (backing)</t>
        </is>
      </c>
      <c r="M953" s="21" t="inlineStr">
        <is>
          <t>Venture Capital-Backed</t>
        </is>
      </c>
      <c r="N953" s="22" t="inlineStr">
        <is>
          <t>The company closed on an undisclosed amount of convertible debt financing in March 2017. Previously, it raised an estimated $1.5 million of seed 2 funding from undisclosed investors in March, 2016, putting the pre-money valuation at $6 million. The company is being actively tracked by PitchBook.</t>
        </is>
      </c>
      <c r="O953" s="23" t="inlineStr">
        <is>
          <t>Highland Capital Partners, Wasabi Ventures, XSeed Capital</t>
        </is>
      </c>
      <c r="P953" s="24" t="inlineStr">
        <is>
          <t/>
        </is>
      </c>
      <c r="Q953" s="25" t="inlineStr">
        <is>
          <t>Application Software</t>
        </is>
      </c>
      <c r="R953" s="26" t="inlineStr">
        <is>
          <t>Developer of a mobile application designed to discover social content from the world of fashion. The company's mobile application curates content from major fashion blogs and fashion influencers which the can be accessed with a single swipe, enabling users to discover new trends, learn the latest styling tricks and shop for accessories and apparel that are currently trending.</t>
        </is>
      </c>
      <c r="S953" s="27" t="inlineStr">
        <is>
          <t>San Francisco, CA</t>
        </is>
      </c>
      <c r="T953" s="28" t="inlineStr">
        <is>
          <t>www.thetroveapp.com</t>
        </is>
      </c>
      <c r="U953" s="131">
        <f>HYPERLINK("https://my.pitchbook.com?c=98444-35", "View company online")</f>
      </c>
    </row>
    <row r="954">
      <c r="A954" s="30" t="inlineStr">
        <is>
          <t>181300-15</t>
        </is>
      </c>
      <c r="B954" s="31" t="inlineStr">
        <is>
          <t>Trove (Logistics)</t>
        </is>
      </c>
      <c r="C954" s="32" t="inlineStr">
        <is>
          <t/>
        </is>
      </c>
      <c r="D954" s="33" t="inlineStr">
        <is>
          <t/>
        </is>
      </c>
      <c r="E954" s="34" t="inlineStr">
        <is>
          <t/>
        </is>
      </c>
      <c r="F954" s="35" t="n">
        <v>42878.0</v>
      </c>
      <c r="G954" s="36" t="inlineStr">
        <is>
          <t>Seed Round</t>
        </is>
      </c>
      <c r="H954" s="37" t="inlineStr">
        <is>
          <t>Seed</t>
        </is>
      </c>
      <c r="I954" s="38" t="n">
        <v>8.0</v>
      </c>
      <c r="J954" s="39" t="n">
        <v>27.0</v>
      </c>
      <c r="K954" s="40" t="inlineStr">
        <is>
          <t>Completed</t>
        </is>
      </c>
      <c r="L954" s="41" t="inlineStr">
        <is>
          <t>Privately Held (backing)</t>
        </is>
      </c>
      <c r="M954" s="42" t="inlineStr">
        <is>
          <t>Venture Capital-Backed</t>
        </is>
      </c>
      <c r="N954" s="43" t="inlineStr">
        <is>
          <t>The company raised $8 million of seed venture funding in a deal led by Greylock Partners on May 23, 2017, putting the pre-money valuation at $19 million. Other undisclosed individual investors also participated in this round. The company will use the new capital to expand its service in the Bay Area.</t>
        </is>
      </c>
      <c r="O954" s="44" t="inlineStr">
        <is>
          <t>Greylock Partners</t>
        </is>
      </c>
      <c r="P954" s="45" t="inlineStr">
        <is>
          <t/>
        </is>
      </c>
      <c r="Q954" s="46" t="inlineStr">
        <is>
          <t>Logistics</t>
        </is>
      </c>
      <c r="R954" s="47" t="inlineStr">
        <is>
          <t>Provider of storage service intended to handle everything from locating an affordable space to connecting customers with moving companies. The company's storage service provides assistance with services like renting a truck, buying boxes, packing boxes, enabling the clients in moving the stuff into another unit.</t>
        </is>
      </c>
      <c r="S954" s="48" t="inlineStr">
        <is>
          <t>San Francisco, CA</t>
        </is>
      </c>
      <c r="T954" s="49" t="inlineStr">
        <is>
          <t>www.mytrove.com</t>
        </is>
      </c>
      <c r="U954" s="132">
        <f>HYPERLINK("https://my.pitchbook.com?c=181300-15", "View company online")</f>
      </c>
    </row>
    <row r="955">
      <c r="A955" s="9" t="inlineStr">
        <is>
          <t>58180-87</t>
        </is>
      </c>
      <c r="B955" s="10" t="inlineStr">
        <is>
          <t>Trōv</t>
        </is>
      </c>
      <c r="C955" s="11" t="inlineStr">
        <is>
          <t/>
        </is>
      </c>
      <c r="D955" s="12" t="n">
        <v>1.4187717655723866</v>
      </c>
      <c r="E955" s="13" t="n">
        <v>13.841865454779974</v>
      </c>
      <c r="F955" s="14" t="n">
        <v>42831.0</v>
      </c>
      <c r="G955" s="15" t="inlineStr">
        <is>
          <t>Later Stage VC</t>
        </is>
      </c>
      <c r="H955" s="16" t="inlineStr">
        <is>
          <t>Series D</t>
        </is>
      </c>
      <c r="I955" s="17" t="n">
        <v>45.0</v>
      </c>
      <c r="J955" s="18" t="n">
        <v>345.0</v>
      </c>
      <c r="K955" s="19" t="inlineStr">
        <is>
          <t>Completed</t>
        </is>
      </c>
      <c r="L955" s="20" t="inlineStr">
        <is>
          <t>Privately Held (backing)</t>
        </is>
      </c>
      <c r="M955" s="21" t="inlineStr">
        <is>
          <t>Venture Capital-Backed</t>
        </is>
      </c>
      <c r="N955" s="22" t="inlineStr">
        <is>
          <t>The company raised $45 million of Series D venture funding in a deal led by Munich Re/HSB Ventures on April 6, 2017, putting the pre-money valuation at $300 million. Sompo Japan Nipponkoa Holdings, Oak HC/FT, Suncorp Group (ASX:SUN), Guidewire (NYSE: GWRE) and Anthemis Group also participated in the round. The company, which has raised more than $85 million in total funding to date, intends to use the funds to bring its platform globally, expand the categories of items it covers and accelerate the development of new applications.</t>
        </is>
      </c>
      <c r="O955" s="23" t="inlineStr">
        <is>
          <t>Anthemis Group, CNF Investments, Gordon Bell, Guidewire, Munich Re/HSB Ventures, Oak HC/FT, Pivot Investment Partners, Sompo Japan Nipponkoa Holdings, Suncorp Group</t>
        </is>
      </c>
      <c r="P955" s="24" t="inlineStr">
        <is>
          <t/>
        </is>
      </c>
      <c r="Q955" s="25" t="inlineStr">
        <is>
          <t>Financial Software</t>
        </is>
      </c>
      <c r="R955" s="26" t="inlineStr">
        <is>
          <t>Provider of an on-demand insurance platform designed to simplify the insurance service for single items. The company's on-demand insurance platform is a personalized quote featuring micro-duration policies, algorithmic pricing, integrated billing and intelligent bot-assisted claims for important single items and can instantly turn insurance on or off for an individual item, for whatever length of time they need, paying only for the coverage they require through a cloud-native insurance platform and a mobile application.</t>
        </is>
      </c>
      <c r="S955" s="27" t="inlineStr">
        <is>
          <t>Danville, CA</t>
        </is>
      </c>
      <c r="T955" s="28" t="inlineStr">
        <is>
          <t>www.trov.com</t>
        </is>
      </c>
      <c r="U955" s="131">
        <f>HYPERLINK("https://my.pitchbook.com?c=58180-87", "View company online")</f>
      </c>
    </row>
    <row r="956">
      <c r="A956" s="30" t="inlineStr">
        <is>
          <t>95298-58</t>
        </is>
      </c>
      <c r="B956" s="31" t="inlineStr">
        <is>
          <t>Trooly</t>
        </is>
      </c>
      <c r="C956" s="32" t="inlineStr">
        <is>
          <t/>
        </is>
      </c>
      <c r="D956" s="33" t="n">
        <v>0.0</v>
      </c>
      <c r="E956" s="34" t="n">
        <v>0.05405405405405406</v>
      </c>
      <c r="F956" s="35" t="n">
        <v>42536.0</v>
      </c>
      <c r="G956" s="36" t="inlineStr">
        <is>
          <t>Early Stage VC</t>
        </is>
      </c>
      <c r="H956" s="37" t="inlineStr">
        <is>
          <t>Series A</t>
        </is>
      </c>
      <c r="I956" s="38" t="n">
        <v>8.8</v>
      </c>
      <c r="J956" s="39" t="inlineStr">
        <is>
          <t/>
        </is>
      </c>
      <c r="K956" s="40" t="inlineStr">
        <is>
          <t>Completed</t>
        </is>
      </c>
      <c r="L956" s="41" t="inlineStr">
        <is>
          <t>Privately Held (backing)</t>
        </is>
      </c>
      <c r="M956" s="42" t="inlineStr">
        <is>
          <t>Venture Capital-Backed</t>
        </is>
      </c>
      <c r="N956" s="43" t="inlineStr">
        <is>
          <t>The company raised $8.8 million of Series A funding from Bain Capital Ventures and Milliways Ventures on June 15, 2016. The funding will be used for scaling up the engineering team specifically to focus on the financial service sector, as well as ramping up on marketing. The company has now raised $10 million in external funding.</t>
        </is>
      </c>
      <c r="O956" s="44" t="inlineStr">
        <is>
          <t>Anand Rajaraman, Bain Capital Ventures, Milliways Ventures</t>
        </is>
      </c>
      <c r="P956" s="45" t="inlineStr">
        <is>
          <t/>
        </is>
      </c>
      <c r="Q956" s="46" t="inlineStr">
        <is>
          <t>Social/Platform Software</t>
        </is>
      </c>
      <c r="R956" s="47" t="inlineStr">
        <is>
          <t>Developer of peer-to-peer financial technology. The company offers a platform that leverages data science and social science, with a focus on improving trust and compatibility between individuals in online and offline interactions.</t>
        </is>
      </c>
      <c r="S956" s="48" t="inlineStr">
        <is>
          <t>Los Altos, CA</t>
        </is>
      </c>
      <c r="T956" s="49" t="inlineStr">
        <is>
          <t>www.troo.ly</t>
        </is>
      </c>
      <c r="U956" s="132">
        <f>HYPERLINK("https://my.pitchbook.com?c=95298-58", "View company online")</f>
      </c>
    </row>
    <row r="957">
      <c r="A957" s="9" t="inlineStr">
        <is>
          <t>97130-98</t>
        </is>
      </c>
      <c r="B957" s="10" t="inlineStr">
        <is>
          <t>Troia Therapeutics</t>
        </is>
      </c>
      <c r="C957" s="11" t="inlineStr">
        <is>
          <t/>
        </is>
      </c>
      <c r="D957" s="12" t="inlineStr">
        <is>
          <t/>
        </is>
      </c>
      <c r="E957" s="13" t="inlineStr">
        <is>
          <t/>
        </is>
      </c>
      <c r="F957" s="14" t="inlineStr">
        <is>
          <t/>
        </is>
      </c>
      <c r="G957" s="15" t="inlineStr">
        <is>
          <t>Early Stage VC</t>
        </is>
      </c>
      <c r="H957" s="16" t="inlineStr">
        <is>
          <t/>
        </is>
      </c>
      <c r="I957" s="17" t="inlineStr">
        <is>
          <t/>
        </is>
      </c>
      <c r="J957" s="18" t="inlineStr">
        <is>
          <t/>
        </is>
      </c>
      <c r="K957" s="19" t="inlineStr">
        <is>
          <t>Completed</t>
        </is>
      </c>
      <c r="L957" s="20" t="inlineStr">
        <is>
          <t>Privately Held (backing)</t>
        </is>
      </c>
      <c r="M957" s="21" t="inlineStr">
        <is>
          <t>Venture Capital-Backed</t>
        </is>
      </c>
      <c r="N957" s="22" t="inlineStr">
        <is>
          <t>The company raised venture funding from Biobrit on an undisclosed date.</t>
        </is>
      </c>
      <c r="O957" s="23" t="inlineStr">
        <is>
          <t>Biobrit</t>
        </is>
      </c>
      <c r="P957" s="24" t="inlineStr">
        <is>
          <t/>
        </is>
      </c>
      <c r="Q957" s="25" t="inlineStr">
        <is>
          <t>Other Commercial Services</t>
        </is>
      </c>
      <c r="R957" s="26" t="inlineStr">
        <is>
          <t>Provider of undisclosed products and services.</t>
        </is>
      </c>
      <c r="S957" s="27" t="inlineStr">
        <is>
          <t>San Diego, CA</t>
        </is>
      </c>
      <c r="T957" s="28" t="inlineStr">
        <is>
          <t/>
        </is>
      </c>
      <c r="U957" s="131">
        <f>HYPERLINK("https://my.pitchbook.com?c=97130-98", "View company online")</f>
      </c>
    </row>
    <row r="958">
      <c r="A958" s="30" t="inlineStr">
        <is>
          <t>104743-63</t>
        </is>
      </c>
      <c r="B958" s="31" t="inlineStr">
        <is>
          <t>Trizic</t>
        </is>
      </c>
      <c r="C958" s="32" t="inlineStr">
        <is>
          <t/>
        </is>
      </c>
      <c r="D958" s="33" t="n">
        <v>0.17899903167997827</v>
      </c>
      <c r="E958" s="34" t="n">
        <v>1.3605894029622843</v>
      </c>
      <c r="F958" s="35" t="n">
        <v>42779.0</v>
      </c>
      <c r="G958" s="36" t="inlineStr">
        <is>
          <t>Later Stage VC</t>
        </is>
      </c>
      <c r="H958" s="37" t="inlineStr">
        <is>
          <t/>
        </is>
      </c>
      <c r="I958" s="38" t="n">
        <v>3.3</v>
      </c>
      <c r="J958" s="39" t="inlineStr">
        <is>
          <t/>
        </is>
      </c>
      <c r="K958" s="40" t="inlineStr">
        <is>
          <t>Completed</t>
        </is>
      </c>
      <c r="L958" s="41" t="inlineStr">
        <is>
          <t>Privately Held (backing)</t>
        </is>
      </c>
      <c r="M958" s="42" t="inlineStr">
        <is>
          <t>Venture Capital-Backed</t>
        </is>
      </c>
      <c r="N958" s="43" t="inlineStr">
        <is>
          <t>The company raised $3.3 million of venture funding from lead investor Freestyle Capital on February 13, 2017. Broadhaven Capital Partners and Commerce Ventures also participated in the round. The company intends to use the funds to accelerate growth and reinforce its position as the preeminent provider of enterprise grade digital advice technology.</t>
        </is>
      </c>
      <c r="O958" s="44" t="inlineStr">
        <is>
          <t>Broadhaven Capital Partners, Commerce Ventures, Freestyle Capital, Operative Capital</t>
        </is>
      </c>
      <c r="P958" s="45" t="inlineStr">
        <is>
          <t/>
        </is>
      </c>
      <c r="Q958" s="46" t="inlineStr">
        <is>
          <t>Financial Software</t>
        </is>
      </c>
      <c r="R958" s="47" t="inlineStr">
        <is>
          <t>Provider of financial management software for financial advisers. The company provides Trizic Accelerator, a cloud-based digital wealth advisory platform for broker-dealers, asset managers, banks, credit unions, trust companies and independent wealth management firms to offer online investment advice to prospective or current clients.</t>
        </is>
      </c>
      <c r="S958" s="48" t="inlineStr">
        <is>
          <t>San Rafael, CA</t>
        </is>
      </c>
      <c r="T958" s="49" t="inlineStr">
        <is>
          <t>www.trizic.com</t>
        </is>
      </c>
      <c r="U958" s="132">
        <f>HYPERLINK("https://my.pitchbook.com?c=104743-63", "View company online")</f>
      </c>
    </row>
    <row r="959">
      <c r="A959" s="9" t="inlineStr">
        <is>
          <t>102741-13</t>
        </is>
      </c>
      <c r="B959" s="10" t="inlineStr">
        <is>
          <t>TripVerse</t>
        </is>
      </c>
      <c r="C959" s="11" t="inlineStr">
        <is>
          <t/>
        </is>
      </c>
      <c r="D959" s="12" t="n">
        <v>0.23919536845476358</v>
      </c>
      <c r="E959" s="13" t="n">
        <v>11.107839374272682</v>
      </c>
      <c r="F959" s="14" t="n">
        <v>42741.0</v>
      </c>
      <c r="G959" s="15" t="inlineStr">
        <is>
          <t>Seed Round</t>
        </is>
      </c>
      <c r="H959" s="16" t="inlineStr">
        <is>
          <t>Seed</t>
        </is>
      </c>
      <c r="I959" s="17" t="n">
        <v>0.6</v>
      </c>
      <c r="J959" s="18" t="n">
        <v>3.05</v>
      </c>
      <c r="K959" s="19" t="inlineStr">
        <is>
          <t>Completed</t>
        </is>
      </c>
      <c r="L959" s="20" t="inlineStr">
        <is>
          <t>Privately Held (backing)</t>
        </is>
      </c>
      <c r="M959" s="21" t="inlineStr">
        <is>
          <t>Venture Capital-Backed</t>
        </is>
      </c>
      <c r="N959" s="22" t="inlineStr">
        <is>
          <t>The company raised $600,000 of Series Seed-2 venture funding from an undisclosed investor on January 6, 2017, putting the pre-money valuation at $2.45 million.</t>
        </is>
      </c>
      <c r="O959" s="23" t="inlineStr">
        <is>
          <t>Ricochet Consulting, Solo Holdings, Yuan-Huey Co</t>
        </is>
      </c>
      <c r="P959" s="24" t="inlineStr">
        <is>
          <t/>
        </is>
      </c>
      <c r="Q959" s="25" t="inlineStr">
        <is>
          <t>Application Software</t>
        </is>
      </c>
      <c r="R959" s="26" t="inlineStr">
        <is>
          <t>Developer of a social application for travel planning. The company offers a platform for sharing travel itinerary and for creating, sharing and discovering authentic travel experiences.</t>
        </is>
      </c>
      <c r="S959" s="27" t="inlineStr">
        <is>
          <t>San Francisco, CA</t>
        </is>
      </c>
      <c r="T959" s="28" t="inlineStr">
        <is>
          <t>www.tripverse.co</t>
        </is>
      </c>
      <c r="U959" s="131">
        <f>HYPERLINK("https://my.pitchbook.com?c=102741-13", "View company online")</f>
      </c>
    </row>
    <row r="960">
      <c r="A960" s="30" t="inlineStr">
        <is>
          <t>61066-99</t>
        </is>
      </c>
      <c r="B960" s="31" t="inlineStr">
        <is>
          <t>Triptease</t>
        </is>
      </c>
      <c r="C960" s="32" t="inlineStr">
        <is>
          <t/>
        </is>
      </c>
      <c r="D960" s="33" t="n">
        <v>0.7028560912356276</v>
      </c>
      <c r="E960" s="34" t="n">
        <v>20.393677689164058</v>
      </c>
      <c r="F960" s="35" t="n">
        <v>42831.0</v>
      </c>
      <c r="G960" s="36" t="inlineStr">
        <is>
          <t>Early Stage VC</t>
        </is>
      </c>
      <c r="H960" s="37" t="inlineStr">
        <is>
          <t>Series B</t>
        </is>
      </c>
      <c r="I960" s="38" t="n">
        <v>9.0</v>
      </c>
      <c r="J960" s="39" t="inlineStr">
        <is>
          <t/>
        </is>
      </c>
      <c r="K960" s="40" t="inlineStr">
        <is>
          <t>Completed</t>
        </is>
      </c>
      <c r="L960" s="41" t="inlineStr">
        <is>
          <t>Privately Held (backing)</t>
        </is>
      </c>
      <c r="M960" s="42" t="inlineStr">
        <is>
          <t>Venture Capital-Backed</t>
        </is>
      </c>
      <c r="N960" s="43" t="inlineStr">
        <is>
          <t>The company raised $9 million of Series B venture funding in a deal led by BGF Ventures on April 6, 2017. Notion Capital and Episode 1 Ventures also participated in the round. The funds will be used for further product development and to continue growth and international expansion into Asia by opening a new office in Singapore.</t>
        </is>
      </c>
      <c r="O960" s="44" t="inlineStr">
        <is>
          <t>BGF Ventures, Damien Lane, Episode 1 Ventures, Notion Capital</t>
        </is>
      </c>
      <c r="P960" s="45" t="inlineStr">
        <is>
          <t/>
        </is>
      </c>
      <c r="Q960" s="46" t="inlineStr">
        <is>
          <t>Social/Platform Software</t>
        </is>
      </c>
      <c r="R960" s="47" t="inlineStr">
        <is>
          <t>Developer of SaaS online booking platform for hotels designed to make the booking process easier for guests and increase direct bookings for hotels. The company's all-in-one direct booking platform integrates with a hotel's current website and booking engine, tracks millions of consumer booking journeys across thousands of hotel websites and brings conversion optimization to each individual hotel website, enabling hotels to engage with guests, increase direct bookings and improve their conversion.</t>
        </is>
      </c>
      <c r="S960" s="48" t="inlineStr">
        <is>
          <t>London, United Kingdom</t>
        </is>
      </c>
      <c r="T960" s="49" t="inlineStr">
        <is>
          <t>www.triptease.com</t>
        </is>
      </c>
      <c r="U960" s="132">
        <f>HYPERLINK("https://my.pitchbook.com?c=61066-99", "View company online")</f>
      </c>
    </row>
    <row r="961">
      <c r="A961" s="9" t="inlineStr">
        <is>
          <t>95296-96</t>
        </is>
      </c>
      <c r="B961" s="10" t="inlineStr">
        <is>
          <t>TripSeer</t>
        </is>
      </c>
      <c r="C961" s="97">
        <f>HYPERLINK("https://my.pitchbook.com?rrp=95296-96&amp;type=c", "This Company's information is not available to download. Need this Company? Request availability")</f>
      </c>
      <c r="D961" s="12" t="inlineStr">
        <is>
          <t/>
        </is>
      </c>
      <c r="E961" s="13" t="inlineStr">
        <is>
          <t/>
        </is>
      </c>
      <c r="F961" s="14" t="inlineStr">
        <is>
          <t/>
        </is>
      </c>
      <c r="G961" s="15" t="inlineStr">
        <is>
          <t/>
        </is>
      </c>
      <c r="H961" s="16" t="inlineStr">
        <is>
          <t/>
        </is>
      </c>
      <c r="I961" s="17" t="inlineStr">
        <is>
          <t/>
        </is>
      </c>
      <c r="J961" s="18" t="inlineStr">
        <is>
          <t/>
        </is>
      </c>
      <c r="K961" s="19" t="inlineStr">
        <is>
          <t/>
        </is>
      </c>
      <c r="L961" s="20" t="inlineStr">
        <is>
          <t/>
        </is>
      </c>
      <c r="M961" s="21" t="inlineStr">
        <is>
          <t/>
        </is>
      </c>
      <c r="N961" s="22" t="inlineStr">
        <is>
          <t/>
        </is>
      </c>
      <c r="O961" s="23" t="inlineStr">
        <is>
          <t/>
        </is>
      </c>
      <c r="P961" s="24" t="inlineStr">
        <is>
          <t/>
        </is>
      </c>
      <c r="Q961" s="25" t="inlineStr">
        <is>
          <t/>
        </is>
      </c>
      <c r="R961" s="26" t="inlineStr">
        <is>
          <t/>
        </is>
      </c>
      <c r="S961" s="27" t="inlineStr">
        <is>
          <t/>
        </is>
      </c>
      <c r="T961" s="28" t="inlineStr">
        <is>
          <t/>
        </is>
      </c>
      <c r="U961" s="29" t="inlineStr">
        <is>
          <t/>
        </is>
      </c>
    </row>
    <row r="962">
      <c r="A962" s="30" t="inlineStr">
        <is>
          <t>53380-72</t>
        </is>
      </c>
      <c r="B962" s="31" t="inlineStr">
        <is>
          <t>Trippy</t>
        </is>
      </c>
      <c r="C962" s="32" t="inlineStr">
        <is>
          <t/>
        </is>
      </c>
      <c r="D962" s="33" t="n">
        <v>1.7618404336087015</v>
      </c>
      <c r="E962" s="34" t="n">
        <v>124.7334234803284</v>
      </c>
      <c r="F962" s="35" t="n">
        <v>41759.0</v>
      </c>
      <c r="G962" s="36" t="inlineStr">
        <is>
          <t>Early Stage VC</t>
        </is>
      </c>
      <c r="H962" s="37" t="inlineStr">
        <is>
          <t>Series A</t>
        </is>
      </c>
      <c r="I962" s="38" t="n">
        <v>7.01</v>
      </c>
      <c r="J962" s="39" t="inlineStr">
        <is>
          <t/>
        </is>
      </c>
      <c r="K962" s="40" t="inlineStr">
        <is>
          <t>Completed</t>
        </is>
      </c>
      <c r="L962" s="41" t="inlineStr">
        <is>
          <t>Privately Held (backing)</t>
        </is>
      </c>
      <c r="M962" s="42" t="inlineStr">
        <is>
          <t>Venture Capital-Backed</t>
        </is>
      </c>
      <c r="N962" s="43" t="inlineStr">
        <is>
          <t>The company raised $7.012 million of Series A venture funding from e.ventures on April 30, 2014. True Ventures and Sequoia Capital also participated.</t>
        </is>
      </c>
      <c r="O962" s="44" t="inlineStr">
        <is>
          <t>Brian Lee, e.ventures, Gary Vaynerchuk, Gil Elbaz, Individual Investor, Rob Solomon, Sequoia Capital, SV Angel, TenOneTen Ventures, Timothy Ferriss, True Ventures</t>
        </is>
      </c>
      <c r="P962" s="45" t="inlineStr">
        <is>
          <t/>
        </is>
      </c>
      <c r="Q962" s="46" t="inlineStr">
        <is>
          <t>Application Software</t>
        </is>
      </c>
      <c r="R962" s="47" t="inlineStr">
        <is>
          <t>Provider of trip planning and travel services application. The company's web and mobile app is designed to let user's friends plan their trip.</t>
        </is>
      </c>
      <c r="S962" s="48" t="inlineStr">
        <is>
          <t>Chicago, IL</t>
        </is>
      </c>
      <c r="T962" s="49" t="inlineStr">
        <is>
          <t>www.trippy.com</t>
        </is>
      </c>
      <c r="U962" s="132">
        <f>HYPERLINK("https://my.pitchbook.com?c=53380-72", "View company online")</f>
      </c>
    </row>
    <row r="963">
      <c r="A963" s="9" t="inlineStr">
        <is>
          <t>52376-86</t>
        </is>
      </c>
      <c r="B963" s="10" t="inlineStr">
        <is>
          <t>Tripping.com</t>
        </is>
      </c>
      <c r="C963" s="11" t="inlineStr">
        <is>
          <t/>
        </is>
      </c>
      <c r="D963" s="12" t="n">
        <v>0.3643986558003417</v>
      </c>
      <c r="E963" s="13" t="n">
        <v>46.76625341785622</v>
      </c>
      <c r="F963" s="14" t="n">
        <v>42718.0</v>
      </c>
      <c r="G963" s="15" t="inlineStr">
        <is>
          <t>Later Stage VC</t>
        </is>
      </c>
      <c r="H963" s="16" t="inlineStr">
        <is>
          <t>Series C</t>
        </is>
      </c>
      <c r="I963" s="17" t="n">
        <v>35.0</v>
      </c>
      <c r="J963" s="18" t="n">
        <v>235.0</v>
      </c>
      <c r="K963" s="19" t="inlineStr">
        <is>
          <t>Completed</t>
        </is>
      </c>
      <c r="L963" s="20" t="inlineStr">
        <is>
          <t>Privately Held (backing)</t>
        </is>
      </c>
      <c r="M963" s="21" t="inlineStr">
        <is>
          <t>Venture Capital-Backed</t>
        </is>
      </c>
      <c r="N963" s="22" t="inlineStr">
        <is>
          <t>The company raised $35 million of Series C venture funding led by Princeville Global on December 14, 2016, putting the pre-money valuation at $200 million. Adams Street Partners, contributions from notable firms and undisclosed individual investors also participated in the round. The company will use the funding to expand and build its brand both in the US and internationally, mainly in Asia.</t>
        </is>
      </c>
      <c r="O963" s="23" t="inlineStr">
        <is>
          <t>Adams Street Partners, Azure Capital Partners, Brendan Wallace, Draper Associates, Drew Goldman, E-Merge, Enspire Capital, Erik Blachford, Fritz Demopoulos, Grey Wolf VC, Hackers/Founders, LaunchCapital, Lisa Gansky, Monte Koch, Orange Fab, Otter Rock Capital, Princeville Global, Quest Venture Partners, Recruit Holdings, Robert Wuttke, Seven Seas Partners, Seven Seas Venture Capital, Shawntae Spencer, Steadfast Venture Capital, Tom Chiu</t>
        </is>
      </c>
      <c r="P963" s="24" t="inlineStr">
        <is>
          <t/>
        </is>
      </c>
      <c r="Q963" s="25" t="inlineStr">
        <is>
          <t>Social/Platform Software</t>
        </is>
      </c>
      <c r="R963" s="26" t="inlineStr">
        <is>
          <t>Provider of a hospitality network for travelers, expats and locals. The company provides an online platform for users to book vacation homes and short-term rentals.</t>
        </is>
      </c>
      <c r="S963" s="27" t="inlineStr">
        <is>
          <t>San Francisco, CA</t>
        </is>
      </c>
      <c r="T963" s="28" t="inlineStr">
        <is>
          <t>www.tripping.com</t>
        </is>
      </c>
      <c r="U963" s="131">
        <f>HYPERLINK("https://my.pitchbook.com?c=52376-86", "View company online")</f>
      </c>
    </row>
    <row r="964">
      <c r="A964" s="30" t="inlineStr">
        <is>
          <t>51555-97</t>
        </is>
      </c>
      <c r="B964" s="31" t="inlineStr">
        <is>
          <t>Triporati</t>
        </is>
      </c>
      <c r="C964" s="32" t="inlineStr">
        <is>
          <t/>
        </is>
      </c>
      <c r="D964" s="33" t="n">
        <v>-0.4748845398695817</v>
      </c>
      <c r="E964" s="34" t="n">
        <v>4.047502819168257</v>
      </c>
      <c r="F964" s="35" t="n">
        <v>40667.0</v>
      </c>
      <c r="G964" s="36" t="inlineStr">
        <is>
          <t>Early Stage VC</t>
        </is>
      </c>
      <c r="H964" s="37" t="inlineStr">
        <is>
          <t/>
        </is>
      </c>
      <c r="I964" s="38" t="inlineStr">
        <is>
          <t/>
        </is>
      </c>
      <c r="J964" s="39" t="inlineStr">
        <is>
          <t/>
        </is>
      </c>
      <c r="K964" s="40" t="inlineStr">
        <is>
          <t>Completed</t>
        </is>
      </c>
      <c r="L964" s="41" t="inlineStr">
        <is>
          <t>Privately Held (backing)</t>
        </is>
      </c>
      <c r="M964" s="42" t="inlineStr">
        <is>
          <t>Venture Capital-Backed</t>
        </is>
      </c>
      <c r="N964" s="43" t="inlineStr">
        <is>
          <t>The company raised an undisclosed amount of venture funding from MENA Venture Investments on May 4, 2011.</t>
        </is>
      </c>
      <c r="O964" s="44" t="inlineStr">
        <is>
          <t>Draper Associates, Hornthal Investment partners, Hybrid Capital, Individual Investor, MENA Venture Investments, Presidio Partners, Red Eagle Ventures, Ronald Conway, Ted Leonsis, Timothy Draper</t>
        </is>
      </c>
      <c r="P964" s="45" t="inlineStr">
        <is>
          <t/>
        </is>
      </c>
      <c r="Q964" s="46" t="inlineStr">
        <is>
          <t>Application Software</t>
        </is>
      </c>
      <c r="R964" s="47" t="inlineStr">
        <is>
          <t>Operator of a website that provide information on travel destinations. The company also facilitates travel and non-travel related advertisers to target an audience of leisure travelers through its Website.</t>
        </is>
      </c>
      <c r="S964" s="48" t="inlineStr">
        <is>
          <t>San Francisco, CA</t>
        </is>
      </c>
      <c r="T964" s="49" t="inlineStr">
        <is>
          <t>www.triporati.com</t>
        </is>
      </c>
      <c r="U964" s="132">
        <f>HYPERLINK("https://my.pitchbook.com?c=51555-97", "View company online")</f>
      </c>
    </row>
    <row r="965">
      <c r="A965" s="9" t="inlineStr">
        <is>
          <t>117318-97</t>
        </is>
      </c>
      <c r="B965" s="10" t="inlineStr">
        <is>
          <t>Triplebyte</t>
        </is>
      </c>
      <c r="C965" s="11" t="inlineStr">
        <is>
          <t/>
        </is>
      </c>
      <c r="D965" s="12" t="n">
        <v>0.9240860489342987</v>
      </c>
      <c r="E965" s="13" t="n">
        <v>3.205129842970669</v>
      </c>
      <c r="F965" s="14" t="n">
        <v>42275.0</v>
      </c>
      <c r="G965" s="15" t="inlineStr">
        <is>
          <t>Early Stage VC</t>
        </is>
      </c>
      <c r="H965" s="16" t="inlineStr">
        <is>
          <t/>
        </is>
      </c>
      <c r="I965" s="17" t="n">
        <v>3.0</v>
      </c>
      <c r="J965" s="18" t="inlineStr">
        <is>
          <t/>
        </is>
      </c>
      <c r="K965" s="19" t="inlineStr">
        <is>
          <t>Completed</t>
        </is>
      </c>
      <c r="L965" s="20" t="inlineStr">
        <is>
          <t>Privately Held (backing)</t>
        </is>
      </c>
      <c r="M965" s="21" t="inlineStr">
        <is>
          <t>Venture Capital-Backed</t>
        </is>
      </c>
      <c r="N965" s="22" t="inlineStr">
        <is>
          <t>The company raised $3 million of venture funding from Initialized Capitals, Caffeinated Capital and SV Angel on September 28, 2015. Felicis Ventures and 25 individual investors also participated in the round. Earlier, the company joined Y Combinator as part of the Summer 2015 Class and received $120,000 in funding. Raymond Tonsing, Kevin Hale and Justin Kan also participated.</t>
        </is>
      </c>
      <c r="O965" s="23" t="inlineStr">
        <is>
          <t>Andrew Houston, Bill Clerico, Caffeinated Capital, Daniel Gross, David King, Elad Gil, Emmett Shear, Eric Wu, Felicis Ventures, Geoff Ralston, Greg Brockman, Ilya Sukhar, Initialized Capital, Jake Gibson, James Beshara, Jared Friedman, Jessica Livingston, Joe Greenstein, Justin Kan, Kevin Hale, Kyle Vogt, Michael Seibel, Paul Buchheit, Paul Graham, Raymond Tonsing, Robby Walker, Sam Altman, SV Angel, Tikhon Bernstam, Trevor Blackwell, Y Combinator</t>
        </is>
      </c>
      <c r="P965" s="24" t="inlineStr">
        <is>
          <t/>
        </is>
      </c>
      <c r="Q965" s="25" t="inlineStr">
        <is>
          <t>Application Software</t>
        </is>
      </c>
      <c r="R965" s="26" t="inlineStr">
        <is>
          <t>Provider of an online platform designed to arrange and line up on-site interviews. The company's online interview platform provides technical hiring process that evaluates technical skills, not credentials, enabling engineers to find find job.</t>
        </is>
      </c>
      <c r="S965" s="27" t="inlineStr">
        <is>
          <t>San Francisco, CA</t>
        </is>
      </c>
      <c r="T965" s="28" t="inlineStr">
        <is>
          <t>www.triplebyte.com</t>
        </is>
      </c>
      <c r="U965" s="131">
        <f>HYPERLINK("https://my.pitchbook.com?c=117318-97", "View company online")</f>
      </c>
    </row>
    <row r="966">
      <c r="A966" s="30" t="inlineStr">
        <is>
          <t>150004-45</t>
        </is>
      </c>
      <c r="B966" s="31" t="inlineStr">
        <is>
          <t>Triple W</t>
        </is>
      </c>
      <c r="C966" s="32" t="inlineStr">
        <is>
          <t/>
        </is>
      </c>
      <c r="D966" s="33" t="n">
        <v>0.22920322708003016</v>
      </c>
      <c r="E966" s="34" t="n">
        <v>0.8433271781097867</v>
      </c>
      <c r="F966" s="35" t="n">
        <v>42555.0</v>
      </c>
      <c r="G966" s="36" t="inlineStr">
        <is>
          <t>Early Stage VC</t>
        </is>
      </c>
      <c r="H966" s="37" t="inlineStr">
        <is>
          <t>Series A</t>
        </is>
      </c>
      <c r="I966" s="38" t="n">
        <v>5.0</v>
      </c>
      <c r="J966" s="39" t="inlineStr">
        <is>
          <t/>
        </is>
      </c>
      <c r="K966" s="40" t="inlineStr">
        <is>
          <t>Completed</t>
        </is>
      </c>
      <c r="L966" s="41" t="inlineStr">
        <is>
          <t>Privately Held (backing)</t>
        </is>
      </c>
      <c r="M966" s="42" t="inlineStr">
        <is>
          <t>Venture Capital-Backed</t>
        </is>
      </c>
      <c r="N966" s="43" t="inlineStr">
        <is>
          <t>The company raised $5 million of Series A venture funding through a combination of debt and equity on July 4, 2016. $4 million equity portion of Series A funding was led by led by Hon Hai Ventures with participation from iSG Investment Works, 2020, DAIWA Corporate Investment, Revamp and SBI Investment also participated in this round. $1 million debt portion was provided Japanese Finance and Mizuho Bank. The funding will be used to strengthen the company's leadership and fill key roles. Earlier on February 14, 2016, company raised $1 million of venture funding from Hack Ventures, Hankyu and other undisclosed investors. On December 13, 2015, the company joined Heart Catch as a part of the 1st Batch. On the same year, the company raised JPY 12,67 million of angel funding via crowdfunding platform ReadyFor.</t>
        </is>
      </c>
      <c r="O966" s="44" t="inlineStr">
        <is>
          <t>2020, DAIWA Corporate Investment, Hankyu, Heart Catch, Hon Hai Ventures, iSG Investment Works, Japanese Finance, Mizuho Bank, Nissay Capital, Revamp, SBI Investment</t>
        </is>
      </c>
      <c r="P966" s="45" t="inlineStr">
        <is>
          <t/>
        </is>
      </c>
      <c r="Q966" s="46" t="inlineStr">
        <is>
          <t>Electronics (B2C)</t>
        </is>
      </c>
      <c r="R966" s="47" t="inlineStr">
        <is>
          <t>Developer of smart device and mobile social application. The company develops So Sick, an application that enables users to take and share photos. It also manufactures DFree, a wearable device that helps people to track and predict bowel movements.</t>
        </is>
      </c>
      <c r="S966" s="48" t="inlineStr">
        <is>
          <t>Tokyo, Japan</t>
        </is>
      </c>
      <c r="T966" s="49" t="inlineStr">
        <is>
          <t>www-biz.co</t>
        </is>
      </c>
      <c r="U966" s="132">
        <f>HYPERLINK("https://my.pitchbook.com?c=150004-45", "View company online")</f>
      </c>
    </row>
    <row r="967">
      <c r="A967" s="9" t="inlineStr">
        <is>
          <t>64437-49</t>
        </is>
      </c>
      <c r="B967" s="10" t="inlineStr">
        <is>
          <t>TripHobo</t>
        </is>
      </c>
      <c r="C967" s="11" t="inlineStr">
        <is>
          <t/>
        </is>
      </c>
      <c r="D967" s="12" t="n">
        <v>1.7258978237284344</v>
      </c>
      <c r="E967" s="13" t="n">
        <v>182.27040207646326</v>
      </c>
      <c r="F967" s="14" t="n">
        <v>42094.0</v>
      </c>
      <c r="G967" s="15" t="inlineStr">
        <is>
          <t>Early Stage VC</t>
        </is>
      </c>
      <c r="H967" s="16" t="inlineStr">
        <is>
          <t>Series B</t>
        </is>
      </c>
      <c r="I967" s="17" t="n">
        <v>3.0</v>
      </c>
      <c r="J967" s="18" t="inlineStr">
        <is>
          <t/>
        </is>
      </c>
      <c r="K967" s="19" t="inlineStr">
        <is>
          <t>Completed</t>
        </is>
      </c>
      <c r="L967" s="20" t="inlineStr">
        <is>
          <t>Privately Held (backing)</t>
        </is>
      </c>
      <c r="M967" s="21" t="inlineStr">
        <is>
          <t>Venture Capital-Backed</t>
        </is>
      </c>
      <c r="N967" s="22" t="inlineStr">
        <is>
          <t>The company raised $3 million of Series B venture funding in a deal led by Mayfield and Kalaari Capital on March 31, 2015. Other undisclosed investors also participated in this round. The company intends to use the funds for research &amp; development, talent acquisition, scaling content as well as technology integration with the travel ecosystem.</t>
        </is>
      </c>
      <c r="O967" s="23" t="inlineStr">
        <is>
          <t>Bootstrap Incubation, Individual Investor, Kalaari Capital, Mayfield Fund</t>
        </is>
      </c>
      <c r="P967" s="24" t="inlineStr">
        <is>
          <t/>
        </is>
      </c>
      <c r="Q967" s="25" t="inlineStr">
        <is>
          <t>Social/Platform Software</t>
        </is>
      </c>
      <c r="R967" s="26" t="inlineStr">
        <is>
          <t>Operator of an online trip planning platform. The company offers resources for creating itineraries, searching places, finding and booking hotels worldwide and also allows to share travel experiences over various social networking sites.</t>
        </is>
      </c>
      <c r="S967" s="27" t="inlineStr">
        <is>
          <t>Pune, India</t>
        </is>
      </c>
      <c r="T967" s="28" t="inlineStr">
        <is>
          <t>www.triphobo.com</t>
        </is>
      </c>
      <c r="U967" s="131">
        <f>HYPERLINK("https://my.pitchbook.com?c=64437-49", "View company online")</f>
      </c>
    </row>
    <row r="968">
      <c r="A968" s="30" t="inlineStr">
        <is>
          <t>153093-34</t>
        </is>
      </c>
      <c r="B968" s="31" t="inlineStr">
        <is>
          <t>Triphase Accelerator</t>
        </is>
      </c>
      <c r="C968" s="32" t="inlineStr">
        <is>
          <t/>
        </is>
      </c>
      <c r="D968" s="33" t="n">
        <v>0.0</v>
      </c>
      <c r="E968" s="34" t="n">
        <v>1.1081081081081081</v>
      </c>
      <c r="F968" s="35" t="n">
        <v>41936.0</v>
      </c>
      <c r="G968" s="36" t="inlineStr">
        <is>
          <t>Corporate</t>
        </is>
      </c>
      <c r="H968" s="37" t="inlineStr">
        <is>
          <t>Corporate</t>
        </is>
      </c>
      <c r="I968" s="38" t="inlineStr">
        <is>
          <t/>
        </is>
      </c>
      <c r="J968" s="39" t="inlineStr">
        <is>
          <t/>
        </is>
      </c>
      <c r="K968" s="40" t="inlineStr">
        <is>
          <t>Completed</t>
        </is>
      </c>
      <c r="L968" s="41" t="inlineStr">
        <is>
          <t>Privately Held (backing)</t>
        </is>
      </c>
      <c r="M968" s="42" t="inlineStr">
        <is>
          <t>Venture Capital-Backed</t>
        </is>
      </c>
      <c r="N968" s="43" t="inlineStr">
        <is>
          <t>The company received an undisclosed amount of financing from Celgene on October 24, 2014. Previously, the company raised an undisclosed amount of venture funding from Fight Against Cancer Innovation Trust (FACIT), MaRS Innovation Ventures Trust and MaRS Phase II Investment Trust on January 9, 2014.</t>
        </is>
      </c>
      <c r="O968" s="44" t="inlineStr">
        <is>
          <t>Celgene, Fight Against Cancer Innovation Trust, JLabs, MaRS Innovation</t>
        </is>
      </c>
      <c r="P968" s="45" t="inlineStr">
        <is>
          <t/>
        </is>
      </c>
      <c r="Q968" s="46" t="inlineStr">
        <is>
          <t>Drug Delivery</t>
        </is>
      </c>
      <c r="R968" s="47" t="inlineStr">
        <is>
          <t>Developer of novel therapeutics for the treatment of cancer. The company accelerates the development of cancer therapies from pre-IND to proof of concept (Phase II) in order to bring more effective treatments to cancer patients.</t>
        </is>
      </c>
      <c r="S968" s="48" t="inlineStr">
        <is>
          <t>Toronto, Canada</t>
        </is>
      </c>
      <c r="T968" s="49" t="inlineStr">
        <is>
          <t>www.triphaseco.com</t>
        </is>
      </c>
      <c r="U968" s="132">
        <f>HYPERLINK("https://my.pitchbook.com?c=153093-34", "View company online")</f>
      </c>
    </row>
    <row r="969">
      <c r="A969" s="9" t="inlineStr">
        <is>
          <t>91233-82</t>
        </is>
      </c>
      <c r="B969" s="10" t="inlineStr">
        <is>
          <t>Tripfactory</t>
        </is>
      </c>
      <c r="C969" s="11" t="inlineStr">
        <is>
          <t/>
        </is>
      </c>
      <c r="D969" s="12" t="n">
        <v>-0.050035993377331306</v>
      </c>
      <c r="E969" s="13" t="n">
        <v>14.632303756014146</v>
      </c>
      <c r="F969" s="14" t="n">
        <v>42215.0</v>
      </c>
      <c r="G969" s="15" t="inlineStr">
        <is>
          <t>Early Stage VC</t>
        </is>
      </c>
      <c r="H969" s="16" t="inlineStr">
        <is>
          <t>Series A</t>
        </is>
      </c>
      <c r="I969" s="17" t="n">
        <v>10.0</v>
      </c>
      <c r="J969" s="18" t="inlineStr">
        <is>
          <t/>
        </is>
      </c>
      <c r="K969" s="19" t="inlineStr">
        <is>
          <t>Completed</t>
        </is>
      </c>
      <c r="L969" s="20" t="inlineStr">
        <is>
          <t>Privately Held (backing)</t>
        </is>
      </c>
      <c r="M969" s="21" t="inlineStr">
        <is>
          <t>Venture Capital-Backed</t>
        </is>
      </c>
      <c r="N969" s="22" t="inlineStr">
        <is>
          <t>The company raised $10 million of Series A venture funding from Aarin Capital Partners on July 30, 2015.</t>
        </is>
      </c>
      <c r="O969" s="23" t="inlineStr">
        <is>
          <t>Ranjan Pai</t>
        </is>
      </c>
      <c r="P969" s="24" t="inlineStr">
        <is>
          <t/>
        </is>
      </c>
      <c r="Q969" s="25" t="inlineStr">
        <is>
          <t>Social/Platform Software</t>
        </is>
      </c>
      <c r="R969" s="26" t="inlineStr">
        <is>
          <t>Provider of online travel platform. The company offers an online platform and holiday packages curated by travel operators, where consumers can buy their holidays either by customizing it themselves or seek assistance by talking to experts who can plan for them.</t>
        </is>
      </c>
      <c r="S969" s="27" t="inlineStr">
        <is>
          <t>Banglore, India</t>
        </is>
      </c>
      <c r="T969" s="28" t="inlineStr">
        <is>
          <t>www.tripfactory.com</t>
        </is>
      </c>
      <c r="U969" s="131">
        <f>HYPERLINK("https://my.pitchbook.com?c=91233-82", "View company online")</f>
      </c>
    </row>
    <row r="970">
      <c r="A970" s="30" t="inlineStr">
        <is>
          <t>108558-55</t>
        </is>
      </c>
      <c r="B970" s="31" t="inlineStr">
        <is>
          <t>Tripaneer</t>
        </is>
      </c>
      <c r="C970" s="32" t="inlineStr">
        <is>
          <t/>
        </is>
      </c>
      <c r="D970" s="33" t="n">
        <v>-0.003191537300995426</v>
      </c>
      <c r="E970" s="34" t="n">
        <v>0.6237721324862076</v>
      </c>
      <c r="F970" s="35" t="n">
        <v>42767.0</v>
      </c>
      <c r="G970" s="36" t="inlineStr">
        <is>
          <t>Later Stage VC</t>
        </is>
      </c>
      <c r="H970" s="37" t="inlineStr">
        <is>
          <t/>
        </is>
      </c>
      <c r="I970" s="38" t="inlineStr">
        <is>
          <t/>
        </is>
      </c>
      <c r="J970" s="39" t="inlineStr">
        <is>
          <t/>
        </is>
      </c>
      <c r="K970" s="40" t="inlineStr">
        <is>
          <t>Completed</t>
        </is>
      </c>
      <c r="L970" s="41" t="inlineStr">
        <is>
          <t>Privately Held (backing)</t>
        </is>
      </c>
      <c r="M970" s="42" t="inlineStr">
        <is>
          <t>Venture Capital-Backed</t>
        </is>
      </c>
      <c r="N970" s="43" t="inlineStr">
        <is>
          <t>The company raised an undisclosed amount of venture funding from Point Nine Capital on February 2, 2017. The company will use the funds to continue to expand operations.</t>
        </is>
      </c>
      <c r="O970" s="44" t="inlineStr">
        <is>
          <t>Point Nine Capital</t>
        </is>
      </c>
      <c r="P970" s="45" t="inlineStr">
        <is>
          <t/>
        </is>
      </c>
      <c r="Q970" s="46" t="inlineStr">
        <is>
          <t>Information Services (B2C)</t>
        </is>
      </c>
      <c r="R970" s="47" t="inlineStr">
        <is>
          <t>Provider of a travel platform for theme vacations. The company's travel platform for theme vacations, enables visitors to find, compare and book travel such experiences as surfing, yoga, meditation or even culinary vacations, anywhere in the world.</t>
        </is>
      </c>
      <c r="S970" s="48" t="inlineStr">
        <is>
          <t>The Hague, Netherlands</t>
        </is>
      </c>
      <c r="T970" s="49" t="inlineStr">
        <is>
          <t>www.tripaneer.com</t>
        </is>
      </c>
      <c r="U970" s="132">
        <f>HYPERLINK("https://my.pitchbook.com?c=108558-55", "View company online")</f>
      </c>
    </row>
    <row r="971">
      <c r="A971" s="9" t="inlineStr">
        <is>
          <t>112950-64</t>
        </is>
      </c>
      <c r="B971" s="10" t="inlineStr">
        <is>
          <t>TripActions</t>
        </is>
      </c>
      <c r="C971" s="11" t="inlineStr">
        <is>
          <t/>
        </is>
      </c>
      <c r="D971" s="12" t="n">
        <v>3.0975124367310887</v>
      </c>
      <c r="E971" s="13" t="n">
        <v>0.45719997553085245</v>
      </c>
      <c r="F971" s="14" t="n">
        <v>42759.0</v>
      </c>
      <c r="G971" s="15" t="inlineStr">
        <is>
          <t>Early Stage VC</t>
        </is>
      </c>
      <c r="H971" s="16" t="inlineStr">
        <is>
          <t>Series A</t>
        </is>
      </c>
      <c r="I971" s="17" t="n">
        <v>14.6</v>
      </c>
      <c r="J971" s="18" t="inlineStr">
        <is>
          <t/>
        </is>
      </c>
      <c r="K971" s="19" t="inlineStr">
        <is>
          <t>Completed</t>
        </is>
      </c>
      <c r="L971" s="20" t="inlineStr">
        <is>
          <t>Privately Held (backing)</t>
        </is>
      </c>
      <c r="M971" s="21" t="inlineStr">
        <is>
          <t>Venture Capital-Backed</t>
        </is>
      </c>
      <c r="N971" s="22" t="inlineStr">
        <is>
          <t>The company raised $14.6 million of Series A venture funding led by Zeev Ventures on January 24, 2017. Lightspeed Venture Partners also participated. The company intends to use the funds to advance its platform and expand its presence in the corporate travel industry. Earlier, the company raised $10.1 million of Series A venture funding from Lightspeed Venture Partners and other undisclosed investors on February 12, 2016, putting the company's pre-money valuation at $34.83 million.</t>
        </is>
      </c>
      <c r="O971" s="23" t="inlineStr">
        <is>
          <t>Lightspeed Venture Partners, Oren Zeev, SGVC, Zeev Ventures</t>
        </is>
      </c>
      <c r="P971" s="24" t="inlineStr">
        <is>
          <t/>
        </is>
      </c>
      <c r="Q971" s="25" t="inlineStr">
        <is>
          <t>Business/Productivity Software</t>
        </is>
      </c>
      <c r="R971" s="26" t="inlineStr">
        <is>
          <t>Developer of an online corporate and business travel management platform designed to help business travel managers and travelers in booking hotels and flights at a discounted price. The company's online corporate and business travel management platform offers a dashboard which shows information related to travel management reports, savings, itinerary details and conducts reward programs, enabling corporate travelers to have the better travel experience and help save companies a lot of money in business tours and travels.</t>
        </is>
      </c>
      <c r="S971" s="27" t="inlineStr">
        <is>
          <t>Menlo Park, CA</t>
        </is>
      </c>
      <c r="T971" s="28" t="inlineStr">
        <is>
          <t>www.tripactions.com</t>
        </is>
      </c>
      <c r="U971" s="131">
        <f>HYPERLINK("https://my.pitchbook.com?c=112950-64", "View company online")</f>
      </c>
    </row>
    <row r="972">
      <c r="A972" s="30" t="inlineStr">
        <is>
          <t>43081-03</t>
        </is>
      </c>
      <c r="B972" s="31" t="inlineStr">
        <is>
          <t>Trip.com</t>
        </is>
      </c>
      <c r="C972" s="32" t="inlineStr">
        <is>
          <t/>
        </is>
      </c>
      <c r="D972" s="33" t="n">
        <v>2.1740246363643396</v>
      </c>
      <c r="E972" s="34" t="n">
        <v>60.06415786773192</v>
      </c>
      <c r="F972" s="35" t="n">
        <v>41955.0</v>
      </c>
      <c r="G972" s="36" t="inlineStr">
        <is>
          <t>Later Stage VC</t>
        </is>
      </c>
      <c r="H972" s="37" t="inlineStr">
        <is>
          <t>Series C</t>
        </is>
      </c>
      <c r="I972" s="38" t="n">
        <v>20.0</v>
      </c>
      <c r="J972" s="39" t="n">
        <v>138.3</v>
      </c>
      <c r="K972" s="40" t="inlineStr">
        <is>
          <t>Completed</t>
        </is>
      </c>
      <c r="L972" s="41" t="inlineStr">
        <is>
          <t>Privately Held (backing)</t>
        </is>
      </c>
      <c r="M972" s="42" t="inlineStr">
        <is>
          <t>Venture Capital-Backed</t>
        </is>
      </c>
      <c r="N972" s="43" t="inlineStr">
        <is>
          <t>The company raised $20 million of Series C venture funding in a deal led by HomeAway on November 12, 2014, putting the company's pre-money valuation at $118.3 million. Battery Ventures, Juvo Capital and Redpoint Ventures also participated in this round. The funding will be used to continue investing in growth in its core business as well as expand internationally.</t>
        </is>
      </c>
      <c r="O972" s="44" t="inlineStr">
        <is>
          <t>Battery Ventures, CrunchFund, Dror Berman, HomeAway, Innovation Endeavors, Juvo Capital, Keith Rabois, Michael Arrington, Ooga Labs, Oren Zeev, Redpoint Ventures</t>
        </is>
      </c>
      <c r="P972" s="45" t="inlineStr">
        <is>
          <t/>
        </is>
      </c>
      <c r="Q972" s="46" t="inlineStr">
        <is>
          <t>Social/Platform Software</t>
        </is>
      </c>
      <c r="R972" s="47" t="inlineStr">
        <is>
          <t>Provider of an online platform designed to offer travel planning and guidance. The company's online platform allows to share tips on where to go and what to do with other like-minded people, enabling users to discover amazing places.</t>
        </is>
      </c>
      <c r="S972" s="48" t="inlineStr">
        <is>
          <t>Palo Alto, CA</t>
        </is>
      </c>
      <c r="T972" s="49" t="inlineStr">
        <is>
          <t>www.trip.com</t>
        </is>
      </c>
      <c r="U972" s="132">
        <f>HYPERLINK("https://my.pitchbook.com?c=43081-03", "View company online")</f>
      </c>
    </row>
    <row r="973">
      <c r="A973" s="9" t="inlineStr">
        <is>
          <t>13228-75</t>
        </is>
      </c>
      <c r="B973" s="10" t="inlineStr">
        <is>
          <t>Trion Worlds</t>
        </is>
      </c>
      <c r="C973" s="11" t="inlineStr">
        <is>
          <t/>
        </is>
      </c>
      <c r="D973" s="12" t="n">
        <v>4.388917185782626</v>
      </c>
      <c r="E973" s="13" t="n">
        <v>111.4517202616871</v>
      </c>
      <c r="F973" s="14" t="inlineStr">
        <is>
          <t/>
        </is>
      </c>
      <c r="G973" s="15" t="inlineStr">
        <is>
          <t>Later Stage VC</t>
        </is>
      </c>
      <c r="H973" s="16" t="inlineStr">
        <is>
          <t/>
        </is>
      </c>
      <c r="I973" s="17" t="inlineStr">
        <is>
          <t/>
        </is>
      </c>
      <c r="J973" s="18" t="inlineStr">
        <is>
          <t/>
        </is>
      </c>
      <c r="K973" s="19" t="inlineStr">
        <is>
          <t>Completed</t>
        </is>
      </c>
      <c r="L973" s="20" t="inlineStr">
        <is>
          <t>Privately Held (backing)</t>
        </is>
      </c>
      <c r="M973" s="21" t="inlineStr">
        <is>
          <t>Venture Capital-Backed</t>
        </is>
      </c>
      <c r="N973" s="22" t="inlineStr">
        <is>
          <t>The company raised an undisclosed amount of venture funding from Industry Ventures.</t>
        </is>
      </c>
      <c r="O973" s="23" t="inlineStr">
        <is>
          <t>Act II Capital, Bertelsmann Digital Media Investments, Comcast Ventures, DCM Ventures, Fidelity Investments, Industry Ventures, Ontario Teachers' Pension Plan, Partners for Growth, Peacock Equity, Rustic Canyon Partners, Saints Capital, Time Warner Investments, Trinity Ventures</t>
        </is>
      </c>
      <c r="P973" s="24" t="inlineStr">
        <is>
          <t/>
        </is>
      </c>
      <c r="Q973" s="25" t="inlineStr">
        <is>
          <t>Movies, Music and Entertainment</t>
        </is>
      </c>
      <c r="R973" s="26" t="inlineStr">
        <is>
          <t>Publisher and developer of online games designed to develop premium games. The company's online video games delivers dynamic, social games operated as live services across the biggest game genres and devices, enabling game enthusiasts to play online multiplayer video games.</t>
        </is>
      </c>
      <c r="S973" s="27" t="inlineStr">
        <is>
          <t>Redwood City, CA</t>
        </is>
      </c>
      <c r="T973" s="28" t="inlineStr">
        <is>
          <t>www.trionworlds.com</t>
        </is>
      </c>
      <c r="U973" s="131">
        <f>HYPERLINK("https://my.pitchbook.com?c=13228-75", "View company online")</f>
      </c>
    </row>
    <row r="974">
      <c r="A974" s="30" t="inlineStr">
        <is>
          <t>148717-54</t>
        </is>
      </c>
      <c r="B974" s="31" t="inlineStr">
        <is>
          <t>Trion SuperCars</t>
        </is>
      </c>
      <c r="C974" s="32" t="inlineStr">
        <is>
          <t/>
        </is>
      </c>
      <c r="D974" s="33" t="n">
        <v>-0.2534178754965928</v>
      </c>
      <c r="E974" s="34" t="n">
        <v>6.42888853165198</v>
      </c>
      <c r="F974" s="35" t="inlineStr">
        <is>
          <t/>
        </is>
      </c>
      <c r="G974" s="36" t="inlineStr">
        <is>
          <t>Early Stage VC</t>
        </is>
      </c>
      <c r="H974" s="37" t="inlineStr">
        <is>
          <t/>
        </is>
      </c>
      <c r="I974" s="38" t="inlineStr">
        <is>
          <t/>
        </is>
      </c>
      <c r="J974" s="39" t="inlineStr">
        <is>
          <t/>
        </is>
      </c>
      <c r="K974" s="40" t="inlineStr">
        <is>
          <t>Completed</t>
        </is>
      </c>
      <c r="L974" s="41" t="inlineStr">
        <is>
          <t>Privately Held (backing)</t>
        </is>
      </c>
      <c r="M974" s="42" t="inlineStr">
        <is>
          <t>Venture Capital-Backed</t>
        </is>
      </c>
      <c r="N974" s="43" t="inlineStr">
        <is>
          <t>The company raised venture funding from Venture-Net Partners on an undisclosed date.</t>
        </is>
      </c>
      <c r="O974" s="44" t="inlineStr">
        <is>
          <t>Venture-Net Partners</t>
        </is>
      </c>
      <c r="P974" s="45" t="inlineStr">
        <is>
          <t/>
        </is>
      </c>
      <c r="Q974" s="46" t="inlineStr">
        <is>
          <t>Automotive</t>
        </is>
      </c>
      <c r="R974" s="47" t="inlineStr">
        <is>
          <t>Manufacturer of sports cars. The company's vehicles are specialized with dual electric motors and four cylinder gasoline engine and it wears a lightweight carbon fiber body or chassis, enabling owners to ride in luxurious cars.</t>
        </is>
      </c>
      <c r="S974" s="48" t="inlineStr">
        <is>
          <t>Los Angeles, CA</t>
        </is>
      </c>
      <c r="T974" s="49" t="inlineStr">
        <is>
          <t>www.trionsupercars.com</t>
        </is>
      </c>
      <c r="U974" s="132">
        <f>HYPERLINK("https://my.pitchbook.com?c=148717-54", "View company online")</f>
      </c>
    </row>
    <row r="975">
      <c r="A975" s="9" t="inlineStr">
        <is>
          <t>118089-46</t>
        </is>
      </c>
      <c r="B975" s="10" t="inlineStr">
        <is>
          <t>Trio Health</t>
        </is>
      </c>
      <c r="C975" s="11" t="inlineStr">
        <is>
          <t/>
        </is>
      </c>
      <c r="D975" s="12" t="n">
        <v>0.0</v>
      </c>
      <c r="E975" s="13" t="n">
        <v>0.24324324324324326</v>
      </c>
      <c r="F975" s="14" t="n">
        <v>41968.0</v>
      </c>
      <c r="G975" s="15" t="inlineStr">
        <is>
          <t>Early Stage VC</t>
        </is>
      </c>
      <c r="H975" s="16" t="inlineStr">
        <is>
          <t/>
        </is>
      </c>
      <c r="I975" s="17" t="n">
        <v>3.77</v>
      </c>
      <c r="J975" s="18" t="inlineStr">
        <is>
          <t/>
        </is>
      </c>
      <c r="K975" s="19" t="inlineStr">
        <is>
          <t>Completed</t>
        </is>
      </c>
      <c r="L975" s="20" t="inlineStr">
        <is>
          <t>Privately Held (backing)</t>
        </is>
      </c>
      <c r="M975" s="21" t="inlineStr">
        <is>
          <t>Venture Capital-Backed</t>
        </is>
      </c>
      <c r="N975" s="22" t="inlineStr">
        <is>
          <t>The company raised $3.77 million of venture funding from undisclosed investors on November 25, 2014.</t>
        </is>
      </c>
      <c r="O975" s="23" t="inlineStr">
        <is>
          <t/>
        </is>
      </c>
      <c r="P975" s="24" t="inlineStr">
        <is>
          <t/>
        </is>
      </c>
      <c r="Q975" s="25" t="inlineStr">
        <is>
          <t>Practice Management (Healthcare)</t>
        </is>
      </c>
      <c r="R975" s="26" t="inlineStr">
        <is>
          <t>Provider of a technology platform intended to improve the quality of care in patient outcomes through disease management. The company's technology platform tracks patients throughout the course of their treatment enabling pharmaceutical companies, clinicians and patients to get disease management protocols, pricing, clinical insights, pharmacy strategies and other opportunities.</t>
        </is>
      </c>
      <c r="S975" s="27" t="inlineStr">
        <is>
          <t>La Jolla, CA</t>
        </is>
      </c>
      <c r="T975" s="28" t="inlineStr">
        <is>
          <t>www.triohealth.com</t>
        </is>
      </c>
      <c r="U975" s="131">
        <f>HYPERLINK("https://my.pitchbook.com?c=118089-46", "View company online")</f>
      </c>
    </row>
    <row r="976">
      <c r="A976" s="30" t="inlineStr">
        <is>
          <t>169079-41</t>
        </is>
      </c>
      <c r="B976" s="31" t="inlineStr">
        <is>
          <t>TRiNDS</t>
        </is>
      </c>
      <c r="C976" s="32" t="inlineStr">
        <is>
          <t/>
        </is>
      </c>
      <c r="D976" s="33" t="n">
        <v>0.0</v>
      </c>
      <c r="E976" s="34" t="n">
        <v>0.2702702702702703</v>
      </c>
      <c r="F976" s="35" t="n">
        <v>42723.0</v>
      </c>
      <c r="G976" s="36" t="inlineStr">
        <is>
          <t>Early Stage VC</t>
        </is>
      </c>
      <c r="H976" s="37" t="inlineStr">
        <is>
          <t/>
        </is>
      </c>
      <c r="I976" s="38" t="inlineStr">
        <is>
          <t/>
        </is>
      </c>
      <c r="J976" s="39" t="inlineStr">
        <is>
          <t/>
        </is>
      </c>
      <c r="K976" s="40" t="inlineStr">
        <is>
          <t>Completed</t>
        </is>
      </c>
      <c r="L976" s="41" t="inlineStr">
        <is>
          <t>Privately Held (backing)</t>
        </is>
      </c>
      <c r="M976" s="42" t="inlineStr">
        <is>
          <t>Venture Capital-Backed</t>
        </is>
      </c>
      <c r="N976" s="43" t="inlineStr">
        <is>
          <t>The company raised an undisclosed amount of venture funding from CureDuchenne on December 19, 2016. The funds will be used to accelerate the operations.</t>
        </is>
      </c>
      <c r="O976" s="44" t="inlineStr">
        <is>
          <t>CureDuchenne</t>
        </is>
      </c>
      <c r="P976" s="45" t="inlineStr">
        <is>
          <t/>
        </is>
      </c>
      <c r="Q976" s="46" t="inlineStr">
        <is>
          <t>Other Healthcare Technology Systems</t>
        </is>
      </c>
      <c r="R976" s="47" t="inlineStr">
        <is>
          <t>Developer of clinical measurement tools. The company engages in testing and developing of tools used in clinical operations, data management, biostatistics and study measurements for pharmaceutical and biotechnology industries as well as academic investigators and clinical centers.</t>
        </is>
      </c>
      <c r="S976" s="48" t="inlineStr">
        <is>
          <t>Newport Beach, CA</t>
        </is>
      </c>
      <c r="T976" s="49" t="inlineStr">
        <is>
          <t>www.trinds.com</t>
        </is>
      </c>
      <c r="U976" s="132">
        <f>HYPERLINK("https://my.pitchbook.com?c=169079-41", "View company online")</f>
      </c>
    </row>
    <row r="977">
      <c r="A977" s="9" t="inlineStr">
        <is>
          <t>90373-06</t>
        </is>
      </c>
      <c r="B977" s="10" t="inlineStr">
        <is>
          <t>Trimantium Capital</t>
        </is>
      </c>
      <c r="C977" s="11" t="inlineStr">
        <is>
          <t/>
        </is>
      </c>
      <c r="D977" s="12" t="inlineStr">
        <is>
          <t/>
        </is>
      </c>
      <c r="E977" s="13" t="inlineStr">
        <is>
          <t/>
        </is>
      </c>
      <c r="F977" s="14" t="inlineStr">
        <is>
          <t/>
        </is>
      </c>
      <c r="G977" s="15" t="inlineStr">
        <is>
          <t/>
        </is>
      </c>
      <c r="H977" s="16" t="inlineStr">
        <is>
          <t/>
        </is>
      </c>
      <c r="I977" s="17" t="inlineStr">
        <is>
          <t/>
        </is>
      </c>
      <c r="J977" s="18" t="inlineStr">
        <is>
          <t/>
        </is>
      </c>
      <c r="K977" s="19" t="inlineStr">
        <is>
          <t/>
        </is>
      </c>
      <c r="L977" s="20" t="inlineStr">
        <is>
          <t>Privately Held (backing)</t>
        </is>
      </c>
      <c r="M977" s="21" t="inlineStr">
        <is>
          <t>Venture Capital-Backed</t>
        </is>
      </c>
      <c r="N977" s="22" t="inlineStr">
        <is>
          <t/>
        </is>
      </c>
      <c r="O977" s="23" t="inlineStr">
        <is>
          <t/>
        </is>
      </c>
      <c r="P977" s="24" t="inlineStr">
        <is>
          <t/>
        </is>
      </c>
      <c r="Q977" s="25" t="inlineStr">
        <is>
          <t>Other Financial Services</t>
        </is>
      </c>
      <c r="R977" s="26" t="inlineStr">
        <is>
          <t>Trimantium Capital is a diversified investment management company operating direct investments, superannuation, growth and venture capital funds</t>
        </is>
      </c>
      <c r="S977" s="27" t="inlineStr">
        <is>
          <t>Melbourne, Australia</t>
        </is>
      </c>
      <c r="T977" s="28" t="inlineStr">
        <is>
          <t>www.trimantium.com</t>
        </is>
      </c>
      <c r="U977" s="131">
        <f>HYPERLINK("https://my.pitchbook.com?c=90373-06", "View company online")</f>
      </c>
    </row>
    <row r="978">
      <c r="A978" s="30" t="inlineStr">
        <is>
          <t>128409-67</t>
        </is>
      </c>
      <c r="B978" s="31" t="inlineStr">
        <is>
          <t>Trim (Personal Finance App)</t>
        </is>
      </c>
      <c r="C978" s="32" t="inlineStr">
        <is>
          <t/>
        </is>
      </c>
      <c r="D978" s="33" t="n">
        <v>1.8456354282633731</v>
      </c>
      <c r="E978" s="34" t="n">
        <v>9.598405237535673</v>
      </c>
      <c r="F978" s="35" t="n">
        <v>42479.0</v>
      </c>
      <c r="G978" s="36" t="inlineStr">
        <is>
          <t>Seed Round</t>
        </is>
      </c>
      <c r="H978" s="37" t="inlineStr">
        <is>
          <t>Seed</t>
        </is>
      </c>
      <c r="I978" s="38" t="n">
        <v>2.22</v>
      </c>
      <c r="J978" s="39" t="n">
        <v>8.33</v>
      </c>
      <c r="K978" s="40" t="inlineStr">
        <is>
          <t>Completed</t>
        </is>
      </c>
      <c r="L978" s="41" t="inlineStr">
        <is>
          <t>Privately Held (backing)</t>
        </is>
      </c>
      <c r="M978" s="42" t="inlineStr">
        <is>
          <t>Venture Capital-Backed</t>
        </is>
      </c>
      <c r="N978" s="43" t="inlineStr">
        <is>
          <t>The company raised $2.22 million of seed venture funding in a deal led by Eniac Ventures on April 19, 2016, putting the pre-money valuation at $6.11 million. Sound Ventures, Version One Ventures, Beta Bridge Capital and Core Innovation Capital also participated in the round.</t>
        </is>
      </c>
      <c r="O978" s="44" t="inlineStr">
        <is>
          <t>Bertrand Navarette, Beta Bridge Capital, Core Innovation Capital, Eniac Ventures, Sound Ventures, Version One Ventures</t>
        </is>
      </c>
      <c r="P978" s="45" t="inlineStr">
        <is>
          <t/>
        </is>
      </c>
      <c r="Q978" s="46" t="inlineStr">
        <is>
          <t>Application Software</t>
        </is>
      </c>
      <c r="R978" s="47" t="inlineStr">
        <is>
          <t>Provider of a personal finance assistant application. The company offers a personal finance assistant application which pulls out data from user's credit and debit card statements to cancel and manage subscriptions that they do not need.</t>
        </is>
      </c>
      <c r="S978" s="48" t="inlineStr">
        <is>
          <t>San Francisco, CA</t>
        </is>
      </c>
      <c r="T978" s="49" t="inlineStr">
        <is>
          <t>www.asktrim.com</t>
        </is>
      </c>
      <c r="U978" s="132">
        <f>HYPERLINK("https://my.pitchbook.com?c=128409-67", "View company online")</f>
      </c>
    </row>
    <row r="979">
      <c r="A979" s="9" t="inlineStr">
        <is>
          <t>174364-39</t>
        </is>
      </c>
      <c r="B979" s="10" t="inlineStr">
        <is>
          <t>Trilogy Studios</t>
        </is>
      </c>
      <c r="C979" s="97">
        <f>HYPERLINK("https://my.pitchbook.com?rrp=174364-39&amp;type=c",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c r="S979" s="27" t="inlineStr">
        <is>
          <t/>
        </is>
      </c>
      <c r="T979" s="28" t="inlineStr">
        <is>
          <t/>
        </is>
      </c>
      <c r="U979" s="29" t="inlineStr">
        <is>
          <t/>
        </is>
      </c>
    </row>
    <row r="980">
      <c r="A980" s="30" t="inlineStr">
        <is>
          <t>162130-06</t>
        </is>
      </c>
      <c r="B980" s="31" t="inlineStr">
        <is>
          <t>Trillium (Network Management Software)</t>
        </is>
      </c>
      <c r="C980" s="32" t="inlineStr">
        <is>
          <t/>
        </is>
      </c>
      <c r="D980" s="33" t="n">
        <v>0.0</v>
      </c>
      <c r="E980" s="34" t="n">
        <v>0.0722970839035688</v>
      </c>
      <c r="F980" s="35" t="n">
        <v>42551.0</v>
      </c>
      <c r="G980" s="36" t="inlineStr">
        <is>
          <t>Early Stage VC</t>
        </is>
      </c>
      <c r="H980" s="37" t="inlineStr">
        <is>
          <t>Series A</t>
        </is>
      </c>
      <c r="I980" s="38" t="inlineStr">
        <is>
          <t/>
        </is>
      </c>
      <c r="J980" s="39" t="inlineStr">
        <is>
          <t/>
        </is>
      </c>
      <c r="K980" s="40" t="inlineStr">
        <is>
          <t>Completed</t>
        </is>
      </c>
      <c r="L980" s="41" t="inlineStr">
        <is>
          <t>Privately Held (backing)</t>
        </is>
      </c>
      <c r="M980" s="42" t="inlineStr">
        <is>
          <t>Venture Capital-Backed</t>
        </is>
      </c>
      <c r="N980" s="43" t="inlineStr">
        <is>
          <t>The company raised an undisclosed amount of Series A venture funding in a deal led by Global Brain on June 30, 2016. Mizuho Capital, DBJ Capital and other undisclosed investors also participated in this round. The company will use the funding to strengthen engineering efforts to complete solutions undergoing development.</t>
        </is>
      </c>
      <c r="O980" s="44" t="inlineStr">
        <is>
          <t>DBJ Capital, Global Brain, Mizuho Capital</t>
        </is>
      </c>
      <c r="P980" s="45" t="inlineStr">
        <is>
          <t/>
        </is>
      </c>
      <c r="Q980" s="46" t="inlineStr">
        <is>
          <t>Network Management Software</t>
        </is>
      </c>
      <c r="R980" s="47" t="inlineStr">
        <is>
          <t>Developer of advanced IoT and automotive cyber-security software designed to protect mission critical automotive and IoT networks. The company's advanced IoT and automotive cyber-security software uses advanced encryption, authentication and key management technologies, enabling users to protect in-vehicle networks of automobiles and other transportation equipment from cyber-attack and other mission critical automotive and IoT networks.</t>
        </is>
      </c>
      <c r="S980" s="48" t="inlineStr">
        <is>
          <t>Tokyo, Japan</t>
        </is>
      </c>
      <c r="T980" s="49" t="inlineStr">
        <is>
          <t>www.trillium.co.jp</t>
        </is>
      </c>
      <c r="U980" s="132">
        <f>HYPERLINK("https://my.pitchbook.com?c=162130-06", "View company online")</f>
      </c>
    </row>
    <row r="981">
      <c r="A981" s="9" t="inlineStr">
        <is>
          <t>58390-12</t>
        </is>
      </c>
      <c r="B981" s="10" t="inlineStr">
        <is>
          <t>Trillion Science</t>
        </is>
      </c>
      <c r="C981" s="11" t="inlineStr">
        <is>
          <t/>
        </is>
      </c>
      <c r="D981" s="12" t="n">
        <v>0.0</v>
      </c>
      <c r="E981" s="13" t="n">
        <v>0.10810810810810811</v>
      </c>
      <c r="F981" s="14" t="inlineStr">
        <is>
          <t/>
        </is>
      </c>
      <c r="G981" s="15" t="inlineStr">
        <is>
          <t/>
        </is>
      </c>
      <c r="H981" s="16" t="inlineStr">
        <is>
          <t/>
        </is>
      </c>
      <c r="I981" s="17" t="inlineStr">
        <is>
          <t/>
        </is>
      </c>
      <c r="J981" s="18" t="inlineStr">
        <is>
          <t/>
        </is>
      </c>
      <c r="K981" s="19" t="inlineStr">
        <is>
          <t/>
        </is>
      </c>
      <c r="L981" s="20" t="inlineStr">
        <is>
          <t>Privately Held (backing)</t>
        </is>
      </c>
      <c r="M981" s="21" t="inlineStr">
        <is>
          <t>Venture Capital-Backed</t>
        </is>
      </c>
      <c r="N981" s="22" t="inlineStr">
        <is>
          <t/>
        </is>
      </c>
      <c r="O981" s="23" t="inlineStr">
        <is>
          <t/>
        </is>
      </c>
      <c r="P981" s="24" t="inlineStr">
        <is>
          <t/>
        </is>
      </c>
      <c r="Q981" s="25" t="inlineStr">
        <is>
          <t>Industrial Chemicals</t>
        </is>
      </c>
      <c r="R981" s="26" t="inlineStr">
        <is>
          <t>Provider of materials and technologies for high-tech and life science industries. The company develops different kinds of coatings and adhesives for semiconductor and display applications of life science industries.</t>
        </is>
      </c>
      <c r="S981" s="27" t="inlineStr">
        <is>
          <t>Fremont, CA</t>
        </is>
      </c>
      <c r="T981" s="28" t="inlineStr">
        <is>
          <t>www.trillionscience.com</t>
        </is>
      </c>
      <c r="U981" s="131">
        <f>HYPERLINK("https://my.pitchbook.com?c=58390-12", "View company online")</f>
      </c>
    </row>
    <row r="982">
      <c r="A982" s="30" t="inlineStr">
        <is>
          <t>43024-15</t>
        </is>
      </c>
      <c r="B982" s="31" t="inlineStr">
        <is>
          <t>Trilliant</t>
        </is>
      </c>
      <c r="C982" s="32" t="n">
        <v>50.0</v>
      </c>
      <c r="D982" s="33" t="n">
        <v>0.034613080713831595</v>
      </c>
      <c r="E982" s="34" t="n">
        <v>8.877209644637794</v>
      </c>
      <c r="F982" s="35" t="n">
        <v>42005.0</v>
      </c>
      <c r="G982" s="36" t="inlineStr">
        <is>
          <t>Debt Refinancing</t>
        </is>
      </c>
      <c r="H982" s="37" t="inlineStr">
        <is>
          <t/>
        </is>
      </c>
      <c r="I982" s="38" t="inlineStr">
        <is>
          <t/>
        </is>
      </c>
      <c r="J982" s="39" t="inlineStr">
        <is>
          <t/>
        </is>
      </c>
      <c r="K982" s="40" t="inlineStr">
        <is>
          <t>Completed</t>
        </is>
      </c>
      <c r="L982" s="41" t="inlineStr">
        <is>
          <t>Privately Held (backing)</t>
        </is>
      </c>
      <c r="M982" s="42" t="inlineStr">
        <is>
          <t>Venture Capital-Backed</t>
        </is>
      </c>
      <c r="N982" s="43" t="inlineStr">
        <is>
          <t>The company completed a debt refinancing of an undisclosed amount in 2015. BMO Harris provided senior debt financing to the company. Previously, the company received an undisclosed amount of venture funding from UMC Capital on January 1, 2011.</t>
        </is>
      </c>
      <c r="O982" s="44" t="inlineStr">
        <is>
          <t>ABB Technology Ventures, GE Ventures, Hercules Capital, MissionPoint Partners, Patricia Industries, Selby Ventures, UMC Capital, VantagePoint Capital Partners, Zouk Capital</t>
        </is>
      </c>
      <c r="P982" s="45" t="inlineStr">
        <is>
          <t/>
        </is>
      </c>
      <c r="Q982" s="46" t="inlineStr">
        <is>
          <t>Wireless Communications Equipment</t>
        </is>
      </c>
      <c r="R982" s="47" t="inlineStr">
        <is>
          <t>Provider of a smart grid communication platform designed to address modern energy challenges. The company's smart grid communication platform offers scalable, secure, meter-independent and multi-technology smart grid communications, enabling utilities and energy providers to deliver reliable, clean and affordable energy to their customers.</t>
        </is>
      </c>
      <c r="S982" s="48" t="inlineStr">
        <is>
          <t>Redwood City, CA</t>
        </is>
      </c>
      <c r="T982" s="49" t="inlineStr">
        <is>
          <t>www.trilliantinc.com</t>
        </is>
      </c>
      <c r="U982" s="132">
        <f>HYPERLINK("https://my.pitchbook.com?c=43024-15", "View company online")</f>
      </c>
    </row>
    <row r="983">
      <c r="A983" s="9" t="inlineStr">
        <is>
          <t>52849-18</t>
        </is>
      </c>
      <c r="B983" s="10" t="inlineStr">
        <is>
          <t>Trilibis Mobile</t>
        </is>
      </c>
      <c r="C983" s="11" t="n">
        <v>4.22</v>
      </c>
      <c r="D983" s="12" t="n">
        <v>-0.2181176700407235</v>
      </c>
      <c r="E983" s="13" t="n">
        <v>3.2580836389605734</v>
      </c>
      <c r="F983" s="14" t="n">
        <v>41366.0</v>
      </c>
      <c r="G983" s="15" t="inlineStr">
        <is>
          <t>Later Stage VC</t>
        </is>
      </c>
      <c r="H983" s="16" t="inlineStr">
        <is>
          <t>Series 2</t>
        </is>
      </c>
      <c r="I983" s="17" t="n">
        <v>2.0</v>
      </c>
      <c r="J983" s="18" t="n">
        <v>7.79</v>
      </c>
      <c r="K983" s="19" t="inlineStr">
        <is>
          <t>Completed</t>
        </is>
      </c>
      <c r="L983" s="20" t="inlineStr">
        <is>
          <t>Privately Held (backing)</t>
        </is>
      </c>
      <c r="M983" s="21" t="inlineStr">
        <is>
          <t>Venture Capital-Backed</t>
        </is>
      </c>
      <c r="N983" s="22" t="inlineStr">
        <is>
          <t>The company received $2 million of Series 2 funding from Altos Ventures and undisclosed investors on April 2, 2013, putting the pre-money valuation at $5.8 million.</t>
        </is>
      </c>
      <c r="O983" s="23" t="inlineStr">
        <is>
          <t>Altos Ventures, ATA Ventures, Individual Investor</t>
        </is>
      </c>
      <c r="P983" s="24" t="inlineStr">
        <is>
          <t/>
        </is>
      </c>
      <c r="Q983" s="25" t="inlineStr">
        <is>
          <t>Application Software</t>
        </is>
      </c>
      <c r="R983" s="26" t="inlineStr">
        <is>
          <t>Provider of mobile development provisions and services to online brands, media companies, and marketing agencies. The company develops, manages, and hosts mobile products and mobile sites for various brands. It offers SmartPath mobile publishing platform, a SaaS-based provisions that enables the creation and management of mobile programs. It also provides mobile web development services, such as text messaging, QR code destination, social network integration, feeds, Email, promotional content, registration and data collection, mobile shopping, Ad network integration, and widgets and lite applications.</t>
        </is>
      </c>
      <c r="S983" s="27" t="inlineStr">
        <is>
          <t>Los Altos, CA</t>
        </is>
      </c>
      <c r="T983" s="28" t="inlineStr">
        <is>
          <t>www.trilibis.com</t>
        </is>
      </c>
      <c r="U983" s="131">
        <f>HYPERLINK("https://my.pitchbook.com?c=52849-18", "View company online")</f>
      </c>
    </row>
    <row r="984">
      <c r="A984" s="30" t="inlineStr">
        <is>
          <t>61504-66</t>
        </is>
      </c>
      <c r="B984" s="31" t="inlineStr">
        <is>
          <t>Trigger (Communications Technology)</t>
        </is>
      </c>
      <c r="C984" s="32" t="inlineStr">
        <is>
          <t/>
        </is>
      </c>
      <c r="D984" s="33" t="n">
        <v>0.0</v>
      </c>
      <c r="E984" s="34" t="n">
        <v>1.7837837837837838</v>
      </c>
      <c r="F984" s="35" t="inlineStr">
        <is>
          <t/>
        </is>
      </c>
      <c r="G984" s="36" t="inlineStr">
        <is>
          <t>Early Stage VC</t>
        </is>
      </c>
      <c r="H984" s="37" t="inlineStr">
        <is>
          <t/>
        </is>
      </c>
      <c r="I984" s="38" t="inlineStr">
        <is>
          <t/>
        </is>
      </c>
      <c r="J984" s="39" t="inlineStr">
        <is>
          <t/>
        </is>
      </c>
      <c r="K984" s="40" t="inlineStr">
        <is>
          <t>Completed</t>
        </is>
      </c>
      <c r="L984" s="41" t="inlineStr">
        <is>
          <t>Privately Held (backing)</t>
        </is>
      </c>
      <c r="M984" s="42" t="inlineStr">
        <is>
          <t>Venture Capital-Backed</t>
        </is>
      </c>
      <c r="N984" s="43" t="inlineStr">
        <is>
          <t>The company raised venture funding from Qualcomm Ventures on an undisclosed date.</t>
        </is>
      </c>
      <c r="O984" s="44" t="inlineStr">
        <is>
          <t>Qualcomm Ventures</t>
        </is>
      </c>
      <c r="P984" s="45" t="inlineStr">
        <is>
          <t/>
        </is>
      </c>
      <c r="Q984" s="46" t="inlineStr">
        <is>
          <t>Application Software</t>
        </is>
      </c>
      <c r="R984" s="47" t="inlineStr">
        <is>
          <t>Operator of a communications technology company. The company is engaged in designing and developing applications, websites and interactive marketing campaigns. It also develops games for mobile devices.</t>
        </is>
      </c>
      <c r="S984" s="48" t="inlineStr">
        <is>
          <t>Los Angeles, CA</t>
        </is>
      </c>
      <c r="T984" s="49" t="inlineStr">
        <is>
          <t>www.triggerglobal.com</t>
        </is>
      </c>
      <c r="U984" s="132">
        <f>HYPERLINK("https://my.pitchbook.com?c=61504-66", "View company online")</f>
      </c>
    </row>
    <row r="985">
      <c r="A985" s="9" t="inlineStr">
        <is>
          <t>51750-64</t>
        </is>
      </c>
      <c r="B985" s="10" t="inlineStr">
        <is>
          <t>Trigger</t>
        </is>
      </c>
      <c r="C985" s="11" t="inlineStr">
        <is>
          <t/>
        </is>
      </c>
      <c r="D985" s="12" t="n">
        <v>-0.017150081659733994</v>
      </c>
      <c r="E985" s="13" t="n">
        <v>2.884249219216058</v>
      </c>
      <c r="F985" s="14" t="n">
        <v>40925.0</v>
      </c>
      <c r="G985" s="15" t="inlineStr">
        <is>
          <t>Seed Round</t>
        </is>
      </c>
      <c r="H985" s="16" t="inlineStr">
        <is>
          <t>Seed</t>
        </is>
      </c>
      <c r="I985" s="17" t="n">
        <v>1.0</v>
      </c>
      <c r="J985" s="18" t="inlineStr">
        <is>
          <t/>
        </is>
      </c>
      <c r="K985" s="19" t="inlineStr">
        <is>
          <t>Completed</t>
        </is>
      </c>
      <c r="L985" s="20" t="inlineStr">
        <is>
          <t>Privately Held (backing)</t>
        </is>
      </c>
      <c r="M985" s="21" t="inlineStr">
        <is>
          <t>Venture Capital-Backed</t>
        </is>
      </c>
      <c r="N985" s="22" t="inlineStr">
        <is>
          <t>The company raised $1 million of seed funding from SV Angel, Boox and Right Ventures on January 17, 2012. Nexus Private Equity, Stage One Capital, 500 Startups, Venture51 and 11 individual investors also participted in this round.</t>
        </is>
      </c>
      <c r="O985" s="23" t="inlineStr">
        <is>
          <t>500 Startups, Adam Schwartz, Boox, David Cummings, Individual Investor, John Taysom, Jonathan Siegel, Lance White, Matt Cutts, Maurice Werdegar, Mehrdad Piroozram, Nexus Private Equity Partners, Paul Graham, Right Ventures, Robin Klein, Russ Siegelmann, Russell Siegelman, Stage One Capital, Steven Walske, SV Angel, The Acceleration Group, Ullas Naik, Venture51, Y Combinator</t>
        </is>
      </c>
      <c r="P985" s="24" t="inlineStr">
        <is>
          <t/>
        </is>
      </c>
      <c r="Q985" s="25" t="inlineStr">
        <is>
          <t>Software Development Applications</t>
        </is>
      </c>
      <c r="R985" s="26" t="inlineStr">
        <is>
          <t>Provider of an application building software. The company offers a cross-platform mobile development framework enabling Web developers to create mobile applications.</t>
        </is>
      </c>
      <c r="S985" s="27" t="inlineStr">
        <is>
          <t>San Francisco, CA</t>
        </is>
      </c>
      <c r="T985" s="28" t="inlineStr">
        <is>
          <t>www.trigger.io</t>
        </is>
      </c>
      <c r="U985" s="131">
        <f>HYPERLINK("https://my.pitchbook.com?c=51750-64", "View company online")</f>
      </c>
    </row>
    <row r="986">
      <c r="A986" s="30" t="inlineStr">
        <is>
          <t>60164-74</t>
        </is>
      </c>
      <c r="B986" s="31" t="inlineStr">
        <is>
          <t>Trigence Semiconductor</t>
        </is>
      </c>
      <c r="C986" s="32" t="inlineStr">
        <is>
          <t/>
        </is>
      </c>
      <c r="D986" s="33" t="n">
        <v>1.7330446298072364</v>
      </c>
      <c r="E986" s="34" t="n">
        <v>2.626386822131111</v>
      </c>
      <c r="F986" s="35" t="n">
        <v>42366.0</v>
      </c>
      <c r="G986" s="36" t="inlineStr">
        <is>
          <t>Corporate</t>
        </is>
      </c>
      <c r="H986" s="37" t="inlineStr">
        <is>
          <t>Corporate</t>
        </is>
      </c>
      <c r="I986" s="38" t="inlineStr">
        <is>
          <t/>
        </is>
      </c>
      <c r="J986" s="39" t="inlineStr">
        <is>
          <t/>
        </is>
      </c>
      <c r="K986" s="40" t="inlineStr">
        <is>
          <t>Completed</t>
        </is>
      </c>
      <c r="L986" s="41" t="inlineStr">
        <is>
          <t>Privately Held (backing)</t>
        </is>
      </c>
      <c r="M986" s="42" t="inlineStr">
        <is>
          <t>Venture Capital-Backed</t>
        </is>
      </c>
      <c r="N986" s="43" t="inlineStr">
        <is>
          <t>The company received financing from Nittoku Engineering and TDK Systems on December 28, 2015.</t>
        </is>
      </c>
      <c r="O986" s="44" t="inlineStr">
        <is>
          <t>Innovation Network Corporation of Japan, Intel Capital, Nittoku Engineering, TDK Systems</t>
        </is>
      </c>
      <c r="P986" s="45" t="inlineStr">
        <is>
          <t/>
        </is>
      </c>
      <c r="Q986" s="46" t="inlineStr">
        <is>
          <t>Electronics (B2C)</t>
        </is>
      </c>
      <c r="R986" s="47" t="inlineStr">
        <is>
          <t>Developer of audio technology that delivers audio quality to consumer electronics. The company specializes in technology that converts analog signals and digital signals.</t>
        </is>
      </c>
      <c r="S986" s="48" t="inlineStr">
        <is>
          <t>Chiyoda-ku, Japan</t>
        </is>
      </c>
      <c r="T986" s="49" t="inlineStr">
        <is>
          <t>www.trigence.com</t>
        </is>
      </c>
      <c r="U986" s="132">
        <f>HYPERLINK("https://my.pitchbook.com?c=60164-74", "View company online")</f>
      </c>
    </row>
    <row r="987">
      <c r="A987" s="9" t="inlineStr">
        <is>
          <t>57570-94</t>
        </is>
      </c>
      <c r="B987" s="10" t="inlineStr">
        <is>
          <t>Trigemina</t>
        </is>
      </c>
      <c r="C987" s="11" t="inlineStr">
        <is>
          <t/>
        </is>
      </c>
      <c r="D987" s="12" t="n">
        <v>0.0</v>
      </c>
      <c r="E987" s="13" t="n">
        <v>0.9459459459459459</v>
      </c>
      <c r="F987" s="14" t="n">
        <v>41442.0</v>
      </c>
      <c r="G987" s="15" t="inlineStr">
        <is>
          <t>Grant</t>
        </is>
      </c>
      <c r="H987" s="16" t="inlineStr">
        <is>
          <t/>
        </is>
      </c>
      <c r="I987" s="17" t="inlineStr">
        <is>
          <t/>
        </is>
      </c>
      <c r="J987" s="18" t="inlineStr">
        <is>
          <t/>
        </is>
      </c>
      <c r="K987" s="19" t="inlineStr">
        <is>
          <t>Completed</t>
        </is>
      </c>
      <c r="L987" s="20" t="inlineStr">
        <is>
          <t>Privately Held (backing)</t>
        </is>
      </c>
      <c r="M987" s="21" t="inlineStr">
        <is>
          <t>Venture Capital-Backed</t>
        </is>
      </c>
      <c r="N987" s="22" t="inlineStr">
        <is>
          <t>The company received an undisclosed amount in grant funding from CORFO on June 17, 2013. The company also raised $4.5 million of Series A1 venture funding from Aurus Gestion de Inversiones on June 17, 2013.</t>
        </is>
      </c>
      <c r="O987" s="23" t="inlineStr">
        <is>
          <t>Arrow Hedge Partners, Aurus Gestion de Inversiones, CORFO, U.S. Department of Health and Human Services</t>
        </is>
      </c>
      <c r="P987" s="24" t="inlineStr">
        <is>
          <t/>
        </is>
      </c>
      <c r="Q987" s="25" t="inlineStr">
        <is>
          <t>Drug Discovery</t>
        </is>
      </c>
      <c r="R987" s="26" t="inlineStr">
        <is>
          <t>Developer of non-narcotic analgesic drug products. The company develops non-opiate drug formulations and delivery systems for pain therapy. It delivers its drug products through nasal-cerebral pathway.</t>
        </is>
      </c>
      <c r="S987" s="27" t="inlineStr">
        <is>
          <t>Moraga, CA</t>
        </is>
      </c>
      <c r="T987" s="28" t="inlineStr">
        <is>
          <t>www.trigemina.com</t>
        </is>
      </c>
      <c r="U987" s="131">
        <f>HYPERLINK("https://my.pitchbook.com?c=57570-94", "View company online")</f>
      </c>
    </row>
    <row r="988">
      <c r="A988" s="30" t="inlineStr">
        <is>
          <t>55369-99</t>
        </is>
      </c>
      <c r="B988" s="31" t="inlineStr">
        <is>
          <t>Trifacta</t>
        </is>
      </c>
      <c r="C988" s="32" t="inlineStr">
        <is>
          <t/>
        </is>
      </c>
      <c r="D988" s="33" t="n">
        <v>0.26669095698032363</v>
      </c>
      <c r="E988" s="34" t="n">
        <v>19.031219312796324</v>
      </c>
      <c r="F988" s="35" t="n">
        <v>42409.0</v>
      </c>
      <c r="G988" s="36" t="inlineStr">
        <is>
          <t>Later Stage VC</t>
        </is>
      </c>
      <c r="H988" s="37" t="inlineStr">
        <is>
          <t>Series C1</t>
        </is>
      </c>
      <c r="I988" s="38" t="n">
        <v>35.0</v>
      </c>
      <c r="J988" s="39" t="n">
        <v>208.96</v>
      </c>
      <c r="K988" s="40" t="inlineStr">
        <is>
          <t>Completed</t>
        </is>
      </c>
      <c r="L988" s="41" t="inlineStr">
        <is>
          <t>Privately Held (backing)</t>
        </is>
      </c>
      <c r="M988" s="42" t="inlineStr">
        <is>
          <t>Venture Capital-Backed</t>
        </is>
      </c>
      <c r="N988" s="43" t="inlineStr">
        <is>
          <t>The company raised $35 million of Series C1 venture funding led by Cathay Capital Private Equity on February 9, 2016, putting the company's pre-money valuation at $178.36 million. Other investors included Accel Partners, Greylock Partners, Milliways Ventures, Triplepoint Ventures, IDG Ventures, Infosys and Ignition Partners also participated. The round included a $4.4 million debt portion. The funding will be used to fuel the growth of company's global field organization and the continuing innovation of its products.</t>
        </is>
      </c>
      <c r="O988" s="44" t="inlineStr">
        <is>
          <t>Accel, Anand Rajaraman, Cathay Capital Private Equity, Data Collective, Dave Goldberg, Greylock Partners, IDG Ventures USA, Ignition Venture Partners, Infosys, Milliways Ventures, TriplePoint Capital, Venkatesh Harinarayan, XSeed Capital</t>
        </is>
      </c>
      <c r="P988" s="45" t="inlineStr">
        <is>
          <t/>
        </is>
      </c>
      <c r="Q988" s="46" t="inlineStr">
        <is>
          <t>Database Software</t>
        </is>
      </c>
      <c r="R988" s="47" t="inlineStr">
        <is>
          <t>Provider of productivity platforms for data analysis. The company provides a platform designed to give non-technical people the ability to transform raw data into actionable form whether for immediate insights or for use in analysis tools.</t>
        </is>
      </c>
      <c r="S988" s="48" t="inlineStr">
        <is>
          <t>San Francisco, CA</t>
        </is>
      </c>
      <c r="T988" s="49" t="inlineStr">
        <is>
          <t>www.trifacta.com</t>
        </is>
      </c>
      <c r="U988" s="132">
        <f>HYPERLINK("https://my.pitchbook.com?c=55369-99", "View company online")</f>
      </c>
    </row>
    <row r="989">
      <c r="A989" s="9" t="inlineStr">
        <is>
          <t>90372-34</t>
        </is>
      </c>
      <c r="B989" s="10" t="inlineStr">
        <is>
          <t>Triductor</t>
        </is>
      </c>
      <c r="C989" s="11" t="inlineStr">
        <is>
          <t/>
        </is>
      </c>
      <c r="D989" s="12" t="n">
        <v>0.0</v>
      </c>
      <c r="E989" s="13" t="n">
        <v>0.8122614139563292</v>
      </c>
      <c r="F989" s="14" t="n">
        <v>41033.0</v>
      </c>
      <c r="G989" s="15" t="inlineStr">
        <is>
          <t>Angel (individual)</t>
        </is>
      </c>
      <c r="H989" s="16" t="inlineStr">
        <is>
          <t>Angel</t>
        </is>
      </c>
      <c r="I989" s="17" t="inlineStr">
        <is>
          <t/>
        </is>
      </c>
      <c r="J989" s="18" t="inlineStr">
        <is>
          <t/>
        </is>
      </c>
      <c r="K989" s="19" t="inlineStr">
        <is>
          <t>Completed</t>
        </is>
      </c>
      <c r="L989" s="20" t="inlineStr">
        <is>
          <t>Privately Held (backing)</t>
        </is>
      </c>
      <c r="M989" s="21" t="inlineStr">
        <is>
          <t>Venture Capital-Backed</t>
        </is>
      </c>
      <c r="N989" s="22" t="inlineStr">
        <is>
          <t>The company raised an undisclosed amount of angel funding from Jun LI on May 4, 2012. Previously, the company raised an undisclosed amount of Series B venture funding from Riverwood Capital, China-Singapore Suzhou Industrial Park Ventures and Cowin Capital on September 10, 2011. Shenzhen Tongsheng Investment Fund also participated in this round.</t>
        </is>
      </c>
      <c r="O989" s="23" t="inlineStr">
        <is>
          <t>China-Singapore Suzhou Industrial Park Ventures, Cowin Capital, Jun LI, Oriza Holdings, Riverwood Capital, Shenzhen Capital Group, Shenzhen Tongsheng Investment Fund</t>
        </is>
      </c>
      <c r="P989" s="24" t="inlineStr">
        <is>
          <t/>
        </is>
      </c>
      <c r="Q989" s="25" t="inlineStr">
        <is>
          <t>Cable Service Providers</t>
        </is>
      </c>
      <c r="R989" s="26" t="inlineStr">
        <is>
          <t>Provider of digital communication services. The company caters to the semiconductor industry and offers mixed-signal integrated circuits for broadband and digital communication infrastructure.</t>
        </is>
      </c>
      <c r="S989" s="27" t="inlineStr">
        <is>
          <t>Jiangsu, China</t>
        </is>
      </c>
      <c r="T989" s="28" t="inlineStr">
        <is>
          <t>www.triductor.com</t>
        </is>
      </c>
      <c r="U989" s="131">
        <f>HYPERLINK("https://my.pitchbook.com?c=90372-34", "View company online")</f>
      </c>
    </row>
    <row r="990">
      <c r="A990" s="30" t="inlineStr">
        <is>
          <t>177891-67</t>
        </is>
      </c>
      <c r="B990" s="31" t="inlineStr">
        <is>
          <t>TRI-D Systems</t>
        </is>
      </c>
      <c r="C990" s="98">
        <f>HYPERLINK("https://my.pitchbook.com?rrp=177891-67&amp;type=c", "This Company's information is not available to download. Need this Company? Request availability")</f>
      </c>
      <c r="D990" s="33" t="inlineStr">
        <is>
          <t/>
        </is>
      </c>
      <c r="E990" s="34" t="inlineStr">
        <is>
          <t/>
        </is>
      </c>
      <c r="F990" s="35" t="inlineStr">
        <is>
          <t/>
        </is>
      </c>
      <c r="G990" s="36" t="inlineStr">
        <is>
          <t/>
        </is>
      </c>
      <c r="H990" s="37" t="inlineStr">
        <is>
          <t/>
        </is>
      </c>
      <c r="I990" s="38" t="inlineStr">
        <is>
          <t/>
        </is>
      </c>
      <c r="J990" s="39" t="inlineStr">
        <is>
          <t/>
        </is>
      </c>
      <c r="K990" s="40" t="inlineStr">
        <is>
          <t/>
        </is>
      </c>
      <c r="L990" s="41" t="inlineStr">
        <is>
          <t/>
        </is>
      </c>
      <c r="M990" s="42" t="inlineStr">
        <is>
          <t/>
        </is>
      </c>
      <c r="N990" s="43" t="inlineStr">
        <is>
          <t/>
        </is>
      </c>
      <c r="O990" s="44" t="inlineStr">
        <is>
          <t/>
        </is>
      </c>
      <c r="P990" s="45" t="inlineStr">
        <is>
          <t/>
        </is>
      </c>
      <c r="Q990" s="46" t="inlineStr">
        <is>
          <t/>
        </is>
      </c>
      <c r="R990" s="47" t="inlineStr">
        <is>
          <t/>
        </is>
      </c>
      <c r="S990" s="48" t="inlineStr">
        <is>
          <t/>
        </is>
      </c>
      <c r="T990" s="49" t="inlineStr">
        <is>
          <t/>
        </is>
      </c>
      <c r="U990" s="50" t="inlineStr">
        <is>
          <t/>
        </is>
      </c>
    </row>
    <row r="991">
      <c r="A991" s="9" t="inlineStr">
        <is>
          <t>61312-96</t>
        </is>
      </c>
      <c r="B991" s="10" t="inlineStr">
        <is>
          <t>Tricida</t>
        </is>
      </c>
      <c r="C991" s="11" t="inlineStr">
        <is>
          <t/>
        </is>
      </c>
      <c r="D991" s="12" t="inlineStr">
        <is>
          <t/>
        </is>
      </c>
      <c r="E991" s="13" t="inlineStr">
        <is>
          <t/>
        </is>
      </c>
      <c r="F991" s="14" t="n">
        <v>42576.0</v>
      </c>
      <c r="G991" s="15" t="inlineStr">
        <is>
          <t>Later Stage VC</t>
        </is>
      </c>
      <c r="H991" s="16" t="inlineStr">
        <is>
          <t>Series C</t>
        </is>
      </c>
      <c r="I991" s="17" t="n">
        <v>55.0</v>
      </c>
      <c r="J991" s="18" t="n">
        <v>165.0</v>
      </c>
      <c r="K991" s="19" t="inlineStr">
        <is>
          <t>Completed</t>
        </is>
      </c>
      <c r="L991" s="20" t="inlineStr">
        <is>
          <t>Privately Held (backing)</t>
        </is>
      </c>
      <c r="M991" s="21" t="inlineStr">
        <is>
          <t>Venture Capital-Backed</t>
        </is>
      </c>
      <c r="N991" s="22" t="inlineStr">
        <is>
          <t>The company raised $55 million of Series C venture funding from lead investor Longitude Capital on July 25, 2016, putting the pre-money valuation at $110 million. Vivo Capital, OrbiMed, Sibling Capital Ventures, Limulus Venture Partners and an undisclosed investor also participated.</t>
        </is>
      </c>
      <c r="O991" s="23" t="inlineStr">
        <is>
          <t>Limulus Venture Partners, Longitude Capital, OrbiMed, Sibling Capital Ventures, Vivo Capital</t>
        </is>
      </c>
      <c r="P991" s="24" t="inlineStr">
        <is>
          <t/>
        </is>
      </c>
      <c r="Q991" s="25" t="inlineStr">
        <is>
          <t>Drug Discovery</t>
        </is>
      </c>
      <c r="R991" s="26" t="inlineStr">
        <is>
          <t>Operator of a bio-pharmaceutical company. The company focuses on discovery and development of first-in-class chronic therapies for patients with chronic kidney disease.</t>
        </is>
      </c>
      <c r="S991" s="27" t="inlineStr">
        <is>
          <t>South San Francisco, CA</t>
        </is>
      </c>
      <c r="T991" s="28" t="inlineStr">
        <is>
          <t>www.tricida.com</t>
        </is>
      </c>
      <c r="U991" s="131">
        <f>HYPERLINK("https://my.pitchbook.com?c=61312-96", "View company online")</f>
      </c>
    </row>
    <row r="992">
      <c r="A992" s="30" t="inlineStr">
        <is>
          <t>58653-37</t>
        </is>
      </c>
      <c r="B992" s="31" t="inlineStr">
        <is>
          <t>Tricentis</t>
        </is>
      </c>
      <c r="C992" s="32" t="inlineStr">
        <is>
          <t/>
        </is>
      </c>
      <c r="D992" s="33" t="n">
        <v>0.6329258709325029</v>
      </c>
      <c r="E992" s="34" t="n">
        <v>18.33011210758079</v>
      </c>
      <c r="F992" s="35" t="n">
        <v>42758.0</v>
      </c>
      <c r="G992" s="36" t="inlineStr">
        <is>
          <t>Later Stage VC</t>
        </is>
      </c>
      <c r="H992" s="37" t="inlineStr">
        <is>
          <t>Series B</t>
        </is>
      </c>
      <c r="I992" s="38" t="n">
        <v>165.0</v>
      </c>
      <c r="J992" s="39" t="inlineStr">
        <is>
          <t/>
        </is>
      </c>
      <c r="K992" s="40" t="inlineStr">
        <is>
          <t>Completed</t>
        </is>
      </c>
      <c r="L992" s="41" t="inlineStr">
        <is>
          <t>Privately Held (backing)</t>
        </is>
      </c>
      <c r="M992" s="42" t="inlineStr">
        <is>
          <t>Venture Capital-Backed</t>
        </is>
      </c>
      <c r="N992" s="43" t="inlineStr">
        <is>
          <t>The company raised $165 million of Series B venture funding from Insight Venture Partners on January 23, 2017.</t>
        </is>
      </c>
      <c r="O992" s="44" t="inlineStr">
        <is>
          <t>Insight Venture Partners</t>
        </is>
      </c>
      <c r="P992" s="45" t="inlineStr">
        <is>
          <t/>
        </is>
      </c>
      <c r="Q992" s="46" t="inlineStr">
        <is>
          <t>Application Software</t>
        </is>
      </c>
      <c r="R992" s="47" t="inlineStr">
        <is>
          <t>Provider of software testing tools designed to accelerate business innovation with peace of mind. The company's integrated software testing tools consists of a unique model-based test automation and test case design approach, encompassing risk-based testing, test data management and provisioning, service virtualization enabling its customers to deliver significant performance improvements to testing projects.</t>
        </is>
      </c>
      <c r="S992" s="48" t="inlineStr">
        <is>
          <t>Vienna, Austria</t>
        </is>
      </c>
      <c r="T992" s="49" t="inlineStr">
        <is>
          <t>www.tricentis.com</t>
        </is>
      </c>
      <c r="U992" s="132">
        <f>HYPERLINK("https://my.pitchbook.com?c=58653-37", "View company online")</f>
      </c>
    </row>
    <row r="993">
      <c r="A993" s="9" t="inlineStr">
        <is>
          <t>53451-55</t>
        </is>
      </c>
      <c r="B993" s="10" t="inlineStr">
        <is>
          <t>Tribogenics</t>
        </is>
      </c>
      <c r="C993" s="11" t="inlineStr">
        <is>
          <t/>
        </is>
      </c>
      <c r="D993" s="12" t="n">
        <v>0.0</v>
      </c>
      <c r="E993" s="13" t="n">
        <v>0.7852208482827495</v>
      </c>
      <c r="F993" s="14" t="n">
        <v>42534.0</v>
      </c>
      <c r="G993" s="15" t="inlineStr">
        <is>
          <t>Later Stage VC</t>
        </is>
      </c>
      <c r="H993" s="16" t="inlineStr">
        <is>
          <t>Series C</t>
        </is>
      </c>
      <c r="I993" s="17" t="n">
        <v>10.0</v>
      </c>
      <c r="J993" s="18" t="n">
        <v>73.39</v>
      </c>
      <c r="K993" s="19" t="inlineStr">
        <is>
          <t>Completed</t>
        </is>
      </c>
      <c r="L993" s="20" t="inlineStr">
        <is>
          <t>Privately Held (backing)</t>
        </is>
      </c>
      <c r="M993" s="21" t="inlineStr">
        <is>
          <t>Venture Capital-Backed</t>
        </is>
      </c>
      <c r="N993" s="22" t="inlineStr">
        <is>
          <t>The company raised $10 million of Series C venture funding from Nikon and The UCLA Venture Capital Fund on June 13, 2016, putting the company's pre-money valuation at $63.39 million. The company will use funds to expand sales of Handheld X-ray analyzers and Cabinet-Type X-ray CT products.</t>
        </is>
      </c>
      <c r="O993" s="23" t="inlineStr">
        <is>
          <t>1&amp;12 Investment Partners, Flywheel Ventures, Founders Fund, Maneesh Goyal, Nikon, Peter Diamandis, Seraph Group, Struck Capital, Synergy Ventures, The UCLA Venture Capital Fund, WTI</t>
        </is>
      </c>
      <c r="P993" s="24" t="inlineStr">
        <is>
          <t/>
        </is>
      </c>
      <c r="Q993" s="25" t="inlineStr">
        <is>
          <t>Other Healthcare Technology Systems</t>
        </is>
      </c>
      <c r="R993" s="26" t="inlineStr">
        <is>
          <t>Provider of portable X-ray technology. The company is developing low-cost, miniature X-ray devices with applications for the mining, industrial, military and medical imaging markets.</t>
        </is>
      </c>
      <c r="S993" s="27" t="inlineStr">
        <is>
          <t>Los Angeles, CA</t>
        </is>
      </c>
      <c r="T993" s="28" t="inlineStr">
        <is>
          <t>www.tribogenics.com</t>
        </is>
      </c>
      <c r="U993" s="131">
        <f>HYPERLINK("https://my.pitchbook.com?c=53451-55", "View company online")</f>
      </c>
    </row>
    <row r="994">
      <c r="A994" s="30" t="inlineStr">
        <is>
          <t>94446-28</t>
        </is>
      </c>
      <c r="B994" s="31" t="inlineStr">
        <is>
          <t>Tribe Dynamics</t>
        </is>
      </c>
      <c r="C994" s="32" t="inlineStr">
        <is>
          <t/>
        </is>
      </c>
      <c r="D994" s="33" t="n">
        <v>0.07910035283691577</v>
      </c>
      <c r="E994" s="34" t="n">
        <v>2.5201939227362953</v>
      </c>
      <c r="F994" s="35" t="inlineStr">
        <is>
          <t/>
        </is>
      </c>
      <c r="G994" s="36" t="inlineStr">
        <is>
          <t>Later Stage VC</t>
        </is>
      </c>
      <c r="H994" s="37" t="inlineStr">
        <is>
          <t/>
        </is>
      </c>
      <c r="I994" s="38" t="inlineStr">
        <is>
          <t/>
        </is>
      </c>
      <c r="J994" s="39" t="inlineStr">
        <is>
          <t/>
        </is>
      </c>
      <c r="K994" s="40" t="inlineStr">
        <is>
          <t>Completed</t>
        </is>
      </c>
      <c r="L994" s="41" t="inlineStr">
        <is>
          <t>Privately Held (backing)</t>
        </is>
      </c>
      <c r="M994" s="42" t="inlineStr">
        <is>
          <t>Venture Capital-Backed</t>
        </is>
      </c>
      <c r="N994" s="43" t="inlineStr">
        <is>
          <t>The company raised venture funding from DGNL Ventures on an undisclosed date.</t>
        </is>
      </c>
      <c r="O994" s="44" t="inlineStr">
        <is>
          <t>DGNL Ventures</t>
        </is>
      </c>
      <c r="P994" s="45" t="inlineStr">
        <is>
          <t/>
        </is>
      </c>
      <c r="Q994" s="46" t="inlineStr">
        <is>
          <t>Consulting Services (B2B)</t>
        </is>
      </c>
      <c r="R994" s="47" t="inlineStr">
        <is>
          <t>Provider of data and analytics services intended to provide enterprise-class marketing technology to small, large, for profit, and non-profit businesses. The company's proprietary data and digital expertise stretch across software, competitive reporting, and marketing strategy, providing customers with a tailor-made strategy to increase brand awareness and revenue.</t>
        </is>
      </c>
      <c r="S994" s="48" t="inlineStr">
        <is>
          <t>San Francisco, CA</t>
        </is>
      </c>
      <c r="T994" s="49" t="inlineStr">
        <is>
          <t>www.tribedynamics.com</t>
        </is>
      </c>
      <c r="U994" s="132">
        <f>HYPERLINK("https://my.pitchbook.com?c=94446-28", "View company online")</f>
      </c>
    </row>
    <row r="995">
      <c r="A995" s="9" t="inlineStr">
        <is>
          <t>110726-38</t>
        </is>
      </c>
      <c r="B995" s="10" t="inlineStr">
        <is>
          <t>Tribe</t>
        </is>
      </c>
      <c r="C995" s="11" t="inlineStr">
        <is>
          <t/>
        </is>
      </c>
      <c r="D995" s="12" t="n">
        <v>0.07791974407783367</v>
      </c>
      <c r="E995" s="13" t="n">
        <v>69.77587704822413</v>
      </c>
      <c r="F995" s="14" t="n">
        <v>42491.0</v>
      </c>
      <c r="G995" s="15" t="inlineStr">
        <is>
          <t>Seed Round</t>
        </is>
      </c>
      <c r="H995" s="16" t="inlineStr">
        <is>
          <t>Seed</t>
        </is>
      </c>
      <c r="I995" s="17" t="n">
        <v>3.0</v>
      </c>
      <c r="J995" s="18" t="inlineStr">
        <is>
          <t/>
        </is>
      </c>
      <c r="K995" s="19" t="inlineStr">
        <is>
          <t>Completed</t>
        </is>
      </c>
      <c r="L995" s="20" t="inlineStr">
        <is>
          <t>Privately Held (backing)</t>
        </is>
      </c>
      <c r="M995" s="21" t="inlineStr">
        <is>
          <t>Venture Capital-Backed</t>
        </is>
      </c>
      <c r="N995" s="22" t="inlineStr">
        <is>
          <t>The company raised $3 million of Seed funding from lead investor Sequoia Capital in May 2016. Ludlow Ventures, Partech Ventures and Kima Ventures also participated. The company will use the funding to further its research around natural voice processing and voice recognition.</t>
        </is>
      </c>
      <c r="O995" s="23" t="inlineStr">
        <is>
          <t>Kima Ventures, Ludlow Ventures, Partech Ventures, Sean Combs, Seed4Equity, Sequoia Capital</t>
        </is>
      </c>
      <c r="P995" s="24" t="inlineStr">
        <is>
          <t/>
        </is>
      </c>
      <c r="Q995" s="25" t="inlineStr">
        <is>
          <t>Social/Platform Software</t>
        </is>
      </c>
      <c r="R995" s="26" t="inlineStr">
        <is>
          <t>Developer of a video group messaging application. The company provides a mobile application to contact people in the phone contact list through a video chat, text or through a voice message. It also provides photo sharing and content sharing facilities.</t>
        </is>
      </c>
      <c r="S995" s="27" t="inlineStr">
        <is>
          <t>San Francisco, CA</t>
        </is>
      </c>
      <c r="T995" s="28" t="inlineStr">
        <is>
          <t>www.tribe.pm</t>
        </is>
      </c>
      <c r="U995" s="131">
        <f>HYPERLINK("https://my.pitchbook.com?c=110726-38", "View company online")</f>
      </c>
    </row>
    <row r="996">
      <c r="A996" s="30" t="inlineStr">
        <is>
          <t>52115-50</t>
        </is>
      </c>
      <c r="B996" s="31" t="inlineStr">
        <is>
          <t>Tria Beauty</t>
        </is>
      </c>
      <c r="C996" s="32" t="n">
        <v>45.05</v>
      </c>
      <c r="D996" s="33" t="n">
        <v>-0.1912313494035544</v>
      </c>
      <c r="E996" s="34" t="n">
        <v>84.92299205985647</v>
      </c>
      <c r="F996" s="35" t="inlineStr">
        <is>
          <t/>
        </is>
      </c>
      <c r="G996" s="36" t="inlineStr">
        <is>
          <t>Secondary Transaction - Private</t>
        </is>
      </c>
      <c r="H996" s="37" t="inlineStr">
        <is>
          <t/>
        </is>
      </c>
      <c r="I996" s="38" t="inlineStr">
        <is>
          <t/>
        </is>
      </c>
      <c r="J996" s="39" t="inlineStr">
        <is>
          <t/>
        </is>
      </c>
      <c r="K996" s="40" t="inlineStr">
        <is>
          <t>Completed</t>
        </is>
      </c>
      <c r="L996" s="41" t="inlineStr">
        <is>
          <t>Privately Held (backing)</t>
        </is>
      </c>
      <c r="M996" s="42" t="inlineStr">
        <is>
          <t>Venture Capital-Backed</t>
        </is>
      </c>
      <c r="N996" s="43" t="inlineStr">
        <is>
          <t>Bay City Capital sold its stake in the company on an undisclosed date.</t>
        </is>
      </c>
      <c r="O996" s="44" t="inlineStr">
        <is>
          <t>Aisling Capital, AMOREPACIFIC Ventures, Athyrium Capital Management, De Novo Ventures, Global Venture Capital, Incubic Management, Morgan Stanley Investment Management, Nippon Venture Capital, SDL Ventures, Synergy Ventures, Technology Partners, Vivo Capital</t>
        </is>
      </c>
      <c r="P996" s="45" t="inlineStr">
        <is>
          <t/>
        </is>
      </c>
      <c r="Q996" s="46" t="inlineStr">
        <is>
          <t>Electronics (B2C)</t>
        </is>
      </c>
      <c r="R996" s="47" t="inlineStr">
        <is>
          <t>Developer of therapeutic beauty products and devices designed to transform skincare. The company's therapeutic beauty products and devices use diode-laser and light technology preferred by dermatologists for in-office treatments, enabling women to get professional results in the privacy and comfort of home and at a fraction of the cost.</t>
        </is>
      </c>
      <c r="S996" s="48" t="inlineStr">
        <is>
          <t>Dublin, CA</t>
        </is>
      </c>
      <c r="T996" s="49" t="inlineStr">
        <is>
          <t>www.triabeauty.com</t>
        </is>
      </c>
      <c r="U996" s="132">
        <f>HYPERLINK("https://my.pitchbook.com?c=52115-50", "View company online")</f>
      </c>
    </row>
    <row r="997">
      <c r="A997" s="9" t="inlineStr">
        <is>
          <t>63620-65</t>
        </is>
      </c>
      <c r="B997" s="10" t="inlineStr">
        <is>
          <t>Tri Alpha Energy</t>
        </is>
      </c>
      <c r="C997" s="11" t="inlineStr">
        <is>
          <t/>
        </is>
      </c>
      <c r="D997" s="12" t="n">
        <v>1.3102450174215483</v>
      </c>
      <c r="E997" s="13" t="n">
        <v>2.587047688282029</v>
      </c>
      <c r="F997" s="14" t="n">
        <v>42510.0</v>
      </c>
      <c r="G997" s="15" t="inlineStr">
        <is>
          <t>Later Stage VC</t>
        </is>
      </c>
      <c r="H997" s="16" t="inlineStr">
        <is>
          <t>Series F</t>
        </is>
      </c>
      <c r="I997" s="17" t="n">
        <v>375.0</v>
      </c>
      <c r="J997" s="18" t="n">
        <v>2000.0</v>
      </c>
      <c r="K997" s="19" t="inlineStr">
        <is>
          <t>Completed</t>
        </is>
      </c>
      <c r="L997" s="20" t="inlineStr">
        <is>
          <t>Privately Held (backing)</t>
        </is>
      </c>
      <c r="M997" s="21" t="inlineStr">
        <is>
          <t>Venture Capital-Backed</t>
        </is>
      </c>
      <c r="N997" s="22" t="inlineStr">
        <is>
          <t>The company raised $375 million of Series F venture funding from undisclosed investors on May 20, 2016, putting the pre-money valuation at $1.625 billion. The fund will be used to pursue Nuclear Fusion. Previously, the company raised $127.5 million of Series E venture funding from undisclosed investors in 2015, putting the pre-money valuation at $1.148 billion.</t>
        </is>
      </c>
      <c r="O997" s="23" t="inlineStr">
        <is>
          <t>Big Sky Partners, Enel Latin America, Individual Investor, New Enterprise Associates, PIZ Signal, Rusnano, The Goldman Sachs Group, Venrock, Vulcan Capital</t>
        </is>
      </c>
      <c r="P997" s="24" t="inlineStr">
        <is>
          <t/>
        </is>
      </c>
      <c r="Q997" s="25" t="inlineStr">
        <is>
          <t>Energy Production</t>
        </is>
      </c>
      <c r="R997" s="26" t="inlineStr">
        <is>
          <t>Developer of plasma fusion technologies designed to develop commercially competitive clean fusion energy as fast as possible. The company's plasma fusion technologies provide a virtually unlimited supply of baseload electricity from power plants that are carbon-free, safe and sustainable, enabling business to avail electricity at a cheaper rate.</t>
        </is>
      </c>
      <c r="S997" s="27" t="inlineStr">
        <is>
          <t>Rancho Santa Margarita, CA</t>
        </is>
      </c>
      <c r="T997" s="28" t="inlineStr">
        <is>
          <t>www.trialphaenergy.com</t>
        </is>
      </c>
      <c r="U997" s="131">
        <f>HYPERLINK("https://my.pitchbook.com?c=63620-65", "View company online")</f>
      </c>
    </row>
    <row r="998">
      <c r="A998" s="30" t="inlineStr">
        <is>
          <t>153946-81</t>
        </is>
      </c>
      <c r="B998" s="31" t="inlineStr">
        <is>
          <t>TRG-Aston Martin Racing</t>
        </is>
      </c>
      <c r="C998" s="32" t="inlineStr">
        <is>
          <t/>
        </is>
      </c>
      <c r="D998" s="33" t="n">
        <v>0.11549603285522306</v>
      </c>
      <c r="E998" s="34" t="n">
        <v>15.389174299049024</v>
      </c>
      <c r="F998" s="35" t="inlineStr">
        <is>
          <t/>
        </is>
      </c>
      <c r="G998" s="36" t="inlineStr">
        <is>
          <t>Later Stage VC</t>
        </is>
      </c>
      <c r="H998" s="37" t="inlineStr">
        <is>
          <t/>
        </is>
      </c>
      <c r="I998" s="38" t="inlineStr">
        <is>
          <t/>
        </is>
      </c>
      <c r="J998" s="39" t="inlineStr">
        <is>
          <t/>
        </is>
      </c>
      <c r="K998" s="40" t="inlineStr">
        <is>
          <t>Completed</t>
        </is>
      </c>
      <c r="L998" s="41" t="inlineStr">
        <is>
          <t>Privately Held (backing)</t>
        </is>
      </c>
      <c r="M998" s="42" t="inlineStr">
        <is>
          <t>Venture Capital-Backed</t>
        </is>
      </c>
      <c r="N998" s="43" t="inlineStr">
        <is>
          <t>The company raised venture funding from WestRiver Group on an undisclosed date.</t>
        </is>
      </c>
      <c r="O998" s="44" t="inlineStr">
        <is>
          <t>WestRiver Group</t>
        </is>
      </c>
      <c r="P998" s="45" t="inlineStr">
        <is>
          <t/>
        </is>
      </c>
      <c r="Q998" s="46" t="inlineStr">
        <is>
          <t>Media and Information Services (B2B)</t>
        </is>
      </c>
      <c r="R998" s="47" t="inlineStr">
        <is>
          <t>Operator of winning programs for motorsports company. The company operates the Aston Martin Racing sports car program in North America and races in the IMSA WeatherTech SportsCar Championship, Continental Tire SportsCar Challenge and Pirelli World Challenge. It also offers sponsorship, business networking and experiential marketing programs.</t>
        </is>
      </c>
      <c r="S998" s="48" t="inlineStr">
        <is>
          <t>Petaluma, CA</t>
        </is>
      </c>
      <c r="T998" s="49" t="inlineStr">
        <is>
          <t>www.theracersgroup.com</t>
        </is>
      </c>
      <c r="U998" s="132">
        <f>HYPERLINK("https://my.pitchbook.com?c=153946-81", "View company online")</f>
      </c>
    </row>
    <row r="999">
      <c r="A999" s="9" t="inlineStr">
        <is>
          <t>125574-22</t>
        </is>
      </c>
      <c r="B999" s="10" t="inlineStr">
        <is>
          <t>T-Rex (Risk Analysis Tools)</t>
        </is>
      </c>
      <c r="C999" s="11" t="inlineStr">
        <is>
          <t/>
        </is>
      </c>
      <c r="D999" s="12" t="n">
        <v>-0.014424140770314101</v>
      </c>
      <c r="E999" s="13" t="n">
        <v>1.7246870936627754</v>
      </c>
      <c r="F999" s="14" t="n">
        <v>42691.0</v>
      </c>
      <c r="G999" s="15" t="inlineStr">
        <is>
          <t>Early Stage VC</t>
        </is>
      </c>
      <c r="H999" s="16" t="inlineStr">
        <is>
          <t>Series B</t>
        </is>
      </c>
      <c r="I999" s="17" t="n">
        <v>10.0</v>
      </c>
      <c r="J999" s="18" t="n">
        <v>34.48</v>
      </c>
      <c r="K999" s="19" t="inlineStr">
        <is>
          <t>Completed</t>
        </is>
      </c>
      <c r="L999" s="20" t="inlineStr">
        <is>
          <t>Privately Held (backing)</t>
        </is>
      </c>
      <c r="M999" s="21" t="inlineStr">
        <is>
          <t>Venture Capital-Backed</t>
        </is>
      </c>
      <c r="N999" s="22" t="inlineStr">
        <is>
          <t>The company raised $10 million of Series B venture funding led by Safeguard Scientifics (NYSE:SFE) on November 17, 2016, putting the pre-money valuation at $24.48 million. Ecosystem Integrity Fund (EIF), Innogy and the Partnership Fund for New York City also participated in the round. The company will use the funds to expand its team, grow its international client base, and optimize its SaaS platform for target markets across renewables and other esoteric asset classes.</t>
        </is>
      </c>
      <c r="O999" s="23" t="inlineStr">
        <is>
          <t>Clean Pacific Ventures, Energy Excelerator, FinTech Innovation Lab, Innogy Venture Capital, Partnership for New York City, Safeguard Scientifics, The Ecosystem Integrity Fund</t>
        </is>
      </c>
      <c r="P999" s="24" t="inlineStr">
        <is>
          <t/>
        </is>
      </c>
      <c r="Q999" s="25" t="inlineStr">
        <is>
          <t>Financial Software</t>
        </is>
      </c>
      <c r="R999" s="26" t="inlineStr">
        <is>
          <t>Provider of a finance based platform for investment in renewable energy. The company provides investors, asset managers, and developers with an enterprise SaaS-based analytics, risk, and portfolio management platform to efficiently finance, securitize, and manage their assets.</t>
        </is>
      </c>
      <c r="S999" s="27" t="inlineStr">
        <is>
          <t>New York, NY</t>
        </is>
      </c>
      <c r="T999" s="28" t="inlineStr">
        <is>
          <t>www.trexgroup.com</t>
        </is>
      </c>
      <c r="U999" s="131">
        <f>HYPERLINK("https://my.pitchbook.com?c=125574-22", "View company online")</f>
      </c>
    </row>
    <row r="1000">
      <c r="A1000" s="30" t="inlineStr">
        <is>
          <t>151031-26</t>
        </is>
      </c>
      <c r="B1000" s="31" t="inlineStr">
        <is>
          <t>Trevalon</t>
        </is>
      </c>
      <c r="C1000" s="32" t="inlineStr">
        <is>
          <t/>
        </is>
      </c>
      <c r="D1000" s="33" t="n">
        <v>0.0</v>
      </c>
      <c r="E1000" s="34" t="n">
        <v>0.02702702702702703</v>
      </c>
      <c r="F1000" s="35" t="n">
        <v>37681.0</v>
      </c>
      <c r="G1000" s="36" t="inlineStr">
        <is>
          <t>Out of Business</t>
        </is>
      </c>
      <c r="H1000" s="37" t="inlineStr">
        <is>
          <t/>
        </is>
      </c>
      <c r="I1000" s="38" t="inlineStr">
        <is>
          <t/>
        </is>
      </c>
      <c r="J1000" s="39" t="inlineStr">
        <is>
          <t/>
        </is>
      </c>
      <c r="K1000" s="40" t="inlineStr">
        <is>
          <t>Completed</t>
        </is>
      </c>
      <c r="L1000" s="41" t="inlineStr">
        <is>
          <t>Privately Held (backing)</t>
        </is>
      </c>
      <c r="M1000" s="42" t="inlineStr">
        <is>
          <t>Venture Capital-Backed</t>
        </is>
      </c>
      <c r="N1000" s="43" t="inlineStr">
        <is>
          <t>The company raised $878,489 of Series A1 venture funding from eFund LLC and VSP Capital on May 23, 2002.</t>
        </is>
      </c>
      <c r="O1000" s="44" t="inlineStr">
        <is>
          <t>eFund, Nexit Ventures, Staenberg Venture Partners, VSP Capital</t>
        </is>
      </c>
      <c r="P1000" s="45" t="inlineStr">
        <is>
          <t/>
        </is>
      </c>
      <c r="Q1000" s="46" t="inlineStr">
        <is>
          <t>Electronic Components</t>
        </is>
      </c>
      <c r="R1000" s="47" t="inlineStr">
        <is>
          <t>Developer of a network server accelerator software. The company's products streamline CPU task, bandwidth allocation and connection management of web servers.</t>
        </is>
      </c>
      <c r="S1000" s="48" t="inlineStr">
        <is>
          <t>Petaluma, CA</t>
        </is>
      </c>
      <c r="T1000" s="49" t="inlineStr">
        <is>
          <t>www.trevalon.com</t>
        </is>
      </c>
      <c r="U1000" s="132">
        <f>HYPERLINK("https://my.pitchbook.com?c=151031-26", "View company online")</f>
      </c>
    </row>
    <row r="1001">
      <c r="A1001" s="9" t="inlineStr">
        <is>
          <t>172755-46</t>
        </is>
      </c>
      <c r="B1001" s="10" t="inlineStr">
        <is>
          <t>Trethera</t>
        </is>
      </c>
      <c r="C1001" s="11" t="inlineStr">
        <is>
          <t/>
        </is>
      </c>
      <c r="D1001" s="12" t="n">
        <v>0.0</v>
      </c>
      <c r="E1001" s="13" t="n">
        <v>0.05405405405405406</v>
      </c>
      <c r="F1001" s="14" t="n">
        <v>42797.0</v>
      </c>
      <c r="G1001" s="15" t="inlineStr">
        <is>
          <t>Seed Round</t>
        </is>
      </c>
      <c r="H1001" s="16" t="inlineStr">
        <is>
          <t>Seed</t>
        </is>
      </c>
      <c r="I1001" s="17" t="n">
        <v>19.08</v>
      </c>
      <c r="J1001" s="18" t="n">
        <v>40.0</v>
      </c>
      <c r="K1001" s="19" t="inlineStr">
        <is>
          <t>Completed</t>
        </is>
      </c>
      <c r="L1001" s="20" t="inlineStr">
        <is>
          <t>Privately Held (backing)</t>
        </is>
      </c>
      <c r="M1001" s="21" t="inlineStr">
        <is>
          <t>Venture Capital-Backed</t>
        </is>
      </c>
      <c r="N1001" s="22" t="inlineStr">
        <is>
          <t>The company raised $19.08 million of seed funding from undisclosed investors on March 3, 2017, putting the pre-money valuation at $20.92 million.</t>
        </is>
      </c>
      <c r="O1001" s="23" t="inlineStr">
        <is>
          <t/>
        </is>
      </c>
      <c r="P1001" s="24" t="inlineStr">
        <is>
          <t/>
        </is>
      </c>
      <c r="Q1001" s="25" t="inlineStr">
        <is>
          <t>Other Healthcare Technology Systems</t>
        </is>
      </c>
      <c r="R1001" s="26" t="inlineStr">
        <is>
          <t>Developer of innovative small molecules designed to control DNA replication. The company develops an innovative small molecules that precisely control DNA replication and integrity for the treatment of malignant diseases and spans the interface between the several metabolic pathways that control the production of nucleic acids and the signal transduction pathways, enabling cells to adapt to replication stress and DNA damage repair.</t>
        </is>
      </c>
      <c r="S1001" s="27" t="inlineStr">
        <is>
          <t>Santa Monica, CA</t>
        </is>
      </c>
      <c r="T1001" s="28" t="inlineStr">
        <is>
          <t>trethera.com</t>
        </is>
      </c>
      <c r="U1001" s="131">
        <f>HYPERLINK("https://my.pitchbook.com?c=172755-46", "View company online")</f>
      </c>
    </row>
    <row r="1002">
      <c r="A1002" s="30" t="inlineStr">
        <is>
          <t>54861-40</t>
        </is>
      </c>
      <c r="B1002" s="31" t="inlineStr">
        <is>
          <t>TreSensa</t>
        </is>
      </c>
      <c r="C1002" s="32" t="inlineStr">
        <is>
          <t/>
        </is>
      </c>
      <c r="D1002" s="33" t="n">
        <v>-0.6326864366467949</v>
      </c>
      <c r="E1002" s="34" t="n">
        <v>4.424859231270432</v>
      </c>
      <c r="F1002" s="35" t="n">
        <v>42108.0</v>
      </c>
      <c r="G1002" s="36" t="inlineStr">
        <is>
          <t>Early Stage VC</t>
        </is>
      </c>
      <c r="H1002" s="37" t="inlineStr">
        <is>
          <t>Series A</t>
        </is>
      </c>
      <c r="I1002" s="38" t="n">
        <v>2.0</v>
      </c>
      <c r="J1002" s="39" t="n">
        <v>19.34</v>
      </c>
      <c r="K1002" s="40" t="inlineStr">
        <is>
          <t>Completed</t>
        </is>
      </c>
      <c r="L1002" s="41" t="inlineStr">
        <is>
          <t>Privately Held (backing)</t>
        </is>
      </c>
      <c r="M1002" s="42" t="inlineStr">
        <is>
          <t>Venture Capital-Backed</t>
        </is>
      </c>
      <c r="N1002" s="43" t="inlineStr">
        <is>
          <t>The company raised $2 million of Series A venture funding from Grape Arbor VC and other undisclosed investors on April 14, 2015, putting the company's pre-money valuation at $17.34 million. Prior to that the company raised $3.62 million of Series A venture funding in a deal led by Caribou Asset Management on March 7, 2014, putting the pre-money valuation at $12.16 million. Individual investors David Pecker, Ben Barokas, Edward Zimmerman, Jason Glickman and Andrew Reis also participated in this round.</t>
        </is>
      </c>
      <c r="O1002" s="44" t="inlineStr">
        <is>
          <t>Andrew Reis, Benjamin Barokas, Caribou Asset Management, David Pecker, Edward Zimmerman, Grape Arbor VC, Individual Investor, Jason Glickman, SamStella</t>
        </is>
      </c>
      <c r="P1002" s="45" t="inlineStr">
        <is>
          <t/>
        </is>
      </c>
      <c r="Q1002" s="46" t="inlineStr">
        <is>
          <t>Entertainment Software</t>
        </is>
      </c>
      <c r="R1002" s="47" t="inlineStr">
        <is>
          <t>Developer of a cross platform gaming technology. The company develops mobile based single and multiplayer social games.</t>
        </is>
      </c>
      <c r="S1002" s="48" t="inlineStr">
        <is>
          <t>New York, NY</t>
        </is>
      </c>
      <c r="T1002" s="49" t="inlineStr">
        <is>
          <t>www.tresensa.com</t>
        </is>
      </c>
      <c r="U1002" s="132">
        <f>HYPERLINK("https://my.pitchbook.com?c=54861-40", "View company online")</f>
      </c>
    </row>
    <row r="1003">
      <c r="A1003" s="9" t="inlineStr">
        <is>
          <t>89231-68</t>
        </is>
      </c>
      <c r="B1003" s="10" t="inlineStr">
        <is>
          <t>TrepScore</t>
        </is>
      </c>
      <c r="C1003" s="11" t="inlineStr">
        <is>
          <t/>
        </is>
      </c>
      <c r="D1003" s="12" t="n">
        <v>-0.059457936338437545</v>
      </c>
      <c r="E1003" s="13" t="n">
        <v>0.8904578149051251</v>
      </c>
      <c r="F1003" s="14" t="n">
        <v>41939.0</v>
      </c>
      <c r="G1003" s="15" t="inlineStr">
        <is>
          <t>Early Stage VC</t>
        </is>
      </c>
      <c r="H1003" s="16" t="inlineStr">
        <is>
          <t/>
        </is>
      </c>
      <c r="I1003" s="17" t="inlineStr">
        <is>
          <t/>
        </is>
      </c>
      <c r="J1003" s="18" t="inlineStr">
        <is>
          <t/>
        </is>
      </c>
      <c r="K1003" s="19" t="inlineStr">
        <is>
          <t>Completed</t>
        </is>
      </c>
      <c r="L1003" s="20" t="inlineStr">
        <is>
          <t>Privately Held (backing)</t>
        </is>
      </c>
      <c r="M1003" s="21" t="inlineStr">
        <is>
          <t>Venture Capital-Backed</t>
        </is>
      </c>
      <c r="N1003" s="22" t="inlineStr">
        <is>
          <t>The company raised an undisclosed amount of venture funding from Hannalu Ventures, Business Rockstars and Techstars on October 27, 2014. Ken Rutkowski and other undisclosed individual investors also participated. The company intends to use the funds to continue to develop the technology.</t>
        </is>
      </c>
      <c r="O1003" s="23" t="inlineStr">
        <is>
          <t>Business Rockstars, Hannalu Ventures, Individual Investor, Techstars</t>
        </is>
      </c>
      <c r="P1003" s="24" t="inlineStr">
        <is>
          <t/>
        </is>
      </c>
      <c r="Q1003" s="25" t="inlineStr">
        <is>
          <t>Database Software</t>
        </is>
      </c>
      <c r="R1003" s="26" t="inlineStr">
        <is>
          <t>Provider of a data management software for startup founders. The company provides an online platform that integrates data from any cloud-based software, organizes critical business documents and provides actionable content about best practices.</t>
        </is>
      </c>
      <c r="S1003" s="27" t="inlineStr">
        <is>
          <t>Santa Monica, CA</t>
        </is>
      </c>
      <c r="T1003" s="28" t="inlineStr">
        <is>
          <t>www.trepscore.com</t>
        </is>
      </c>
      <c r="U1003" s="131">
        <f>HYPERLINK("https://my.pitchbook.com?c=89231-68", "View company online")</f>
      </c>
    </row>
    <row r="1004">
      <c r="A1004" s="30" t="inlineStr">
        <is>
          <t>170517-97</t>
        </is>
      </c>
      <c r="B1004" s="31" t="inlineStr">
        <is>
          <t>Treos Bio</t>
        </is>
      </c>
      <c r="C1004" s="32" t="inlineStr">
        <is>
          <t/>
        </is>
      </c>
      <c r="D1004" s="33" t="n">
        <v>0.0</v>
      </c>
      <c r="E1004" s="34" t="n">
        <v>0.1891891891891892</v>
      </c>
      <c r="F1004" s="35" t="n">
        <v>42779.0</v>
      </c>
      <c r="G1004" s="36" t="inlineStr">
        <is>
          <t>Early Stage VC</t>
        </is>
      </c>
      <c r="H1004" s="37" t="inlineStr">
        <is>
          <t/>
        </is>
      </c>
      <c r="I1004" s="38" t="n">
        <v>8.0</v>
      </c>
      <c r="J1004" s="39" t="inlineStr">
        <is>
          <t/>
        </is>
      </c>
      <c r="K1004" s="40" t="inlineStr">
        <is>
          <t>Completed</t>
        </is>
      </c>
      <c r="L1004" s="41" t="inlineStr">
        <is>
          <t>Privately Held (backing)</t>
        </is>
      </c>
      <c r="M1004" s="42" t="inlineStr">
        <is>
          <t>Venture Capital-Backed</t>
        </is>
      </c>
      <c r="N1004" s="43" t="inlineStr">
        <is>
          <t>The company raised $8 million of venture funding from BXR Group and other undisclosed investors on February 13, 2017. The company intends to use the funds for early-stage human clinical trial of its PolyPEPI™ Immunotherapy Cancer Vaccine for colorectal cancer.</t>
        </is>
      </c>
      <c r="O1004" s="44" t="inlineStr">
        <is>
          <t>BXR Group</t>
        </is>
      </c>
      <c r="P1004" s="45" t="inlineStr">
        <is>
          <t/>
        </is>
      </c>
      <c r="Q1004" s="46" t="inlineStr">
        <is>
          <t>Drug Discovery</t>
        </is>
      </c>
      <c r="R1004" s="47" t="inlineStr">
        <is>
          <t>Developer of immunotherapy vaccines intended for the cancer cell destruction. The company's immunotherapy vaccines predicts in silico likely responders to cancer immunotherapies and designs in silico next generation targeted immunotherapies, enabling cancer patients to treat cancer through vaccines and diagnostic tests.</t>
        </is>
      </c>
      <c r="S1004" s="48" t="inlineStr">
        <is>
          <t>London, United Kingdom</t>
        </is>
      </c>
      <c r="T1004" s="49" t="inlineStr">
        <is>
          <t>www.treosbio.com</t>
        </is>
      </c>
      <c r="U1004" s="132">
        <f>HYPERLINK("https://my.pitchbook.com?c=170517-97", "View company online")</f>
      </c>
    </row>
    <row r="1005">
      <c r="A1005" s="9" t="inlineStr">
        <is>
          <t>151433-65</t>
        </is>
      </c>
      <c r="B1005" s="10" t="inlineStr">
        <is>
          <t>Trendy Butler</t>
        </is>
      </c>
      <c r="C1005" s="11" t="inlineStr">
        <is>
          <t/>
        </is>
      </c>
      <c r="D1005" s="12" t="n">
        <v>0.18576422395388623</v>
      </c>
      <c r="E1005" s="13" t="n">
        <v>77.54391709321702</v>
      </c>
      <c r="F1005" s="14" t="n">
        <v>42681.0</v>
      </c>
      <c r="G1005" s="15" t="inlineStr">
        <is>
          <t>Early Stage VC</t>
        </is>
      </c>
      <c r="H1005" s="16" t="inlineStr">
        <is>
          <t/>
        </is>
      </c>
      <c r="I1005" s="17" t="inlineStr">
        <is>
          <t/>
        </is>
      </c>
      <c r="J1005" s="18" t="inlineStr">
        <is>
          <t/>
        </is>
      </c>
      <c r="K1005" s="19" t="inlineStr">
        <is>
          <t>Announced/In Progress</t>
        </is>
      </c>
      <c r="L1005" s="20" t="inlineStr">
        <is>
          <t>Privately Held (backing)</t>
        </is>
      </c>
      <c r="M1005" s="21" t="inlineStr">
        <is>
          <t>Venture Capital-Backed</t>
        </is>
      </c>
      <c r="N1005" s="22" t="inlineStr">
        <is>
          <t>The company closed on an undisclosed amount of convertible debt financing from SOSV on November 7, 2016. Previously, the company received $1.15 million of debt financing from Capital Union Investments, SOSV and Global Trust Group on October 27, 2015. G. Ryan Ansin and Thursday Capital also participated in this round. The company is being actively tracked by PitchBook.</t>
        </is>
      </c>
      <c r="O1005" s="23" t="inlineStr">
        <is>
          <t/>
        </is>
      </c>
      <c r="P1005" s="24" t="inlineStr">
        <is>
          <t/>
        </is>
      </c>
      <c r="Q1005" s="25" t="inlineStr">
        <is>
          <t>Clothing</t>
        </is>
      </c>
      <c r="R1005" s="26" t="inlineStr">
        <is>
          <t>Provider of a subscription box service for men's clothing designed to connect clothing manufacturers and members. The company's men's clothing subscription box offers exclusive arrangements with clothing manufacturers, as well as vertical integration for many clothing lines, enabling users to access an affordable membership, quality fashion and a technological integration (IP) built to manage a wide variety of their needs.</t>
        </is>
      </c>
      <c r="S1005" s="27" t="inlineStr">
        <is>
          <t>Los Angeles, CA</t>
        </is>
      </c>
      <c r="T1005" s="28" t="inlineStr">
        <is>
          <t>www.trendybutler.com</t>
        </is>
      </c>
      <c r="U1005" s="131">
        <f>HYPERLINK("https://my.pitchbook.com?c=151433-65", "View company online")</f>
      </c>
    </row>
    <row r="1006">
      <c r="A1006" s="30" t="inlineStr">
        <is>
          <t>59189-41</t>
        </is>
      </c>
      <c r="B1006" s="31" t="inlineStr">
        <is>
          <t>Trelys</t>
        </is>
      </c>
      <c r="C1006" s="32" t="inlineStr">
        <is>
          <t/>
        </is>
      </c>
      <c r="D1006" s="33" t="n">
        <v>0.0</v>
      </c>
      <c r="E1006" s="34" t="n">
        <v>0.05405405405405406</v>
      </c>
      <c r="F1006" s="35" t="n">
        <v>42837.0</v>
      </c>
      <c r="G1006" s="36" t="inlineStr">
        <is>
          <t>Early Stage VC</t>
        </is>
      </c>
      <c r="H1006" s="37" t="inlineStr">
        <is>
          <t/>
        </is>
      </c>
      <c r="I1006" s="38" t="n">
        <v>0.08</v>
      </c>
      <c r="J1006" s="39" t="inlineStr">
        <is>
          <t/>
        </is>
      </c>
      <c r="K1006" s="40" t="inlineStr">
        <is>
          <t>Completed</t>
        </is>
      </c>
      <c r="L1006" s="41" t="inlineStr">
        <is>
          <t>Privately Held (backing)</t>
        </is>
      </c>
      <c r="M1006" s="42" t="inlineStr">
        <is>
          <t>Venture Capital-Backed</t>
        </is>
      </c>
      <c r="N1006" s="43" t="inlineStr">
        <is>
          <t>The company raised $80,000 of venture funding from undisclosed investors on April 12, 2017.</t>
        </is>
      </c>
      <c r="O1006" s="44" t="inlineStr">
        <is>
          <t>ARCH Venture Partners, First Green Partners</t>
        </is>
      </c>
      <c r="P1006" s="45" t="inlineStr">
        <is>
          <t/>
        </is>
      </c>
      <c r="Q1006" s="46" t="inlineStr">
        <is>
          <t>Other Commercial Products</t>
        </is>
      </c>
      <c r="R1006" s="47" t="inlineStr">
        <is>
          <t>Developer of methanogen bioconversion technology designed to meet the growing demand for essential amino acids. The company's methanogen bioconversion technology is based on the bioconversion of hydrogen and carbon dioxide using methanogenic archaea such as natural gas, coal or biomass for production of ammonia, enabling companies to develop products which use methanogens.</t>
        </is>
      </c>
      <c r="S1006" s="48" t="inlineStr">
        <is>
          <t>Hayward, CA</t>
        </is>
      </c>
      <c r="T1006" s="49" t="inlineStr">
        <is>
          <t>www.trelystech.com</t>
        </is>
      </c>
      <c r="U1006" s="132">
        <f>HYPERLINK("https://my.pitchbook.com?c=59189-41", "View company online")</f>
      </c>
    </row>
    <row r="1007">
      <c r="A1007" s="9" t="inlineStr">
        <is>
          <t>42711-22</t>
        </is>
      </c>
      <c r="B1007" s="10" t="inlineStr">
        <is>
          <t>Trellis Bioscience</t>
        </is>
      </c>
      <c r="C1007" s="11" t="inlineStr">
        <is>
          <t/>
        </is>
      </c>
      <c r="D1007" s="12" t="n">
        <v>0.0</v>
      </c>
      <c r="E1007" s="13" t="n">
        <v>1.4054054054054055</v>
      </c>
      <c r="F1007" s="14" t="n">
        <v>41137.0</v>
      </c>
      <c r="G1007" s="15" t="inlineStr">
        <is>
          <t>Grant</t>
        </is>
      </c>
      <c r="H1007" s="16" t="inlineStr">
        <is>
          <t/>
        </is>
      </c>
      <c r="I1007" s="17" t="n">
        <v>3.3</v>
      </c>
      <c r="J1007" s="18" t="inlineStr">
        <is>
          <t/>
        </is>
      </c>
      <c r="K1007" s="19" t="inlineStr">
        <is>
          <t>Completed</t>
        </is>
      </c>
      <c r="L1007" s="20" t="inlineStr">
        <is>
          <t>Privately Held (backing)</t>
        </is>
      </c>
      <c r="M1007" s="21" t="inlineStr">
        <is>
          <t>Venture Capital-Backed</t>
        </is>
      </c>
      <c r="N1007" s="22" t="inlineStr">
        <is>
          <t>The company raised $3.3 million of grant funding from National Institute Of Allergy and Infectious diseases Extramural Activites on August 16, 2012.</t>
        </is>
      </c>
      <c r="O1007" s="23" t="inlineStr">
        <is>
          <t>Easton Capital Investment Group, Forward Ventures, InvestBio Ventures, Morgenthaler, National Institute Of Allergy and Infectious Diseases Extramural Activites, New Science Ventures, Novartis Venture Fund, Pac-Link Management</t>
        </is>
      </c>
      <c r="P1007" s="24" t="inlineStr">
        <is>
          <t/>
        </is>
      </c>
      <c r="Q1007" s="25" t="inlineStr">
        <is>
          <t>Biotechnology</t>
        </is>
      </c>
      <c r="R1007" s="26" t="inlineStr">
        <is>
          <t>Provider of human antibodies for treating infectious disease. The company engages in the discovery of therapeutic monoclonal antibodies for the treatment of cancer.</t>
        </is>
      </c>
      <c r="S1007" s="27" t="inlineStr">
        <is>
          <t>Menlo Park, CA</t>
        </is>
      </c>
      <c r="T1007" s="28" t="inlineStr">
        <is>
          <t>www.trellisbio.com</t>
        </is>
      </c>
      <c r="U1007" s="131">
        <f>HYPERLINK("https://my.pitchbook.com?c=42711-22", "View company online")</f>
      </c>
    </row>
    <row r="1008">
      <c r="A1008" s="30" t="inlineStr">
        <is>
          <t>104143-78</t>
        </is>
      </c>
      <c r="B1008" s="31" t="inlineStr">
        <is>
          <t>Trellis</t>
        </is>
      </c>
      <c r="C1008" s="32" t="inlineStr">
        <is>
          <t/>
        </is>
      </c>
      <c r="D1008" s="33" t="n">
        <v>0.0</v>
      </c>
      <c r="E1008" s="34" t="n">
        <v>0.21621621621621623</v>
      </c>
      <c r="F1008" s="35" t="n">
        <v>42620.0</v>
      </c>
      <c r="G1008" s="36" t="inlineStr">
        <is>
          <t>Early Stage VC</t>
        </is>
      </c>
      <c r="H1008" s="37" t="inlineStr">
        <is>
          <t/>
        </is>
      </c>
      <c r="I1008" s="38" t="inlineStr">
        <is>
          <t/>
        </is>
      </c>
      <c r="J1008" s="39" t="inlineStr">
        <is>
          <t/>
        </is>
      </c>
      <c r="K1008" s="40" t="inlineStr">
        <is>
          <t>Completed</t>
        </is>
      </c>
      <c r="L1008" s="41" t="inlineStr">
        <is>
          <t>Privately Held (backing)</t>
        </is>
      </c>
      <c r="M1008" s="42" t="inlineStr">
        <is>
          <t>Venture Capital-Backed</t>
        </is>
      </c>
      <c r="N1008" s="43" t="inlineStr">
        <is>
          <t>The company raised an undisclosed amount of venture funding from NFX Guild, Investment Group of Santa Barbara and Three Fish Capital on September 7, 2016. Eric Chen, Kevin Hartz, David Bonderman and Steve Ciesinski also participated in this round.</t>
        </is>
      </c>
      <c r="O1008" s="44" t="inlineStr">
        <is>
          <t>David Bonderman, Eric Chen, Investment Group of Santa Barbara, Kevin Hartz, NFX Guild, Steve Ciesinski, Three Fish Capital</t>
        </is>
      </c>
      <c r="P1008" s="45" t="inlineStr">
        <is>
          <t/>
        </is>
      </c>
      <c r="Q1008" s="46" t="inlineStr">
        <is>
          <t>Social Content</t>
        </is>
      </c>
      <c r="R1008" s="47" t="inlineStr">
        <is>
          <t>Operator and provider of a professional network platform. The company provides a self-generating, constantly updated professional network by analyzing emails to graph relationship strength and expertise across a network.</t>
        </is>
      </c>
      <c r="S1008" s="48" t="inlineStr">
        <is>
          <t>Redwood City, CA</t>
        </is>
      </c>
      <c r="T1008" s="49" t="inlineStr">
        <is>
          <t>trellisnow.com</t>
        </is>
      </c>
      <c r="U1008" s="132">
        <f>HYPERLINK("https://my.pitchbook.com?c=104143-78", "View company online")</f>
      </c>
    </row>
    <row r="1009">
      <c r="A1009" s="9" t="inlineStr">
        <is>
          <t>90369-73</t>
        </is>
      </c>
      <c r="B1009" s="10" t="inlineStr">
        <is>
          <t>Treeline (software)</t>
        </is>
      </c>
      <c r="C1009" s="11" t="inlineStr">
        <is>
          <t/>
        </is>
      </c>
      <c r="D1009" s="12" t="n">
        <v>-0.050602777665345385</v>
      </c>
      <c r="E1009" s="13" t="n">
        <v>8.100072506446862</v>
      </c>
      <c r="F1009" s="14" t="n">
        <v>42095.0</v>
      </c>
      <c r="G1009" s="15" t="inlineStr">
        <is>
          <t>Seed Round</t>
        </is>
      </c>
      <c r="H1009" s="16" t="inlineStr">
        <is>
          <t>Seed</t>
        </is>
      </c>
      <c r="I1009" s="17" t="inlineStr">
        <is>
          <t/>
        </is>
      </c>
      <c r="J1009" s="18" t="inlineStr">
        <is>
          <t/>
        </is>
      </c>
      <c r="K1009" s="19" t="inlineStr">
        <is>
          <t>Completed</t>
        </is>
      </c>
      <c r="L1009" s="20" t="inlineStr">
        <is>
          <t>Privately Held (backing)</t>
        </is>
      </c>
      <c r="M1009" s="21" t="inlineStr">
        <is>
          <t>Venture Capital-Backed</t>
        </is>
      </c>
      <c r="N1009" s="22" t="inlineStr">
        <is>
          <t>The company raised an undisclosed amount of seed funding from Social Starts in April 2015.</t>
        </is>
      </c>
      <c r="O1009" s="23" t="inlineStr">
        <is>
          <t>Social Starts</t>
        </is>
      </c>
      <c r="P1009" s="24" t="inlineStr">
        <is>
          <t/>
        </is>
      </c>
      <c r="Q1009" s="25" t="inlineStr">
        <is>
          <t>Business/Productivity Software</t>
        </is>
      </c>
      <c r="R1009" s="26" t="inlineStr">
        <is>
          <t>Provider of an interactive software designed to change how industries do business. The company's interactive software is a mobile applications that is made up of through data and user testing to present the brand, deliver information and provide feature-rich tools that increase the effectiveness of employees, enables businesses to reinvent themselves in terms of growth.</t>
        </is>
      </c>
      <c r="S1009" s="27" t="inlineStr">
        <is>
          <t>San Diego, CA</t>
        </is>
      </c>
      <c r="T1009" s="28" t="inlineStr">
        <is>
          <t>www.treelineinteractive.com</t>
        </is>
      </c>
      <c r="U1009" s="131">
        <f>HYPERLINK("https://my.pitchbook.com?c=90369-73", "View company online")</f>
      </c>
    </row>
    <row r="1010">
      <c r="A1010" s="30" t="inlineStr">
        <is>
          <t>111754-81</t>
        </is>
      </c>
      <c r="B1010" s="31" t="inlineStr">
        <is>
          <t>Treasure8</t>
        </is>
      </c>
      <c r="C1010" s="32" t="inlineStr">
        <is>
          <t/>
        </is>
      </c>
      <c r="D1010" s="33" t="n">
        <v>0.0</v>
      </c>
      <c r="E1010" s="34" t="n">
        <v>0.24324324324324326</v>
      </c>
      <c r="F1010" s="35" t="inlineStr">
        <is>
          <t/>
        </is>
      </c>
      <c r="G1010" s="36" t="inlineStr">
        <is>
          <t>Early Stage VC</t>
        </is>
      </c>
      <c r="H1010" s="37" t="inlineStr">
        <is>
          <t/>
        </is>
      </c>
      <c r="I1010" s="38" t="inlineStr">
        <is>
          <t/>
        </is>
      </c>
      <c r="J1010" s="39" t="inlineStr">
        <is>
          <t/>
        </is>
      </c>
      <c r="K1010" s="40" t="inlineStr">
        <is>
          <t>Completed</t>
        </is>
      </c>
      <c r="L1010" s="41" t="inlineStr">
        <is>
          <t>Privately Held (backing)</t>
        </is>
      </c>
      <c r="M1010" s="42" t="inlineStr">
        <is>
          <t>Venture Capital-Backed</t>
        </is>
      </c>
      <c r="N1010" s="43" t="inlineStr">
        <is>
          <t>The company raised venture funding from Powerplant Ventures on an undisclosed date.</t>
        </is>
      </c>
      <c r="O1010" s="44" t="inlineStr">
        <is>
          <t>Eric Ferraro, Matthew London, Powerplant Ventures, Rob Trice, Steelhead Ventures</t>
        </is>
      </c>
      <c r="P1010" s="45" t="inlineStr">
        <is>
          <t/>
        </is>
      </c>
      <c r="Q1010" s="46" t="inlineStr">
        <is>
          <t>Food Products</t>
        </is>
      </c>
      <c r="R1010" s="47" t="inlineStr">
        <is>
          <t>Operator of a food innovation and technology company. The company focuses to solve the nutritional challenges and environmental stresses of a growing global population. It develops, produces and deploys food ingredients, processes and products that are healthier for people and the planet.</t>
        </is>
      </c>
      <c r="S1010" s="48" t="inlineStr">
        <is>
          <t>San Francisco, CA</t>
        </is>
      </c>
      <c r="T1010" s="49" t="inlineStr">
        <is>
          <t>www.treasure8.com</t>
        </is>
      </c>
      <c r="U1010" s="132">
        <f>HYPERLINK("https://my.pitchbook.com?c=111754-81", "View company online")</f>
      </c>
    </row>
    <row r="1011">
      <c r="A1011" s="9" t="inlineStr">
        <is>
          <t>58079-80</t>
        </is>
      </c>
      <c r="B1011" s="10" t="inlineStr">
        <is>
          <t>Treasure Data</t>
        </is>
      </c>
      <c r="C1011" s="11" t="inlineStr">
        <is>
          <t/>
        </is>
      </c>
      <c r="D1011" s="12" t="n">
        <v>1.8442215325123443</v>
      </c>
      <c r="E1011" s="13" t="n">
        <v>15.676723344040955</v>
      </c>
      <c r="F1011" s="14" t="n">
        <v>42681.0</v>
      </c>
      <c r="G1011" s="15" t="inlineStr">
        <is>
          <t>Later Stage VC</t>
        </is>
      </c>
      <c r="H1011" s="16" t="inlineStr">
        <is>
          <t>Series C</t>
        </is>
      </c>
      <c r="I1011" s="17" t="n">
        <v>23.58</v>
      </c>
      <c r="J1011" s="18" t="n">
        <v>80.0</v>
      </c>
      <c r="K1011" s="19" t="inlineStr">
        <is>
          <t>Completed</t>
        </is>
      </c>
      <c r="L1011" s="20" t="inlineStr">
        <is>
          <t>Privately Held (backing)</t>
        </is>
      </c>
      <c r="M1011" s="21" t="inlineStr">
        <is>
          <t>Venture Capital-Backed</t>
        </is>
      </c>
      <c r="N1011" s="22" t="inlineStr">
        <is>
          <t>The company raised $23.58 million of Series C venture funding led by SoftBank Investment and Innovation Network Corporation of Japan on November 7, 2016. Scale Venture Partners, Sierra Ventures, AME Cloud Ventures, Dentsu, IT-Farm, Bill Tai and other also participated. The funding will be used to support the market introduction of the first Live Data Management platform.</t>
        </is>
      </c>
      <c r="O1011" s="23" t="inlineStr">
        <is>
          <t>Adam Wiggins, AME Cloud Ventures, Anand Periasamy, Daniel Scheinman, Dentsu, Dentsu Digital Holdings, Heavybit, Individual Investor, Innovation Network Corporation of Japan, IT-Farm Corporation, James Lindenbaum, Jean Sini, Jerry Yang, Kazuki Ota, Morio Kurosaki, Orion Henry, Othman Laraki, SBI Holdings, Scale Venture Partners, Sierra Ventures, Sizhao Yang, Tim Guleri, William Tai, Yukihiro Matsumoto</t>
        </is>
      </c>
      <c r="P1011" s="24" t="inlineStr">
        <is>
          <t/>
        </is>
      </c>
      <c r="Q1011" s="25" t="inlineStr">
        <is>
          <t>Database Software</t>
        </is>
      </c>
      <c r="R1011" s="26" t="inlineStr">
        <is>
          <t>Provider of a cloud-based data analytics platform. The company provides a cloud-based managed platform that stores and analyzes data from a variety of sources, including multi-structured web, application, mobile and sensor data.</t>
        </is>
      </c>
      <c r="S1011" s="27" t="inlineStr">
        <is>
          <t>Mountain View, CA</t>
        </is>
      </c>
      <c r="T1011" s="28" t="inlineStr">
        <is>
          <t>www.treasuredata.com</t>
        </is>
      </c>
      <c r="U1011" s="131">
        <f>HYPERLINK("https://my.pitchbook.com?c=58079-80", "View company online")</f>
      </c>
    </row>
    <row r="1012">
      <c r="A1012" s="30" t="inlineStr">
        <is>
          <t>58568-77</t>
        </is>
      </c>
      <c r="B1012" s="31" t="inlineStr">
        <is>
          <t>Traycer Systems</t>
        </is>
      </c>
      <c r="C1012" s="32" t="inlineStr">
        <is>
          <t/>
        </is>
      </c>
      <c r="D1012" s="33" t="n">
        <v>0.0</v>
      </c>
      <c r="E1012" s="34" t="n">
        <v>0.26523133302794316</v>
      </c>
      <c r="F1012" s="35" t="n">
        <v>42040.0</v>
      </c>
      <c r="G1012" s="36" t="inlineStr">
        <is>
          <t>Early Stage VC</t>
        </is>
      </c>
      <c r="H1012" s="37" t="inlineStr">
        <is>
          <t>Series A</t>
        </is>
      </c>
      <c r="I1012" s="38" t="n">
        <v>4.78</v>
      </c>
      <c r="J1012" s="39" t="n">
        <v>10.92</v>
      </c>
      <c r="K1012" s="40" t="inlineStr">
        <is>
          <t>Completed</t>
        </is>
      </c>
      <c r="L1012" s="41" t="inlineStr">
        <is>
          <t>Privately Held (backing)</t>
        </is>
      </c>
      <c r="M1012" s="42" t="inlineStr">
        <is>
          <t>Venture Capital-Backed</t>
        </is>
      </c>
      <c r="N1012" s="43" t="inlineStr">
        <is>
          <t>The company raised $4.78 million of Series A venture funding in a deal led by Phoenix Venture Partners on January 5, 2015, putting the pre-money valuation at $6.14 million. Other undisclosed investors also participated in the round. Two series of stock were issued as part of this round: 1,553,672 shares of Series A1 stock were acquired for $2.75 million and 818,050 shares of Series A2 stock were acquired for $2 million.</t>
        </is>
      </c>
      <c r="O1012" s="44" t="inlineStr">
        <is>
          <t>Ohio Tech Angels, Phoenix Venture Partners, Rev1 Ventures, Ross Youngs</t>
        </is>
      </c>
      <c r="P1012" s="45" t="inlineStr">
        <is>
          <t/>
        </is>
      </c>
      <c r="Q1012" s="46" t="inlineStr">
        <is>
          <t>Electronic Components</t>
        </is>
      </c>
      <c r="R1012" s="47" t="inlineStr">
        <is>
          <t>Provider of components to researchers and application developers for imaging, detection and generation of terahertz light. The company supplies terahertz imaging and spectrometry components, subsystems and systems for custom terahertz research.</t>
        </is>
      </c>
      <c r="S1012" s="48" t="inlineStr">
        <is>
          <t>Burlingame, CA</t>
        </is>
      </c>
      <c r="T1012" s="49" t="inlineStr">
        <is>
          <t>www.traycer.com</t>
        </is>
      </c>
      <c r="U1012" s="132">
        <f>HYPERLINK("https://my.pitchbook.com?c=58568-77", "View company online")</f>
      </c>
    </row>
    <row r="1013">
      <c r="A1013" s="9" t="inlineStr">
        <is>
          <t>57702-79</t>
        </is>
      </c>
      <c r="B1013" s="10" t="inlineStr">
        <is>
          <t>Tray.io</t>
        </is>
      </c>
      <c r="C1013" s="11" t="inlineStr">
        <is>
          <t/>
        </is>
      </c>
      <c r="D1013" s="12" t="n">
        <v>0.14282525398037432</v>
      </c>
      <c r="E1013" s="13" t="n">
        <v>1.3949794383287384</v>
      </c>
      <c r="F1013" s="14" t="n">
        <v>42740.0</v>
      </c>
      <c r="G1013" s="15" t="inlineStr">
        <is>
          <t>Early Stage VC</t>
        </is>
      </c>
      <c r="H1013" s="16" t="inlineStr">
        <is>
          <t>Series A</t>
        </is>
      </c>
      <c r="I1013" s="17" t="n">
        <v>5.77</v>
      </c>
      <c r="J1013" s="18" t="inlineStr">
        <is>
          <t/>
        </is>
      </c>
      <c r="K1013" s="19" t="inlineStr">
        <is>
          <t>Completed</t>
        </is>
      </c>
      <c r="L1013" s="20" t="inlineStr">
        <is>
          <t>Privately Held (backing)</t>
        </is>
      </c>
      <c r="M1013" s="21" t="inlineStr">
        <is>
          <t>Venture Capital-Backed</t>
        </is>
      </c>
      <c r="N1013" s="22" t="inlineStr">
        <is>
          <t>The company raised $5.76 million of Series A venture funding in a deal led by Mosaic Ventures on January 5, 2017. True Ventures, Redpoint Ventures, Passion Capital, Angelpad, Andy Mcloughlin and other undisclosed investors also participated. The company intends to use the funds to further scale its workflow platform, tooling and connector framework, whilst growing the teams in San Francisco &amp; London. As a part of this transaction, New Model Venture Capital sold its stake in the company.</t>
        </is>
      </c>
      <c r="O1013" s="23" t="inlineStr">
        <is>
          <t>Andy McLoughlin, AngelPad, Anil Hansjee, Ballpark Ventures, Firestartr, HardGamma Ventures, John Sinclair, Jonathan Bradford, Matt Miller, Mosaic Ventures, Passion Capital, Playfair Capital, Redpoint Ventures, Richard Fearn, Richard Muirhead, Robert Dighero, Thomas Korte, Tom Hulme, True Ventures</t>
        </is>
      </c>
      <c r="P1013" s="24" t="inlineStr">
        <is>
          <t/>
        </is>
      </c>
      <c r="Q1013" s="25" t="inlineStr">
        <is>
          <t>Social/Platform Software</t>
        </is>
      </c>
      <c r="R1013" s="26" t="inlineStr">
        <is>
          <t>Provider of a cloud-based software integration platform. The company operates a platform that provides a set of components to discover, create and deploy integrations between different software platforms.</t>
        </is>
      </c>
      <c r="S1013" s="27" t="inlineStr">
        <is>
          <t>London, United Kingdom</t>
        </is>
      </c>
      <c r="T1013" s="28" t="inlineStr">
        <is>
          <t>www.tray.io</t>
        </is>
      </c>
      <c r="U1013" s="131">
        <f>HYPERLINK("https://my.pitchbook.com?c=57702-79", "View company online")</f>
      </c>
    </row>
    <row r="1014">
      <c r="A1014" s="30" t="inlineStr">
        <is>
          <t>54700-75</t>
        </is>
      </c>
      <c r="B1014" s="31" t="inlineStr">
        <is>
          <t>Traxpay</t>
        </is>
      </c>
      <c r="C1014" s="32" t="inlineStr">
        <is>
          <t/>
        </is>
      </c>
      <c r="D1014" s="33" t="n">
        <v>-0.1540482058487586</v>
      </c>
      <c r="E1014" s="34" t="n">
        <v>4.762826385707742</v>
      </c>
      <c r="F1014" s="35" t="n">
        <v>41905.0</v>
      </c>
      <c r="G1014" s="36" t="inlineStr">
        <is>
          <t>Early Stage VC</t>
        </is>
      </c>
      <c r="H1014" s="37" t="inlineStr">
        <is>
          <t>Series B</t>
        </is>
      </c>
      <c r="I1014" s="38" t="n">
        <v>15.0</v>
      </c>
      <c r="J1014" s="39" t="inlineStr">
        <is>
          <t/>
        </is>
      </c>
      <c r="K1014" s="40" t="inlineStr">
        <is>
          <t>Completed</t>
        </is>
      </c>
      <c r="L1014" s="41" t="inlineStr">
        <is>
          <t>Privately Held (backing)</t>
        </is>
      </c>
      <c r="M1014" s="42" t="inlineStr">
        <is>
          <t>Venture Capital-Backed</t>
        </is>
      </c>
      <c r="N1014" s="43" t="inlineStr">
        <is>
          <t>The company raised $15 million of Series B venture funding in a deal led by Commerzbank's Main Incubator and Software AG on September 23, 2014. Earlybird Venture Capital and individual investor Michael Phillips of Castik Capital Partners also participated.</t>
        </is>
      </c>
      <c r="O1014" s="44" t="inlineStr">
        <is>
          <t>Castik Capital Partners, Earlybird Venture Capital, Franger Investment, Main Incubator, Software</t>
        </is>
      </c>
      <c r="P1014" s="45" t="inlineStr">
        <is>
          <t/>
        </is>
      </c>
      <c r="Q1014" s="46" t="inlineStr">
        <is>
          <t>Other Commercial Services</t>
        </is>
      </c>
      <c r="R1014" s="47" t="inlineStr">
        <is>
          <t>Provider of a real-time payment platform. The company provides a payment platform for firms to manage their business-to-business payment processes online.</t>
        </is>
      </c>
      <c r="S1014" s="48" t="inlineStr">
        <is>
          <t>Mountain View, CA</t>
        </is>
      </c>
      <c r="T1014" s="49" t="inlineStr">
        <is>
          <t>www.traxpay.com</t>
        </is>
      </c>
      <c r="U1014" s="132">
        <f>HYPERLINK("https://my.pitchbook.com?c=54700-75", "View company online")</f>
      </c>
    </row>
    <row r="1015">
      <c r="A1015" s="9" t="inlineStr">
        <is>
          <t>112556-89</t>
        </is>
      </c>
      <c r="B1015" s="10" t="inlineStr">
        <is>
          <t>Travo</t>
        </is>
      </c>
      <c r="C1015" s="11" t="inlineStr">
        <is>
          <t/>
        </is>
      </c>
      <c r="D1015" s="12" t="n">
        <v>0.16325088615782474</v>
      </c>
      <c r="E1015" s="13" t="n">
        <v>4.287002567363658</v>
      </c>
      <c r="F1015" s="14" t="n">
        <v>42328.0</v>
      </c>
      <c r="G1015" s="15" t="inlineStr">
        <is>
          <t>Seed Round</t>
        </is>
      </c>
      <c r="H1015" s="16" t="inlineStr">
        <is>
          <t>Seed</t>
        </is>
      </c>
      <c r="I1015" s="17" t="n">
        <v>2.4</v>
      </c>
      <c r="J1015" s="18" t="n">
        <v>9.66</v>
      </c>
      <c r="K1015" s="19" t="inlineStr">
        <is>
          <t>Completed</t>
        </is>
      </c>
      <c r="L1015" s="20" t="inlineStr">
        <is>
          <t>Privately Held (backing)</t>
        </is>
      </c>
      <c r="M1015" s="21" t="inlineStr">
        <is>
          <t>Venture Capital-Backed</t>
        </is>
      </c>
      <c r="N1015" s="22" t="inlineStr">
        <is>
          <t>The company raised $2.4 million of seed funding from Great Oaks Venture Capital, Baroda Ventures and Valence Ventures on November 20, 2015, putting the company's pre-money valuation at $7.26 million. TYLT Ventures, Dennis Phelps, Seung Bak, Daniel Shin, Rob Sweeney and other undisclosed investors also participated participated in the round. The company will use the funds to grow its travel reservations platform.</t>
        </is>
      </c>
      <c r="O1015" s="23" t="inlineStr">
        <is>
          <t>Baroda Ventures, Daniel Shin, Dennis Phelps, Great Oaks Venture Capital, Rob Sweeney, Seung Bak, TYLT Ventures, Valence Ventures</t>
        </is>
      </c>
      <c r="P1015" s="24" t="inlineStr">
        <is>
          <t/>
        </is>
      </c>
      <c r="Q1015" s="25" t="inlineStr">
        <is>
          <t>Social/Platform Software</t>
        </is>
      </c>
      <c r="R1015" s="26" t="inlineStr">
        <is>
          <t>Developer of a trip planning and booking platform designed to plan business trips and travels for administrative professionals. The company's trip planning and booking platform creates itineraries and streamlines the reservation process, enabling business travelers to plan for their team and manage their individual preferences all in one place and helping them to get to their events and meetings on time.</t>
        </is>
      </c>
      <c r="S1015" s="27" t="inlineStr">
        <is>
          <t>Torrance, CA</t>
        </is>
      </c>
      <c r="T1015" s="28" t="inlineStr">
        <is>
          <t>www.travo.com</t>
        </is>
      </c>
      <c r="U1015" s="131">
        <f>HYPERLINK("https://my.pitchbook.com?c=112556-89", "View company online")</f>
      </c>
    </row>
    <row r="1016">
      <c r="A1016" s="30" t="inlineStr">
        <is>
          <t>97088-32</t>
        </is>
      </c>
      <c r="B1016" s="31" t="inlineStr">
        <is>
          <t>Travelnuts</t>
        </is>
      </c>
      <c r="C1016" s="32" t="inlineStr">
        <is>
          <t/>
        </is>
      </c>
      <c r="D1016" s="33" t="n">
        <v>0.0</v>
      </c>
      <c r="E1016" s="34" t="n">
        <v>0.5212377025936348</v>
      </c>
      <c r="F1016" s="35" t="n">
        <v>41863.0</v>
      </c>
      <c r="G1016" s="36" t="inlineStr">
        <is>
          <t>Early Stage VC</t>
        </is>
      </c>
      <c r="H1016" s="37" t="inlineStr">
        <is>
          <t/>
        </is>
      </c>
      <c r="I1016" s="38" t="n">
        <v>0.6</v>
      </c>
      <c r="J1016" s="39" t="inlineStr">
        <is>
          <t/>
        </is>
      </c>
      <c r="K1016" s="40" t="inlineStr">
        <is>
          <t>Completed</t>
        </is>
      </c>
      <c r="L1016" s="41" t="inlineStr">
        <is>
          <t>Privately Held (backing)</t>
        </is>
      </c>
      <c r="M1016" s="42" t="inlineStr">
        <is>
          <t>Venture Capital-Backed</t>
        </is>
      </c>
      <c r="N1016" s="43" t="inlineStr">
        <is>
          <t>The company raised $600,000 of venture funding from Vogel Ventures, Progression Labs and ChinaRock Capital Management on August 12, 2014. Carsten Bernhard, Matteo Franceschetti, Matteo Daste, Mind the Bridge Foundation and David Atkins also participated in this round. Previously, the company raised $1.3 million of seed funding from VTF Capital, Kima Ventures and StartX on June 20, 2014. 10 individual investors also participated in this round.</t>
        </is>
      </c>
      <c r="O1016" s="44" t="inlineStr">
        <is>
          <t>Andrej Henkler, Avadis Tevanian, China Growth Capital, ChinaRock Capital Management, Donald Hutchison, Elevation Capital, Kima Ventures, Marco Marinucci, Matteo Franceschetti, Michael Brehm, Mike Okyere, Mind the Bridge Foundation, Peter Livingston, Progression Labs, Shariq Minhas, Simone Brunozzi, StartX, Vogel Ventures, VTF Capital</t>
        </is>
      </c>
      <c r="P1016" s="45" t="inlineStr">
        <is>
          <t/>
        </is>
      </c>
      <c r="Q1016" s="46" t="inlineStr">
        <is>
          <t>Business/Productivity Software</t>
        </is>
      </c>
      <c r="R1016" s="47" t="inlineStr">
        <is>
          <t>Provider of mobile compatible e-commerce platform designed to offer better services and amenities to guests. The company's e-commerce platform allows hotel administration to get connected with their guests and provide them various facilities out of hotel like dining, shows and transportation while they are in way to hotel, enabling them to increase revenue and improve cost-effectiveness.</t>
        </is>
      </c>
      <c r="S1016" s="48" t="inlineStr">
        <is>
          <t>San Francisco, CA</t>
        </is>
      </c>
      <c r="T1016" s="49" t="inlineStr">
        <is>
          <t>www.travelnuts.com</t>
        </is>
      </c>
      <c r="U1016" s="132">
        <f>HYPERLINK("https://my.pitchbook.com?c=97088-32", "View company online")</f>
      </c>
    </row>
    <row r="1017">
      <c r="A1017" s="9" t="inlineStr">
        <is>
          <t>106663-87</t>
        </is>
      </c>
      <c r="B1017" s="10" t="inlineStr">
        <is>
          <t>Traveling Spoon</t>
        </is>
      </c>
      <c r="C1017" s="11" t="inlineStr">
        <is>
          <t/>
        </is>
      </c>
      <c r="D1017" s="12" t="n">
        <v>0.4161511173853445</v>
      </c>
      <c r="E1017" s="13" t="n">
        <v>9.837926206551852</v>
      </c>
      <c r="F1017" s="14" t="n">
        <v>42264.0</v>
      </c>
      <c r="G1017" s="15" t="inlineStr">
        <is>
          <t>Early Stage VC</t>
        </is>
      </c>
      <c r="H1017" s="16" t="inlineStr">
        <is>
          <t/>
        </is>
      </c>
      <c r="I1017" s="17" t="n">
        <v>0.87</v>
      </c>
      <c r="J1017" s="18" t="inlineStr">
        <is>
          <t/>
        </is>
      </c>
      <c r="K1017" s="19" t="inlineStr">
        <is>
          <t>Completed</t>
        </is>
      </c>
      <c r="L1017" s="20" t="inlineStr">
        <is>
          <t>Privately Held (backing)</t>
        </is>
      </c>
      <c r="M1017" s="21" t="inlineStr">
        <is>
          <t>Venture Capital-Backed</t>
        </is>
      </c>
      <c r="N1017" s="22" t="inlineStr">
        <is>
          <t>The company raised $870,000 of venture funding from First Round Capital, Dorm Room Fund and Tribe Investment Group on September 17, 2015. The Chennai Angels and 7 individual investors also participated in this round.</t>
        </is>
      </c>
      <c r="O1017" s="23" t="inlineStr">
        <is>
          <t>Anjan Mitra, Dorm Room Fund, Emily Mitra, Erik Blachford, First Round Capital, George Butterfield, Kathy Salmanowitz, Padma Chandrasekaran, Samir Sood, The Chennai Angels, Tribe Investment Group, UC Berkeley Center for Entrepreneurship and Technology</t>
        </is>
      </c>
      <c r="P1017" s="24" t="inlineStr">
        <is>
          <t/>
        </is>
      </c>
      <c r="Q1017" s="25" t="inlineStr">
        <is>
          <t>Other Restaurants, Hotels and Leisure</t>
        </is>
      </c>
      <c r="R1017" s="26" t="inlineStr">
        <is>
          <t>Developer of an online platform designed to book a private meal or cooking class with the home cooks around the world. The company's online platform helps to Discover an authentic culinary experience, enabling travelers to connect with local, vetted hosts to share the joy of a homemade meal in their home and learn about their cultural and culinary traditions passed down through generations.</t>
        </is>
      </c>
      <c r="S1017" s="27" t="inlineStr">
        <is>
          <t>San Francisco, CA</t>
        </is>
      </c>
      <c r="T1017" s="28" t="inlineStr">
        <is>
          <t>www.travelingspoon.com</t>
        </is>
      </c>
      <c r="U1017" s="131">
        <f>HYPERLINK("https://my.pitchbook.com?c=106663-87", "View company online")</f>
      </c>
    </row>
    <row r="1018">
      <c r="A1018" s="30" t="inlineStr">
        <is>
          <t>167364-55</t>
        </is>
      </c>
      <c r="B1018" s="31" t="inlineStr">
        <is>
          <t>TravelBank</t>
        </is>
      </c>
      <c r="C1018" s="32" t="inlineStr">
        <is>
          <t/>
        </is>
      </c>
      <c r="D1018" s="33" t="n">
        <v>4.039471523985724</v>
      </c>
      <c r="E1018" s="34" t="n">
        <v>1.1053659038552186</v>
      </c>
      <c r="F1018" s="35" t="n">
        <v>42663.0</v>
      </c>
      <c r="G1018" s="36" t="inlineStr">
        <is>
          <t>Early Stage VC</t>
        </is>
      </c>
      <c r="H1018" s="37" t="inlineStr">
        <is>
          <t>Series A</t>
        </is>
      </c>
      <c r="I1018" s="38" t="n">
        <v>10.0</v>
      </c>
      <c r="J1018" s="39" t="inlineStr">
        <is>
          <t/>
        </is>
      </c>
      <c r="K1018" s="40" t="inlineStr">
        <is>
          <t>Completed</t>
        </is>
      </c>
      <c r="L1018" s="41" t="inlineStr">
        <is>
          <t>Privately Held (backing)</t>
        </is>
      </c>
      <c r="M1018" s="42" t="inlineStr">
        <is>
          <t>Venture Capital-Backed</t>
        </is>
      </c>
      <c r="N1018" s="43" t="inlineStr">
        <is>
          <t>The company raised $10 million of Series A venture funding in a deal led by New Enterprise Associates on October 20, 2016. Accel Partners and undisclosed angel investors also participated in the round. The funding will be used to invest in marketing and sales for its newly launched apps.</t>
        </is>
      </c>
      <c r="O1018" s="44" t="inlineStr">
        <is>
          <t>Accel, New Enterprise Associates</t>
        </is>
      </c>
      <c r="P1018" s="45" t="inlineStr">
        <is>
          <t/>
        </is>
      </c>
      <c r="Q1018" s="46" t="inlineStr">
        <is>
          <t>Application Software</t>
        </is>
      </c>
      <c r="R1018" s="47" t="inlineStr">
        <is>
          <t>Developer of travel and expense software for small to medium size businesses. The company provides a travel-expense platform for employees to manage expense reporting and potentially earn rewards for saving their employer money on enterprise expenses.</t>
        </is>
      </c>
      <c r="S1018" s="48" t="inlineStr">
        <is>
          <t>San Francisco, CA</t>
        </is>
      </c>
      <c r="T1018" s="49" t="inlineStr">
        <is>
          <t>www.travelbank.com</t>
        </is>
      </c>
      <c r="U1018" s="132">
        <f>HYPERLINK("https://my.pitchbook.com?c=167364-55", "View company online")</f>
      </c>
    </row>
    <row r="1019">
      <c r="A1019" s="9" t="inlineStr">
        <is>
          <t>61664-86</t>
        </is>
      </c>
      <c r="B1019" s="10" t="inlineStr">
        <is>
          <t>TrapX Security</t>
        </is>
      </c>
      <c r="C1019" s="11" t="inlineStr">
        <is>
          <t/>
        </is>
      </c>
      <c r="D1019" s="12" t="n">
        <v>0.4971462578184902</v>
      </c>
      <c r="E1019" s="13" t="n">
        <v>0.9010101822003075</v>
      </c>
      <c r="F1019" s="14" t="n">
        <v>42479.0</v>
      </c>
      <c r="G1019" s="15" t="inlineStr">
        <is>
          <t>Early Stage VC</t>
        </is>
      </c>
      <c r="H1019" s="16" t="inlineStr">
        <is>
          <t>Series B</t>
        </is>
      </c>
      <c r="I1019" s="17" t="n">
        <v>14.0</v>
      </c>
      <c r="J1019" s="18" t="inlineStr">
        <is>
          <t/>
        </is>
      </c>
      <c r="K1019" s="19" t="inlineStr">
        <is>
          <t>Completed</t>
        </is>
      </c>
      <c r="L1019" s="20" t="inlineStr">
        <is>
          <t>Privately Held (backing)</t>
        </is>
      </c>
      <c r="M1019" s="21" t="inlineStr">
        <is>
          <t>Venture Capital-Backed</t>
        </is>
      </c>
      <c r="N1019" s="22" t="inlineStr">
        <is>
          <t>The company raised $14 million of Series B venture funding in a deal led by Intel Capital and Liberty Ventures on April 19, 2016. BRM Capital, Strategic Cyber Ventures and Opus Capital also participated in the round. The company will use the funding to accelerate growth across the business, spanning the development of deception technology, the hiring of engineering and marketing personnel and the expansion of global sales initiatives.</t>
        </is>
      </c>
      <c r="O1019" s="23" t="inlineStr">
        <is>
          <t>Avenue A Ventures, BRM Capital, Intel Capital, Liberty Ventures, Opus Capital, Strategic Cyber Ventures</t>
        </is>
      </c>
      <c r="P1019" s="24" t="inlineStr">
        <is>
          <t/>
        </is>
      </c>
      <c r="Q1019" s="25" t="inlineStr">
        <is>
          <t>Network Management Software</t>
        </is>
      </c>
      <c r="R1019" s="26" t="inlineStr">
        <is>
          <t>Provider of cloud-based cyber security platform designed to detect, analyze and defeat new zero-day, targeted attack, and malicious insiders. The company's cyber security platform is an automated security grid for adaptive deception and defense that intercepts real-time threats while providing the actionable intelligence to block attackers, enabling industries to avail secured connections in there surroundings.</t>
        </is>
      </c>
      <c r="S1019" s="27" t="inlineStr">
        <is>
          <t>San Mateo, CA</t>
        </is>
      </c>
      <c r="T1019" s="28" t="inlineStr">
        <is>
          <t>www.trapx.com</t>
        </is>
      </c>
      <c r="U1019" s="131">
        <f>HYPERLINK("https://my.pitchbook.com?c=61664-86", "View company online")</f>
      </c>
    </row>
    <row r="1020">
      <c r="A1020" s="30" t="inlineStr">
        <is>
          <t>167939-56</t>
        </is>
      </c>
      <c r="B1020" s="31" t="inlineStr">
        <is>
          <t>Traptic</t>
        </is>
      </c>
      <c r="C1020" s="32" t="inlineStr">
        <is>
          <t/>
        </is>
      </c>
      <c r="D1020" s="33" t="inlineStr">
        <is>
          <t/>
        </is>
      </c>
      <c r="E1020" s="34" t="inlineStr">
        <is>
          <t/>
        </is>
      </c>
      <c r="F1020" s="35" t="n">
        <v>42675.0</v>
      </c>
      <c r="G1020" s="36" t="inlineStr">
        <is>
          <t>Seed Round</t>
        </is>
      </c>
      <c r="H1020" s="37" t="inlineStr">
        <is>
          <t>Seed</t>
        </is>
      </c>
      <c r="I1020" s="38" t="n">
        <v>0.4</v>
      </c>
      <c r="J1020" s="39" t="n">
        <v>2.0</v>
      </c>
      <c r="K1020" s="40" t="inlineStr">
        <is>
          <t>Completed</t>
        </is>
      </c>
      <c r="L1020" s="41" t="inlineStr">
        <is>
          <t>Privately Held (backing)</t>
        </is>
      </c>
      <c r="M1020" s="42" t="inlineStr">
        <is>
          <t>Venture Capital-Backed</t>
        </is>
      </c>
      <c r="N1020" s="43" t="inlineStr">
        <is>
          <t>The company raised $399,999 of seed funding from an undisclosed investor on November 1, 2016, putting the pre-money valuation at $1.6 million.</t>
        </is>
      </c>
      <c r="O1020" s="44" t="inlineStr">
        <is>
          <t/>
        </is>
      </c>
      <c r="P1020" s="45" t="inlineStr">
        <is>
          <t/>
        </is>
      </c>
      <c r="Q1020" s="46" t="inlineStr">
        <is>
          <t>Machinery (B2B)</t>
        </is>
      </c>
      <c r="R1020" s="47" t="inlineStr">
        <is>
          <t>Manufacturer of automated strawberry harvesting machines. The company designs and manufactures automated harvesting machines with robotic arms and 3D cameras that help growers to raise and pluck strawberries quickly.</t>
        </is>
      </c>
      <c r="S1020" s="48" t="inlineStr">
        <is>
          <t>Mountain View, CA</t>
        </is>
      </c>
      <c r="T1020" s="49" t="inlineStr">
        <is>
          <t/>
        </is>
      </c>
      <c r="U1020" s="132">
        <f>HYPERLINK("https://my.pitchbook.com?c=167939-56", "View company online")</f>
      </c>
    </row>
    <row r="1021">
      <c r="A1021" s="9" t="inlineStr">
        <is>
          <t>53592-49</t>
        </is>
      </c>
      <c r="B1021" s="10" t="inlineStr">
        <is>
          <t>Trapit</t>
        </is>
      </c>
      <c r="C1021" s="11" t="inlineStr">
        <is>
          <t/>
        </is>
      </c>
      <c r="D1021" s="12" t="n">
        <v>-0.0013475528195256966</v>
      </c>
      <c r="E1021" s="13" t="n">
        <v>5.368106363021617</v>
      </c>
      <c r="F1021" s="14" t="n">
        <v>41982.0</v>
      </c>
      <c r="G1021" s="15" t="inlineStr">
        <is>
          <t>Early Stage VC</t>
        </is>
      </c>
      <c r="H1021" s="16" t="inlineStr">
        <is>
          <t>Series B</t>
        </is>
      </c>
      <c r="I1021" s="17" t="n">
        <v>10.0</v>
      </c>
      <c r="J1021" s="18" t="inlineStr">
        <is>
          <t/>
        </is>
      </c>
      <c r="K1021" s="19" t="inlineStr">
        <is>
          <t>Completed</t>
        </is>
      </c>
      <c r="L1021" s="20" t="inlineStr">
        <is>
          <t>Privately Held (backing)</t>
        </is>
      </c>
      <c r="M1021" s="21" t="inlineStr">
        <is>
          <t>Venture Capital-Backed</t>
        </is>
      </c>
      <c r="N1021" s="22" t="inlineStr">
        <is>
          <t>The company raised $10 million of Series B venture funding in a deal led by Rogers Venture Partners on December 9, 2014. SRI International has also participated in the round.</t>
        </is>
      </c>
      <c r="O1021" s="23" t="inlineStr">
        <is>
          <t>Horizons Ventures, Li Ka-Shing, Rogers Venture Partners, SRI International, Twist, Venture Choice, Vformation</t>
        </is>
      </c>
      <c r="P1021" s="24" t="inlineStr">
        <is>
          <t/>
        </is>
      </c>
      <c r="Q1021" s="25" t="inlineStr">
        <is>
          <t>Media and Information Services (B2B)</t>
        </is>
      </c>
      <c r="R1021" s="26" t="inlineStr">
        <is>
          <t>Provider of an online platform designed to help customers connect with their buyers through employee advocacy and digital selling. The company's online platform focuses on personalized search and Web discovery, enabling businesses to increase the sales revenue and brand reach by making it easy for executives, salespeople and other employees to engage in social selling and employee advocacy.</t>
        </is>
      </c>
      <c r="S1021" s="27" t="inlineStr">
        <is>
          <t>San Francisco, CA</t>
        </is>
      </c>
      <c r="T1021" s="28" t="inlineStr">
        <is>
          <t>www.trap.it</t>
        </is>
      </c>
      <c r="U1021" s="131">
        <f>HYPERLINK("https://my.pitchbook.com?c=53592-49", "View company online")</f>
      </c>
    </row>
    <row r="1022">
      <c r="A1022" s="30" t="inlineStr">
        <is>
          <t>90367-21</t>
        </is>
      </c>
      <c r="B1022" s="31" t="inlineStr">
        <is>
          <t>Tranzlogic</t>
        </is>
      </c>
      <c r="C1022" s="32" t="inlineStr">
        <is>
          <t/>
        </is>
      </c>
      <c r="D1022" s="33" t="n">
        <v>-0.15962520926133064</v>
      </c>
      <c r="E1022" s="34" t="n">
        <v>0.42790203615553657</v>
      </c>
      <c r="F1022" s="35" t="n">
        <v>41599.0</v>
      </c>
      <c r="G1022" s="36" t="inlineStr">
        <is>
          <t>Early Stage VC</t>
        </is>
      </c>
      <c r="H1022" s="37" t="inlineStr">
        <is>
          <t/>
        </is>
      </c>
      <c r="I1022" s="38" t="n">
        <v>1.0</v>
      </c>
      <c r="J1022" s="39" t="inlineStr">
        <is>
          <t/>
        </is>
      </c>
      <c r="K1022" s="40" t="inlineStr">
        <is>
          <t>Completed</t>
        </is>
      </c>
      <c r="L1022" s="41" t="inlineStr">
        <is>
          <t>Privately Held (backing)</t>
        </is>
      </c>
      <c r="M1022" s="42" t="inlineStr">
        <is>
          <t>Venture Capital-Backed</t>
        </is>
      </c>
      <c r="N1022" s="43" t="inlineStr">
        <is>
          <t>The company raised $999,968 of venture funding from undisclosed investors on November 21, 2013.</t>
        </is>
      </c>
      <c r="O1022" s="44" t="inlineStr">
        <is>
          <t>SJ Strategic Investments</t>
        </is>
      </c>
      <c r="P1022" s="45" t="inlineStr">
        <is>
          <t/>
        </is>
      </c>
      <c r="Q1022" s="46" t="inlineStr">
        <is>
          <t>Other IT Services</t>
        </is>
      </c>
      <c r="R1022" s="47" t="inlineStr">
        <is>
          <t>Developer of a transactional data technology. The company's transactional data technology aggregates information for payment service providers and merchants.</t>
        </is>
      </c>
      <c r="S1022" s="48" t="inlineStr">
        <is>
          <t>Simi Valley, CA</t>
        </is>
      </c>
      <c r="T1022" s="49" t="inlineStr">
        <is>
          <t>www.tranzlogic.com</t>
        </is>
      </c>
      <c r="U1022" s="132">
        <f>HYPERLINK("https://my.pitchbook.com?c=90367-21", "View company online")</f>
      </c>
    </row>
    <row r="1023">
      <c r="A1023" s="9" t="inlineStr">
        <is>
          <t>172917-91</t>
        </is>
      </c>
      <c r="B1023" s="10" t="inlineStr">
        <is>
          <t>Transported</t>
        </is>
      </c>
      <c r="C1023" s="11" t="inlineStr">
        <is>
          <t/>
        </is>
      </c>
      <c r="D1023" s="12" t="n">
        <v>1.212312278286582</v>
      </c>
      <c r="E1023" s="13" t="n">
        <v>1.6970147165799339</v>
      </c>
      <c r="F1023" s="14" t="inlineStr">
        <is>
          <t/>
        </is>
      </c>
      <c r="G1023" s="15" t="inlineStr">
        <is>
          <t>Seed Round</t>
        </is>
      </c>
      <c r="H1023" s="16" t="inlineStr">
        <is>
          <t>Seed</t>
        </is>
      </c>
      <c r="I1023" s="17" t="inlineStr">
        <is>
          <t/>
        </is>
      </c>
      <c r="J1023" s="18" t="inlineStr">
        <is>
          <t/>
        </is>
      </c>
      <c r="K1023" s="19" t="inlineStr">
        <is>
          <t>Completed</t>
        </is>
      </c>
      <c r="L1023" s="20" t="inlineStr">
        <is>
          <t>Privately Held (backing)</t>
        </is>
      </c>
      <c r="M1023" s="21" t="inlineStr">
        <is>
          <t>Venture Capital-Backed</t>
        </is>
      </c>
      <c r="N1023" s="22" t="inlineStr">
        <is>
          <t>The company raised an undisclosed amount of seed funding from Corigin Ventures.</t>
        </is>
      </c>
      <c r="O1023" s="23" t="inlineStr">
        <is>
          <t>Corigin Ventures</t>
        </is>
      </c>
      <c r="P1023" s="24" t="inlineStr">
        <is>
          <t/>
        </is>
      </c>
      <c r="Q1023" s="25" t="inlineStr">
        <is>
          <t>Application Software</t>
        </is>
      </c>
      <c r="R1023" s="26" t="inlineStr">
        <is>
          <t>Provider of an all-in-one virtual reality platform intended to be used for the real estate business. The company's virtual reality platform provides an open and flexible platform that lets you build your business creating a virtual reality for real estate, enabling agents to easily create VR walkthroughs and a marketplace for buyers to view them all in one place.</t>
        </is>
      </c>
      <c r="S1023" s="27" t="inlineStr">
        <is>
          <t>Los Angeles, CA</t>
        </is>
      </c>
      <c r="T1023" s="28" t="inlineStr">
        <is>
          <t>www.transported.co</t>
        </is>
      </c>
      <c r="U1023" s="131">
        <f>HYPERLINK("https://my.pitchbook.com?c=172917-91", "View company online")</f>
      </c>
    </row>
    <row r="1024">
      <c r="A1024" s="30" t="inlineStr">
        <is>
          <t>51622-39</t>
        </is>
      </c>
      <c r="B1024" s="31" t="inlineStr">
        <is>
          <t>Transphorm</t>
        </is>
      </c>
      <c r="C1024" s="32" t="n">
        <v>10.0</v>
      </c>
      <c r="D1024" s="33" t="n">
        <v>0.5084923606763893</v>
      </c>
      <c r="E1024" s="34" t="n">
        <v>5.068752068733645</v>
      </c>
      <c r="F1024" s="35" t="n">
        <v>42591.0</v>
      </c>
      <c r="G1024" s="36" t="inlineStr">
        <is>
          <t>Later Stage VC</t>
        </is>
      </c>
      <c r="H1024" s="37" t="inlineStr">
        <is>
          <t/>
        </is>
      </c>
      <c r="I1024" s="38" t="inlineStr">
        <is>
          <t/>
        </is>
      </c>
      <c r="J1024" s="39" t="inlineStr">
        <is>
          <t/>
        </is>
      </c>
      <c r="K1024" s="40" t="inlineStr">
        <is>
          <t>Completed</t>
        </is>
      </c>
      <c r="L1024" s="41" t="inlineStr">
        <is>
          <t>Privately Held (backing)</t>
        </is>
      </c>
      <c r="M1024" s="42" t="inlineStr">
        <is>
          <t>Venture Capital-Backed</t>
        </is>
      </c>
      <c r="N1024" s="43" t="inlineStr">
        <is>
          <t>The company raised an undisclosed amount of venture funding on August 9, 2016.</t>
        </is>
      </c>
      <c r="O1024" s="44" t="inlineStr">
        <is>
          <t>Bright Capital, Bright Capital Partners, Foundation Capital, Fujitsu (Corporate Venture), GV, Innovation Network Corporation of Japan, Kleiner Perkins Caufield &amp; Byers, Kohlberg Kravis Roberts, Leader Ventures, Lux Capital, Nihon Inter Electronics, Soros Fund Management</t>
        </is>
      </c>
      <c r="P1024" s="45" t="inlineStr">
        <is>
          <t/>
        </is>
      </c>
      <c r="Q1024" s="46" t="inlineStr">
        <is>
          <t>Application Specific Semiconductors</t>
        </is>
      </c>
      <c r="R1024" s="47" t="inlineStr">
        <is>
          <t>Developer of gallium nitride power devices designed to offer electric power conversion and energy cost saving. The company's gallium nitride power devices used for high-voltage power conversion applications to simplify the design and manufacturing of motor drives, power supplies and inverters for solar panels and electric vehicles, enabling businesses to get cost‐competitive and easy‐to‐embed power conversion devices and reduces costly energy loss by more than 40%.</t>
        </is>
      </c>
      <c r="S1024" s="48" t="inlineStr">
        <is>
          <t>Goleta, CA</t>
        </is>
      </c>
      <c r="T1024" s="49" t="inlineStr">
        <is>
          <t>www.transphormusa.com</t>
        </is>
      </c>
      <c r="U1024" s="132">
        <f>HYPERLINK("https://my.pitchbook.com?c=51622-39", "View company online")</f>
      </c>
    </row>
    <row r="1025">
      <c r="A1025" s="9" t="inlineStr">
        <is>
          <t>52893-37</t>
        </is>
      </c>
      <c r="B1025" s="10" t="inlineStr">
        <is>
          <t>Transmodus</t>
        </is>
      </c>
      <c r="C1025" s="11" t="inlineStr">
        <is>
          <t/>
        </is>
      </c>
      <c r="D1025" s="12" t="n">
        <v>-0.06231257569887973</v>
      </c>
      <c r="E1025" s="13" t="n">
        <v>0.48377614903038635</v>
      </c>
      <c r="F1025" s="14" t="inlineStr">
        <is>
          <t/>
        </is>
      </c>
      <c r="G1025" s="15" t="inlineStr">
        <is>
          <t>Later Stage VC</t>
        </is>
      </c>
      <c r="H1025" s="16" t="inlineStr">
        <is>
          <t/>
        </is>
      </c>
      <c r="I1025" s="17" t="inlineStr">
        <is>
          <t/>
        </is>
      </c>
      <c r="J1025" s="18" t="inlineStr">
        <is>
          <t/>
        </is>
      </c>
      <c r="K1025" s="19" t="inlineStr">
        <is>
          <t>Completed</t>
        </is>
      </c>
      <c r="L1025" s="20" t="inlineStr">
        <is>
          <t>Privately Held (backing)</t>
        </is>
      </c>
      <c r="M1025" s="21" t="inlineStr">
        <is>
          <t>Venture Capital-Backed</t>
        </is>
      </c>
      <c r="N1025" s="22" t="inlineStr">
        <is>
          <t>The company raised venture funding from Tech Coast Angels on an undisclosed date.</t>
        </is>
      </c>
      <c r="O1025" s="23" t="inlineStr">
        <is>
          <t>Tech Coast Angels</t>
        </is>
      </c>
      <c r="P1025" s="24" t="inlineStr">
        <is>
          <t/>
        </is>
      </c>
      <c r="Q1025" s="25" t="inlineStr">
        <is>
          <t>Business/Productivity Software</t>
        </is>
      </c>
      <c r="R1025" s="26" t="inlineStr">
        <is>
          <t>Provider of check and eCheck payment provisions utilizing Service-oriented Architecture. The company's provisions provide improved workflow for deposits, funding, posting to account systems, returns handling, electronic recovery and automated secondary collections.</t>
        </is>
      </c>
      <c r="S1025" s="27" t="inlineStr">
        <is>
          <t>Oxnard, CA</t>
        </is>
      </c>
      <c r="T1025" s="28" t="inlineStr">
        <is>
          <t>www.transmodus.net</t>
        </is>
      </c>
      <c r="U1025" s="131">
        <f>HYPERLINK("https://my.pitchbook.com?c=52893-37", "View company online")</f>
      </c>
    </row>
    <row r="1026">
      <c r="A1026" s="30" t="inlineStr">
        <is>
          <t>58446-37</t>
        </is>
      </c>
      <c r="B1026" s="31" t="inlineStr">
        <is>
          <t>Translucent Medical</t>
        </is>
      </c>
      <c r="C1026" s="32" t="inlineStr">
        <is>
          <t/>
        </is>
      </c>
      <c r="D1026" s="33" t="inlineStr">
        <is>
          <t/>
        </is>
      </c>
      <c r="E1026" s="34" t="inlineStr">
        <is>
          <t/>
        </is>
      </c>
      <c r="F1026" s="35" t="inlineStr">
        <is>
          <t/>
        </is>
      </c>
      <c r="G1026" s="36" t="inlineStr">
        <is>
          <t/>
        </is>
      </c>
      <c r="H1026" s="37" t="inlineStr">
        <is>
          <t/>
        </is>
      </c>
      <c r="I1026" s="38" t="inlineStr">
        <is>
          <t/>
        </is>
      </c>
      <c r="J1026" s="39" t="inlineStr">
        <is>
          <t/>
        </is>
      </c>
      <c r="K1026" s="40" t="inlineStr">
        <is>
          <t/>
        </is>
      </c>
      <c r="L1026" s="41" t="inlineStr">
        <is>
          <t>Privately Held (backing)</t>
        </is>
      </c>
      <c r="M1026" s="42" t="inlineStr">
        <is>
          <t>Venture Capital-Backed</t>
        </is>
      </c>
      <c r="N1026" s="43" t="inlineStr">
        <is>
          <t>The company raised venture funding from undisclosed investors on June 22, 2012.</t>
        </is>
      </c>
      <c r="O1026" s="44" t="inlineStr">
        <is>
          <t/>
        </is>
      </c>
      <c r="P1026" s="45" t="inlineStr">
        <is>
          <t/>
        </is>
      </c>
      <c r="Q1026" s="46" t="inlineStr">
        <is>
          <t>Other Healthcare Technology Systems</t>
        </is>
      </c>
      <c r="R1026" s="47" t="inlineStr">
        <is>
          <t>Provider of a navigation system for reducing X-ray radiation. The company offers 3D anatomical images for patients to reduce time and complications.</t>
        </is>
      </c>
      <c r="S1026" s="48" t="inlineStr">
        <is>
          <t>Santa Cruz, CA</t>
        </is>
      </c>
      <c r="T1026" s="49" t="inlineStr">
        <is>
          <t>www.translucentmedical.com</t>
        </is>
      </c>
      <c r="U1026" s="132">
        <f>HYPERLINK("https://my.pitchbook.com?c=58446-37", "View company online")</f>
      </c>
    </row>
    <row r="1027">
      <c r="A1027" s="9" t="inlineStr">
        <is>
          <t>90366-58</t>
        </is>
      </c>
      <c r="B1027" s="10" t="inlineStr">
        <is>
          <t>Translation Exchange</t>
        </is>
      </c>
      <c r="C1027" s="11" t="inlineStr">
        <is>
          <t/>
        </is>
      </c>
      <c r="D1027" s="12" t="n">
        <v>3.822224892364734</v>
      </c>
      <c r="E1027" s="13" t="n">
        <v>0.5553323773294296</v>
      </c>
      <c r="F1027" s="14" t="n">
        <v>42430.0</v>
      </c>
      <c r="G1027" s="15" t="inlineStr">
        <is>
          <t>Early Stage VC</t>
        </is>
      </c>
      <c r="H1027" s="16" t="inlineStr">
        <is>
          <t/>
        </is>
      </c>
      <c r="I1027" s="17" t="inlineStr">
        <is>
          <t/>
        </is>
      </c>
      <c r="J1027" s="18" t="inlineStr">
        <is>
          <t/>
        </is>
      </c>
      <c r="K1027" s="19" t="inlineStr">
        <is>
          <t>Completed</t>
        </is>
      </c>
      <c r="L1027" s="20" t="inlineStr">
        <is>
          <t>Privately Held (backing)</t>
        </is>
      </c>
      <c r="M1027" s="21" t="inlineStr">
        <is>
          <t>Venture Capital-Backed</t>
        </is>
      </c>
      <c r="N1027" s="22" t="inlineStr">
        <is>
          <t>The company raised an undisclosed amount of venture funding from Canyon Creek Capital on March 1, 2016. Previously, the company raised an estimated $2 million of seed funding from Hillsven, Canyon Creek Capital and Amplify.LA on April 30, 2015, putting the pre-money valuation at $6.6 million. Kris Bjornerud also participated.</t>
        </is>
      </c>
      <c r="O1027" s="23" t="inlineStr">
        <is>
          <t>Amplify.LA, Canyon Creek Capital, HillsVen Capital, Kris Bjornerud</t>
        </is>
      </c>
      <c r="P1027" s="24" t="inlineStr">
        <is>
          <t/>
        </is>
      </c>
      <c r="Q1027" s="25" t="inlineStr">
        <is>
          <t>Social/Platform Software</t>
        </is>
      </c>
      <c r="R1027" s="26" t="inlineStr">
        <is>
          <t>Provider of a cloud-based platform for continuous localization of web and mobile applications. The company specializes in developing tools for the translation of web, desktop and mobile applications. It also allows application developers to manage the internationalization and localization process which includes source coding, translation of workflows and global analysis.</t>
        </is>
      </c>
      <c r="S1027" s="27" t="inlineStr">
        <is>
          <t>San Francisco, CA</t>
        </is>
      </c>
      <c r="T1027" s="28" t="inlineStr">
        <is>
          <t>www.translationexchange.com</t>
        </is>
      </c>
      <c r="U1027" s="131">
        <f>HYPERLINK("https://my.pitchbook.com?c=90366-58", "View company online")</f>
      </c>
    </row>
    <row r="1028">
      <c r="A1028" s="30" t="inlineStr">
        <is>
          <t>44158-96</t>
        </is>
      </c>
      <c r="B1028" s="31" t="inlineStr">
        <is>
          <t>Translarity</t>
        </is>
      </c>
      <c r="C1028" s="32" t="inlineStr">
        <is>
          <t/>
        </is>
      </c>
      <c r="D1028" s="33" t="n">
        <v>0.0</v>
      </c>
      <c r="E1028" s="34" t="n">
        <v>0.21621621621621623</v>
      </c>
      <c r="F1028" s="35" t="n">
        <v>41850.0</v>
      </c>
      <c r="G1028" s="36" t="inlineStr">
        <is>
          <t>Later Stage VC</t>
        </is>
      </c>
      <c r="H1028" s="37" t="inlineStr">
        <is>
          <t/>
        </is>
      </c>
      <c r="I1028" s="38" t="n">
        <v>5.29</v>
      </c>
      <c r="J1028" s="39" t="inlineStr">
        <is>
          <t/>
        </is>
      </c>
      <c r="K1028" s="40" t="inlineStr">
        <is>
          <t>Completed</t>
        </is>
      </c>
      <c r="L1028" s="41" t="inlineStr">
        <is>
          <t>Privately Held (backing)</t>
        </is>
      </c>
      <c r="M1028" s="42" t="inlineStr">
        <is>
          <t>Venture Capital-Backed</t>
        </is>
      </c>
      <c r="N1028" s="43" t="inlineStr">
        <is>
          <t>The company raised $5.3 million of venture funding from undisclosed investors on July 30, 2014. Previously, the company raised $300,000 of Series D venture funding from undisclosed investors on November 13, 2013.</t>
        </is>
      </c>
      <c r="O1028" s="44" t="inlineStr">
        <is>
          <t>Applied Ventures, Intel Capital, KT Venture Group, Northwest Technology Ventures, OVP Venture Partners, TL Ventures</t>
        </is>
      </c>
      <c r="P1028" s="45" t="inlineStr">
        <is>
          <t/>
        </is>
      </c>
      <c r="Q1028" s="46" t="inlineStr">
        <is>
          <t>Other Semiconductors</t>
        </is>
      </c>
      <c r="R1028" s="47" t="inlineStr">
        <is>
          <t>Manufacturer of semiconductor testing equipment designed to offer low cost, high performance full water semiconductor test. The company's semiconductor testing equipment uses lasers to create signal pathways and offers wafer contact tools for test and burn-in, enabling manufacturers to get wafer translation technology at a low cost.</t>
        </is>
      </c>
      <c r="S1028" s="48" t="inlineStr">
        <is>
          <t>Fremont, CA</t>
        </is>
      </c>
      <c r="T1028" s="49" t="inlineStr">
        <is>
          <t>www.translarity.com</t>
        </is>
      </c>
      <c r="U1028" s="132">
        <f>HYPERLINK("https://my.pitchbook.com?c=44158-96", "View company online")</f>
      </c>
    </row>
    <row r="1029">
      <c r="A1029" s="9" t="inlineStr">
        <is>
          <t>95609-35</t>
        </is>
      </c>
      <c r="B1029" s="10" t="inlineStr">
        <is>
          <t>TransitScreen</t>
        </is>
      </c>
      <c r="C1029" s="11" t="inlineStr">
        <is>
          <t/>
        </is>
      </c>
      <c r="D1029" s="12" t="n">
        <v>0.1350182726360269</v>
      </c>
      <c r="E1029" s="13" t="n">
        <v>3.438100454386379</v>
      </c>
      <c r="F1029" s="14" t="n">
        <v>42790.0</v>
      </c>
      <c r="G1029" s="15" t="inlineStr">
        <is>
          <t>Early Stage VC</t>
        </is>
      </c>
      <c r="H1029" s="16" t="inlineStr">
        <is>
          <t/>
        </is>
      </c>
      <c r="I1029" s="17" t="n">
        <v>0.7</v>
      </c>
      <c r="J1029" s="18" t="n">
        <v>12.0</v>
      </c>
      <c r="K1029" s="19" t="inlineStr">
        <is>
          <t>Completed</t>
        </is>
      </c>
      <c r="L1029" s="20" t="inlineStr">
        <is>
          <t>Privately Held (backing)</t>
        </is>
      </c>
      <c r="M1029" s="21" t="inlineStr">
        <is>
          <t>Venture Capital-Backed</t>
        </is>
      </c>
      <c r="N1029" s="22" t="inlineStr">
        <is>
          <t>The company raised $700,000 of venture funding from McCune Capital and other undisclosed investors on February 24, 2017, putting the pre-money valuation at $11.3 million.</t>
        </is>
      </c>
      <c r="O1029" s="23" t="inlineStr">
        <is>
          <t>1776, Alex Bresler, BallstonBID LaunchPad, Bruce Haldors, Energy Excelerator, McCune Capital, Middle Bridge Partners</t>
        </is>
      </c>
      <c r="P1029" s="24" t="inlineStr">
        <is>
          <t/>
        </is>
      </c>
      <c r="Q1029" s="25" t="inlineStr">
        <is>
          <t>Application Software</t>
        </is>
      </c>
      <c r="R1029" s="26" t="inlineStr">
        <is>
          <t>Provider of a real-time transportation display designed to offer live transit information at a glance. The company's real-time transportation display provides location customized information of all transit types, enabling users to make transit decisions by following marks to the nearest bikeshare rack or metro stop.</t>
        </is>
      </c>
      <c r="S1029" s="27" t="inlineStr">
        <is>
          <t>Washington, DC</t>
        </is>
      </c>
      <c r="T1029" s="28" t="inlineStr">
        <is>
          <t>www.transitscreen.com</t>
        </is>
      </c>
      <c r="U1029" s="131">
        <f>HYPERLINK("https://my.pitchbook.com?c=95609-35", "View company online")</f>
      </c>
    </row>
    <row r="1030">
      <c r="A1030" s="30" t="inlineStr">
        <is>
          <t>61382-89</t>
        </is>
      </c>
      <c r="B1030" s="31" t="inlineStr">
        <is>
          <t>Transifex</t>
        </is>
      </c>
      <c r="C1030" s="32" t="inlineStr">
        <is>
          <t/>
        </is>
      </c>
      <c r="D1030" s="33" t="n">
        <v>0.11081648735561292</v>
      </c>
      <c r="E1030" s="34" t="n">
        <v>365.9995118499908</v>
      </c>
      <c r="F1030" s="35" t="inlineStr">
        <is>
          <t/>
        </is>
      </c>
      <c r="G1030" s="36" t="inlineStr">
        <is>
          <t>Secondary Transaction - Private</t>
        </is>
      </c>
      <c r="H1030" s="37" t="inlineStr">
        <is>
          <t/>
        </is>
      </c>
      <c r="I1030" s="38" t="inlineStr">
        <is>
          <t/>
        </is>
      </c>
      <c r="J1030" s="39" t="inlineStr">
        <is>
          <t/>
        </is>
      </c>
      <c r="K1030" s="40" t="inlineStr">
        <is>
          <t>Completed</t>
        </is>
      </c>
      <c r="L1030" s="41" t="inlineStr">
        <is>
          <t>Privately Held (backing)</t>
        </is>
      </c>
      <c r="M1030" s="42" t="inlineStr">
        <is>
          <t>Venture Capital-Backed</t>
        </is>
      </c>
      <c r="N1030" s="43" t="inlineStr">
        <is>
          <t>New Enterprise Associates sold its stake in the company on an undisclosed date. Previously, it raised $6.7 million of venture funding from NEA, Toba Capital and Arafura Ventures on June 26, 2015.</t>
        </is>
      </c>
      <c r="O1030" s="44" t="inlineStr">
        <is>
          <t>Arafura Ventures, Georgios Papadopoulos, Ilya Sukhar, Individual Investor, Jonathan Siegel, Paul Kenny, Right Ventures, Thanos Triant, The Woodside Financial Group, Toba Capital</t>
        </is>
      </c>
      <c r="P1030" s="45" t="inlineStr">
        <is>
          <t/>
        </is>
      </c>
      <c r="Q1030" s="46" t="inlineStr">
        <is>
          <t>Application Software</t>
        </is>
      </c>
      <c r="R1030" s="47" t="inlineStr">
        <is>
          <t>Provider of a cloud-based, open-source translation software. The company offers a platform to create, publish and manage translations of frequently updated web applications, mobile applications, and website content in multiple languages.</t>
        </is>
      </c>
      <c r="S1030" s="48" t="inlineStr">
        <is>
          <t>Menlo Park, CA</t>
        </is>
      </c>
      <c r="T1030" s="49" t="inlineStr">
        <is>
          <t>www.transifex.com</t>
        </is>
      </c>
      <c r="U1030" s="132">
        <f>HYPERLINK("https://my.pitchbook.com?c=61382-89", "View company online")</f>
      </c>
    </row>
    <row r="1033">
      <c r="A1033" s="133"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34">
        <v>30</v>
      </c>
    </row>
    <row r="3">
      <c r="A3" t="s" s="135">
        <v>31</v>
      </c>
    </row>
    <row r="4">
      <c r="A4" t="s" s="143">
        <f>HYPERLINK("mailto:clientservices@pitchbook.com ", "clientservices@pitchbook.com ")</f>
      </c>
    </row>
    <row r="6">
      <c r="A6" t="s" s="137">
        <v>33</v>
      </c>
      <c r="B6" t="s" s="142">
        <f>HYPERLINK("http://www.pitchbook.com/agreement", "PitchBook User Agreement")</f>
      </c>
      <c r="C6" t="s" s="139">
        <v>35</v>
      </c>
    </row>
    <row r="8">
      <c r="A8" t="s" s="140">
        <v>36</v>
      </c>
      <c r="I8" t="s" s="144">
        <f>HYPERLINK("mailto:clientservices@pitchbook.com", "clientservices@pitchbook.com.")</f>
      </c>
    </row>
    <row r="10">
      <c r="A10" t="s" s="145">
        <v>38</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