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7.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120" windowWidth="28755" windowHeight="13095" activeTab="0"/>
  </bookViews>
  <sheets>
    <sheet name="Data" sheetId="6" r:id="rId1"/>
    <sheet name="Disclaimer" r:id="rId5" sheetId="7"/>
  </sheets>
  <calcPr calcId="125725"/>
</workbook>
</file>

<file path=xl/sharedStrings.xml><?xml version="1.0" encoding="utf-8"?>
<sst xmlns="http://schemas.openxmlformats.org/spreadsheetml/2006/main" count="36" uniqueCount="35">
  <si>
    <t>Search Criteria:</t>
  </si>
  <si>
    <t>Downloaded on:</t>
  </si>
  <si>
    <t xml:space="preserve"> </t>
  </si>
  <si>
    <t>Created for:</t>
  </si>
  <si>
    <t>My Layout: Company General Information</t>
  </si>
  <si>
    <t xml:space="preserve">Location: United States &gt; West Coast &gt; California; Backing Status: Accelerator/Incubator-backed, Angel-backed; Ownership Status: Privately held (backing); </t>
  </si>
  <si>
    <t>6/9/2017</t>
  </si>
  <si>
    <t>Dave Kochbeck, Silicon Valley Bank (Parent)</t>
  </si>
  <si>
    <t>Company ID</t>
  </si>
  <si>
    <t>Company Name</t>
  </si>
  <si>
    <t>HQ Post Code</t>
  </si>
  <si>
    <t>Description</t>
  </si>
  <si>
    <t>Primary Industry Code</t>
  </si>
  <si>
    <t>HQ Location</t>
  </si>
  <si>
    <t>Ownership Status</t>
  </si>
  <si>
    <t>Company Financing Status</t>
  </si>
  <si>
    <t>Active Investors</t>
  </si>
  <si>
    <t>Website</t>
  </si>
  <si>
    <t>HQ Email</t>
  </si>
  <si>
    <t>HQ Phone</t>
  </si>
  <si>
    <t>Primary Contact</t>
  </si>
  <si>
    <t>Primary Contact Title</t>
  </si>
  <si>
    <t>Primary Contact Email</t>
  </si>
  <si>
    <t>Primary Contact Phone</t>
  </si>
  <si>
    <t>Year Founded</t>
  </si>
  <si>
    <t>PitchBook Link</t>
  </si>
  <si>
    <t>All data copyright PitchBook Data, Inc.</t>
  </si>
  <si>
    <t>For customized data reports and analyses, contact us at:</t>
  </si>
  <si>
    <t xml:space="preserve">clientservices@pitchbook.com </t>
  </si>
  <si>
    <t xml:space="preserve">In accordance with the </t>
  </si>
  <si>
    <t>PitchBook User Agreement</t>
  </si>
  <si>
    <t>, this document and its contents are meant for data purposes only. This file must be deleted by all recipients after 30 days of download unless express written consent has been given by PitchBook Data, Inc.</t>
  </si>
  <si>
    <t>If you have any further questions or concerns, please contact client services at 1-877-267-5593 or by email at</t>
  </si>
  <si>
    <t>clientservices@pitchbook.com.</t>
  </si>
  <si>
    <t>© PitchBook Data, Inc. 2017</t>
  </si>
</sst>
</file>

<file path=xl/styles.xml><?xml version="1.0" encoding="utf-8"?>
<styleSheet xmlns="http://schemas.openxmlformats.org/spreadsheetml/2006/main">
  <numFmts count="1">
    <numFmt numFmtId="165" formatCode="0000"/>
  </numFmts>
  <fonts count="128">
    <font>
      <sz val="11"/>
      <color theme="1"/>
      <name val="Calibri"/>
      <family val="2"/>
      <scheme val="minor"/>
    </font>
    <font>
      <sz val="10"/>
      <name val="Arial"/>
      <family val="2"/>
      <charset val="204"/>
    </font>
    <font>
      <sz val="8"/>
      <color theme="1"/>
      <name val="Arial"/>
      <family val="2"/>
      <charset val="204"/>
    </font>
    <font>
      <sz val="8"/>
      <color indexed="8"/>
      <name val="Arial"/>
      <family val="2"/>
    </font>
    <font>
      <b/>
      <sz val="8"/>
      <color indexed="16"/>
      <name val="Arial"/>
      <family val="2"/>
    </font>
    <font>
      <sz val="8"/>
      <color indexed="8"/>
      <name val="Arial"/>
      <family val="2"/>
      <charset val="204"/>
    </font>
    <font>
      <b/>
      <sz val="16"/>
      <color indexed="8"/>
      <name val="Arial"/>
      <family val="2"/>
    </font>
    <font>
      <name val="Arial"/>
      <sz val="8.0"/>
      <color indexed="9"/>
      <b val="true"/>
    </font>
    <font>
      <name val="Arial"/>
      <sz val="8.0"/>
      <color indexed="9"/>
      <b val="true"/>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Arial"/>
      <sz val="8.0"/>
    </font>
    <font xmlns:main="http://schemas.openxmlformats.org/spreadsheetml/2006/main">
      <main:b/>
      <main:sz val="14"/>
      <main:color indexed="8"/>
      <main:name val="Arial"/>
      <main:family val="2"/>
    </font>
    <font xmlns:main="http://schemas.openxmlformats.org/spreadsheetml/2006/main">
      <main:i/>
      <main:sz val="10"/>
      <main:color indexed="8"/>
      <main:name val="Arial"/>
      <main:family val="2"/>
      <main:charset val="204"/>
    </font>
    <font xmlns:main="http://schemas.openxmlformats.org/spreadsheetml/2006/main">
      <main:i/>
      <main:u/>
      <main:sz val="10"/>
      <main:color indexed="12"/>
      <main:name val="Arial"/>
      <main:family val="2"/>
      <main:charset val="204"/>
    </font>
    <font xmlns:main="http://schemas.openxmlformats.org/spreadsheetml/2006/main">
      <main:i/>
      <main:sz val="10"/>
      <main:name val="Arial"/>
      <main:family val="2"/>
      <main:charset val="204"/>
    </font>
    <font xmlns:main="http://schemas.openxmlformats.org/spreadsheetml/2006/main">
      <main:i/>
      <main:sz val="10"/>
      <main:color theme="3" tint="0.39997558519241921"/>
      <main:name val="Arial"/>
      <main:family val="2"/>
      <main:charset val="204"/>
    </font>
    <font xmlns:main="http://schemas.openxmlformats.org/spreadsheetml/2006/main">
      <main:i/>
      <main:sz val="10"/>
      <main:name val="Arial"/>
      <main:family val="2"/>
      <main:charset val="204"/>
    </font>
    <font xmlns:main="http://schemas.openxmlformats.org/spreadsheetml/2006/main">
      <main:i/>
      <main:sz val="10"/>
      <main:name val="Arial"/>
      <main:family val="2"/>
      <main:charset val="204"/>
    </font>
    <font xmlns:main="http://schemas.openxmlformats.org/spreadsheetml/2006/main">
      <main:i/>
      <main:sz val="10"/>
      <main:color theme="3" tint="0.39997558519241921"/>
      <main:name val="Arial"/>
      <main:family val="2"/>
      <main:charset val="204"/>
    </font>
    <font xmlns:main="http://schemas.openxmlformats.org/spreadsheetml/2006/main">
      <main:i/>
      <main:sz val="10"/>
      <main:color theme="3" tint="0.39997558519241921"/>
      <main:name val="Arial"/>
      <main:family val="2"/>
      <main:charset val="204"/>
    </font>
    <font xmlns:main="http://schemas.openxmlformats.org/spreadsheetml/2006/main">
      <main:i/>
      <main:u/>
      <main:sz val="10"/>
      <main:color indexed="12"/>
      <main:name val="Arial"/>
      <main:family val="2"/>
      <main:charset val="204"/>
    </font>
    <font xmlns:main="http://schemas.openxmlformats.org/spreadsheetml/2006/main">
      <main:i/>
      <main:sz val="10"/>
      <main:color theme="3" tint="0.39997558519241921"/>
      <main:name val="Arial"/>
      <main:family val="2"/>
      <main:charset val="204"/>
    </font>
    <font>
      <name val="Arial"/>
      <sz val="8.0"/>
    </font>
  </fonts>
  <fills count="10">
    <fill>
      <patternFill patternType="none"/>
    </fill>
    <fill>
      <patternFill patternType="gray125"/>
    </fill>
    <fill>
      <patternFill patternType="solid">
        <fgColor indexed="9"/>
        <bgColor indexed="64"/>
      </patternFill>
    </fill>
    <fill>
      <patternFill>
        <fgColor rgb="4F81BD"/>
      </patternFill>
    </fill>
    <fill>
      <patternFill patternType="solid">
        <fgColor rgb="4F81BD"/>
      </patternFill>
    </fill>
    <fill>
      <patternFill>
        <fgColor rgb="EEF3F8"/>
      </patternFill>
    </fill>
    <fill>
      <patternFill patternType="solid">
        <fgColor rgb="EEF3F8"/>
      </patternFill>
    </fill>
    <fill>
      <patternFill>
        <fgColor rgb="FFFFFF"/>
      </patternFill>
    </fill>
    <fill>
      <patternFill patternType="solid">
        <fgColor rgb="FFFFFF"/>
      </patternFill>
    </fill>
    <fill>
      <patternFill patternType="solid">
        <fgColor rgb="FFFFFF"/>
        <bgColor indexed="64"/>
      </patternFill>
    </fill>
  </fills>
  <borders count="7">
    <border>
      <left/>
      <right/>
      <top/>
      <bottom/>
      <diagonal/>
    </border>
    <border>
      <top style="thin"/>
    </border>
    <border>
      <top style="thin">
        <color indexed="8"/>
      </top>
    </border>
    <border>
      <right style="thin"/>
      <top style="thin">
        <color indexed="8"/>
      </top>
    </border>
    <border>
      <right style="thin">
        <color indexed="8"/>
      </right>
      <top style="thin">
        <color indexed="8"/>
      </top>
    </border>
    <border>
      <right style="dotted"/>
    </border>
    <border>
      <right style="dotted">
        <color rgb="969696"/>
      </right>
    </border>
  </borders>
  <cellStyleXfs count="2">
    <xf numFmtId="0" fontId="0" fillId="0" borderId="0"/>
    <xf numFmtId="0" fontId="1" fillId="0" borderId="0"/>
  </cellStyleXfs>
  <cellXfs count="128">
    <xf numFmtId="0" fontId="0" fillId="0" borderId="0" xfId="0"/>
    <xf numFmtId="0" fontId="3" fillId="2" borderId="0" xfId="0" applyFont="1" applyFill="1" applyAlignment="1">
      <alignment horizontal="right"/>
    </xf>
    <xf numFmtId="0" fontId="2" fillId="0" borderId="0" xfId="0" applyFont="1" applyAlignment="1">
      <alignment horizontal="center" vertical="top"/>
    </xf>
    <xf numFmtId="14" fontId="5" fillId="0" borderId="0" xfId="0" applyNumberFormat="1" applyFont="1" applyFill="1" applyAlignment="1">
      <alignment horizontal="left"/>
    </xf>
    <xf numFmtId="0" fontId="5" fillId="0" borderId="0" xfId="0" applyFont="1" applyFill="1"/>
    <xf numFmtId="0" fontId="6" fillId="0" borderId="0" xfId="0" applyFont="1" applyFill="1" applyAlignment="1">
      <alignment horizontal="left"/>
    </xf>
    <xf numFmtId="0" fontId="4" fillId="2" borderId="0" xfId="0" applyFont="1" applyFill="1" applyAlignment="1">
      <alignment horizontal="left" vertical="top" wrapText="true"/>
    </xf>
    <xf numFmtId="0" fontId="7" fillId="4" borderId="2" xfId="0" applyFill="true" applyFont="true" applyBorder="true">
      <alignment horizontal="center" vertical="center" wrapText="true"/>
    </xf>
    <xf numFmtId="0" fontId="8" fillId="4" borderId="4" xfId="0" applyFill="true" applyFont="true" applyBorder="true">
      <alignment horizontal="center" vertical="center" wrapText="true"/>
    </xf>
    <xf numFmtId="0" fontId="9" fillId="6" borderId="6" xfId="0" applyFill="true" applyFont="true" applyBorder="true">
      <alignment horizontal="general" vertical="top" indent="1" wrapText="false"/>
    </xf>
    <xf numFmtId="0" fontId="10" fillId="6" borderId="6" xfId="0" applyFill="true" applyFont="true" applyBorder="true">
      <alignment horizontal="left" vertical="top" indent="1" wrapText="false"/>
    </xf>
    <xf numFmtId="0" fontId="11" fillId="6" borderId="6" xfId="0" applyFill="true" applyFont="true" applyBorder="true">
      <alignment horizontal="right" vertical="top" indent="1" wrapText="false"/>
    </xf>
    <xf numFmtId="0" fontId="12" fillId="6" borderId="6" xfId="0" applyFill="true" applyFont="true" applyBorder="true">
      <alignment horizontal="left" vertical="top" indent="1" wrapText="false"/>
    </xf>
    <xf numFmtId="0" fontId="13" fillId="6" borderId="6" xfId="0" applyFill="true" applyFont="true" applyBorder="true">
      <alignment horizontal="left" vertical="top" indent="1" wrapText="false"/>
    </xf>
    <xf numFmtId="0" fontId="14" fillId="6" borderId="6" xfId="0" applyFill="true" applyFont="true" applyBorder="true">
      <alignment horizontal="left" vertical="top" indent="1" wrapText="false"/>
    </xf>
    <xf numFmtId="0" fontId="15" fillId="6" borderId="6" xfId="0" applyFill="true" applyFont="true" applyBorder="true">
      <alignment horizontal="left" vertical="top" indent="1" wrapText="false"/>
    </xf>
    <xf numFmtId="0" fontId="16" fillId="6" borderId="6" xfId="0" applyFill="true" applyFont="true" applyBorder="true">
      <alignment horizontal="left" vertical="top" indent="1" wrapText="false"/>
    </xf>
    <xf numFmtId="0" fontId="17" fillId="6" borderId="6" xfId="0" applyFill="true" applyFont="true" applyBorder="true">
      <alignment horizontal="left" vertical="top" indent="1" wrapText="false"/>
    </xf>
    <xf numFmtId="0" fontId="18" fillId="6" borderId="6" xfId="0" applyFill="true" applyFont="true" applyBorder="true">
      <alignment horizontal="left" vertical="top" indent="1" wrapText="false"/>
    </xf>
    <xf numFmtId="0" fontId="19" fillId="6" borderId="6" xfId="0" applyFill="true" applyFont="true" applyBorder="true">
      <alignment horizontal="left" vertical="top" indent="1" wrapText="false"/>
    </xf>
    <xf numFmtId="0" fontId="20" fillId="6" borderId="6" xfId="0" applyFill="true" applyFont="true" applyBorder="true">
      <alignment horizontal="right" vertical="top" indent="1" wrapText="false"/>
    </xf>
    <xf numFmtId="0" fontId="21" fillId="6" borderId="6" xfId="0" applyFill="true" applyFont="true" applyBorder="true">
      <alignment horizontal="left" vertical="top" indent="1" wrapText="false"/>
    </xf>
    <xf numFmtId="0" fontId="22" fillId="6" borderId="6" xfId="0" applyFill="true" applyFont="true" applyBorder="true">
      <alignment horizontal="left" vertical="top" indent="1" wrapText="false"/>
    </xf>
    <xf numFmtId="0" fontId="23" fillId="6" borderId="6" xfId="0" applyFill="true" applyFont="true" applyBorder="true">
      <alignment horizontal="left" vertical="top" indent="1" wrapText="false"/>
    </xf>
    <xf numFmtId="0" fontId="24" fillId="6" borderId="6" xfId="0" applyFill="true" applyFont="true" applyBorder="true">
      <alignment horizontal="left" vertical="top" indent="1" wrapText="false"/>
    </xf>
    <xf numFmtId="165" fontId="25" fillId="6" borderId="6" xfId="0" applyFill="true" applyFont="true" applyBorder="true" applyNumberFormat="true">
      <alignment horizontal="right" vertical="top" indent="1" wrapText="false"/>
    </xf>
    <xf numFmtId="0" fontId="26" fillId="6" borderId="6" xfId="0" applyFill="true" applyFont="true" applyBorder="true">
      <alignment horizontal="general" vertical="top" indent="1" wrapText="false"/>
    </xf>
    <xf numFmtId="0" fontId="27" fillId="8" borderId="6" xfId="0" applyFill="true" applyFont="true" applyBorder="true">
      <alignment horizontal="general" vertical="top" indent="1" wrapText="false"/>
    </xf>
    <xf numFmtId="0" fontId="28" fillId="8" borderId="6" xfId="0" applyFill="true" applyFont="true" applyBorder="true">
      <alignment horizontal="left" vertical="top" indent="1" wrapText="false"/>
    </xf>
    <xf numFmtId="0" fontId="29" fillId="8" borderId="6" xfId="0" applyFill="true" applyFont="true" applyBorder="true">
      <alignment horizontal="right" vertical="top" indent="1" wrapText="false"/>
    </xf>
    <xf numFmtId="0" fontId="30" fillId="8" borderId="6" xfId="0" applyFill="true" applyFont="true" applyBorder="true">
      <alignment horizontal="left" vertical="top" indent="1" wrapText="false"/>
    </xf>
    <xf numFmtId="0" fontId="31" fillId="8" borderId="6" xfId="0" applyFill="true" applyFont="true" applyBorder="true">
      <alignment horizontal="left" vertical="top" indent="1" wrapText="false"/>
    </xf>
    <xf numFmtId="0" fontId="32" fillId="8" borderId="6" xfId="0" applyFill="true" applyFont="true" applyBorder="true">
      <alignment horizontal="left" vertical="top" indent="1" wrapText="false"/>
    </xf>
    <xf numFmtId="0" fontId="33" fillId="8" borderId="6" xfId="0" applyFill="true" applyFont="true" applyBorder="true">
      <alignment horizontal="left" vertical="top" indent="1" wrapText="false"/>
    </xf>
    <xf numFmtId="0" fontId="34" fillId="8" borderId="6" xfId="0" applyFill="true" applyFont="true" applyBorder="true">
      <alignment horizontal="left" vertical="top" indent="1" wrapText="false"/>
    </xf>
    <xf numFmtId="0" fontId="35" fillId="8" borderId="6" xfId="0" applyFill="true" applyFont="true" applyBorder="true">
      <alignment horizontal="left" vertical="top" indent="1" wrapText="false"/>
    </xf>
    <xf numFmtId="0" fontId="36" fillId="8" borderId="6" xfId="0" applyFill="true" applyFont="true" applyBorder="true">
      <alignment horizontal="left" vertical="top" indent="1" wrapText="false"/>
    </xf>
    <xf numFmtId="0" fontId="37" fillId="8" borderId="6" xfId="0" applyFill="true" applyFont="true" applyBorder="true">
      <alignment horizontal="left" vertical="top" indent="1" wrapText="false"/>
    </xf>
    <xf numFmtId="0" fontId="38" fillId="8" borderId="6" xfId="0" applyFill="true" applyFont="true" applyBorder="true">
      <alignment horizontal="right" vertical="top" indent="1" wrapText="false"/>
    </xf>
    <xf numFmtId="0" fontId="39" fillId="8" borderId="6" xfId="0" applyFill="true" applyFont="true" applyBorder="true">
      <alignment horizontal="left" vertical="top" indent="1" wrapText="false"/>
    </xf>
    <xf numFmtId="0" fontId="40" fillId="8" borderId="6" xfId="0" applyFill="true" applyFont="true" applyBorder="true">
      <alignment horizontal="left" vertical="top" indent="1" wrapText="false"/>
    </xf>
    <xf numFmtId="0" fontId="41" fillId="8" borderId="6" xfId="0" applyFill="true" applyFont="true" applyBorder="true">
      <alignment horizontal="left" vertical="top" indent="1" wrapText="false"/>
    </xf>
    <xf numFmtId="0" fontId="42" fillId="8" borderId="6" xfId="0" applyFill="true" applyFont="true" applyBorder="true">
      <alignment horizontal="left" vertical="top" indent="1" wrapText="false"/>
    </xf>
    <xf numFmtId="165" fontId="43" fillId="8" borderId="6" xfId="0" applyFill="true" applyFont="true" applyBorder="true" applyNumberFormat="true">
      <alignment horizontal="right" vertical="top" indent="1" wrapText="false"/>
    </xf>
    <xf numFmtId="0" fontId="44" fillId="8" borderId="6" xfId="0" applyFill="true" applyFont="true" applyBorder="true">
      <alignment horizontal="general" vertical="top" indent="1" wrapText="false"/>
    </xf>
    <xf numFmtId="0" fontId="45" fillId="6" borderId="6" xfId="0" applyFill="true" applyFont="true" applyBorder="true">
      <alignment horizontal="general" vertical="top" indent="1" wrapText="false"/>
    </xf>
    <xf numFmtId="0" fontId="46" fillId="6" borderId="6" xfId="0" applyFill="true" applyFont="true" applyBorder="true">
      <alignment horizontal="left" vertical="top" indent="1" wrapText="false"/>
    </xf>
    <xf numFmtId="0" fontId="47" fillId="6" borderId="6" xfId="0" applyFill="true" applyFont="true" applyBorder="true">
      <alignment horizontal="right" vertical="top" indent="1" wrapText="false"/>
    </xf>
    <xf numFmtId="0" fontId="48" fillId="6" borderId="6" xfId="0" applyFill="true" applyFont="true" applyBorder="true">
      <alignment horizontal="left" vertical="top" indent="1" wrapText="false"/>
    </xf>
    <xf numFmtId="0" fontId="49" fillId="6" borderId="6" xfId="0" applyFill="true" applyFont="true" applyBorder="true">
      <alignment horizontal="left" vertical="top" indent="1" wrapText="false"/>
    </xf>
    <xf numFmtId="0" fontId="50" fillId="6" borderId="6" xfId="0" applyFill="true" applyFont="true" applyBorder="true">
      <alignment horizontal="left" vertical="top" indent="1" wrapText="false"/>
    </xf>
    <xf numFmtId="0" fontId="51" fillId="6" borderId="6" xfId="0" applyFill="true" applyFont="true" applyBorder="true">
      <alignment horizontal="left" vertical="top" indent="1" wrapText="false"/>
    </xf>
    <xf numFmtId="0" fontId="52" fillId="6" borderId="6" xfId="0" applyFill="true" applyFont="true" applyBorder="true">
      <alignment horizontal="left" vertical="top" indent="1" wrapText="false"/>
    </xf>
    <xf numFmtId="0" fontId="53" fillId="6" borderId="6" xfId="0" applyFill="true" applyFont="true" applyBorder="true">
      <alignment horizontal="left" vertical="top" indent="1" wrapText="false"/>
    </xf>
    <xf numFmtId="0" fontId="54" fillId="6" borderId="6" xfId="0" applyFill="true" applyFont="true" applyBorder="true">
      <alignment horizontal="left" vertical="top" indent="1" wrapText="false"/>
    </xf>
    <xf numFmtId="0" fontId="55" fillId="6" borderId="6" xfId="0" applyFill="true" applyFont="true" applyBorder="true">
      <alignment horizontal="left" vertical="top" indent="1" wrapText="false"/>
    </xf>
    <xf numFmtId="0" fontId="56" fillId="6" borderId="6" xfId="0" applyFill="true" applyFont="true" applyBorder="true">
      <alignment horizontal="right" vertical="top" indent="1" wrapText="false"/>
    </xf>
    <xf numFmtId="0" fontId="57" fillId="6" borderId="6" xfId="0" applyFill="true" applyFont="true" applyBorder="true">
      <alignment horizontal="left" vertical="top" indent="1" wrapText="false"/>
    </xf>
    <xf numFmtId="0" fontId="58" fillId="6" borderId="6" xfId="0" applyFill="true" applyFont="true" applyBorder="true">
      <alignment horizontal="left" vertical="top" indent="1" wrapText="false"/>
    </xf>
    <xf numFmtId="0" fontId="59" fillId="6" borderId="6" xfId="0" applyFill="true" applyFont="true" applyBorder="true">
      <alignment horizontal="left" vertical="top" indent="1" wrapText="false"/>
    </xf>
    <xf numFmtId="0" fontId="60" fillId="6" borderId="6" xfId="0" applyFill="true" applyFont="true" applyBorder="true">
      <alignment horizontal="left" vertical="top" indent="1" wrapText="false"/>
    </xf>
    <xf numFmtId="165" fontId="61" fillId="6" borderId="6" xfId="0" applyFill="true" applyFont="true" applyBorder="true" applyNumberFormat="true">
      <alignment horizontal="right" vertical="top" indent="1" wrapText="false"/>
    </xf>
    <xf numFmtId="0" fontId="62" fillId="6" borderId="6" xfId="0" applyFill="true" applyFont="true" applyBorder="true">
      <alignment horizontal="general" vertical="top" indent="1" wrapText="false"/>
    </xf>
    <xf numFmtId="0" fontId="63" fillId="8" borderId="6" xfId="0" applyFill="true" applyFont="true" applyBorder="true">
      <alignment horizontal="general" vertical="top" indent="1" wrapText="false"/>
    </xf>
    <xf numFmtId="0" fontId="64" fillId="8" borderId="6" xfId="0" applyFill="true" applyFont="true" applyBorder="true">
      <alignment horizontal="left" vertical="top" indent="1" wrapText="false"/>
    </xf>
    <xf numFmtId="0" fontId="65" fillId="8" borderId="6" xfId="0" applyFill="true" applyFont="true" applyBorder="true">
      <alignment horizontal="right" vertical="top" indent="1" wrapText="false"/>
    </xf>
    <xf numFmtId="0" fontId="66" fillId="8" borderId="6" xfId="0" applyFill="true" applyFont="true" applyBorder="true">
      <alignment horizontal="left" vertical="top" indent="1" wrapText="false"/>
    </xf>
    <xf numFmtId="0" fontId="67" fillId="8" borderId="6" xfId="0" applyFill="true" applyFont="true" applyBorder="true">
      <alignment horizontal="left" vertical="top" indent="1" wrapText="false"/>
    </xf>
    <xf numFmtId="0" fontId="68" fillId="8" borderId="6" xfId="0" applyFill="true" applyFont="true" applyBorder="true">
      <alignment horizontal="left" vertical="top" indent="1" wrapText="false"/>
    </xf>
    <xf numFmtId="0" fontId="69" fillId="8" borderId="6" xfId="0" applyFill="true" applyFont="true" applyBorder="true">
      <alignment horizontal="left" vertical="top" indent="1" wrapText="false"/>
    </xf>
    <xf numFmtId="0" fontId="70" fillId="8" borderId="6" xfId="0" applyFill="true" applyFont="true" applyBorder="true">
      <alignment horizontal="left" vertical="top" indent="1" wrapText="false"/>
    </xf>
    <xf numFmtId="0" fontId="71" fillId="8" borderId="6" xfId="0" applyFill="true" applyFont="true" applyBorder="true">
      <alignment horizontal="left" vertical="top" indent="1" wrapText="false"/>
    </xf>
    <xf numFmtId="0" fontId="72" fillId="8" borderId="6" xfId="0" applyFill="true" applyFont="true" applyBorder="true">
      <alignment horizontal="left" vertical="top" indent="1" wrapText="false"/>
    </xf>
    <xf numFmtId="0" fontId="73" fillId="8" borderId="6" xfId="0" applyFill="true" applyFont="true" applyBorder="true">
      <alignment horizontal="left" vertical="top" indent="1" wrapText="false"/>
    </xf>
    <xf numFmtId="0" fontId="74" fillId="8" borderId="6" xfId="0" applyFill="true" applyFont="true" applyBorder="true">
      <alignment horizontal="right" vertical="top" indent="1" wrapText="false"/>
    </xf>
    <xf numFmtId="0" fontId="75" fillId="8" borderId="6" xfId="0" applyFill="true" applyFont="true" applyBorder="true">
      <alignment horizontal="left" vertical="top" indent="1" wrapText="false"/>
    </xf>
    <xf numFmtId="0" fontId="76" fillId="8" borderId="6" xfId="0" applyFill="true" applyFont="true" applyBorder="true">
      <alignment horizontal="left" vertical="top" indent="1" wrapText="false"/>
    </xf>
    <xf numFmtId="0" fontId="77" fillId="8" borderId="6" xfId="0" applyFill="true" applyFont="true" applyBorder="true">
      <alignment horizontal="left" vertical="top" indent="1" wrapText="false"/>
    </xf>
    <xf numFmtId="0" fontId="78" fillId="8" borderId="6" xfId="0" applyFill="true" applyFont="true" applyBorder="true">
      <alignment horizontal="left" vertical="top" indent="1" wrapText="false"/>
    </xf>
    <xf numFmtId="165" fontId="79" fillId="8" borderId="6" xfId="0" applyFill="true" applyFont="true" applyBorder="true" applyNumberFormat="true">
      <alignment horizontal="right" vertical="top" indent="1" wrapText="false"/>
    </xf>
    <xf numFmtId="0" fontId="80" fillId="8" borderId="6" xfId="0" applyFill="true" applyFont="true" applyBorder="true">
      <alignment horizontal="general" vertical="top" indent="1" wrapText="false"/>
    </xf>
    <xf numFmtId="0" fontId="81" fillId="6" borderId="6" xfId="0" applyFill="true" applyFont="true" applyBorder="true">
      <alignment horizontal="left" vertical="top" indent="1" wrapText="false"/>
    </xf>
    <xf numFmtId="0" fontId="82" fillId="8" borderId="6" xfId="0" applyFill="true" applyFont="true" applyBorder="true">
      <alignment horizontal="left" vertical="top" indent="1" wrapText="false"/>
    </xf>
    <xf numFmtId="0" fontId="83" fillId="6" borderId="6" xfId="0" applyFill="true" applyFont="true" applyBorder="true">
      <alignment horizontal="left" vertical="top" indent="1" wrapText="false"/>
    </xf>
    <xf numFmtId="0" fontId="84" fillId="8" borderId="6" xfId="0" applyFill="true" applyFont="true" applyBorder="true">
      <alignment horizontal="left" vertical="top" indent="1" wrapText="false"/>
    </xf>
    <xf numFmtId="0" fontId="85" fillId="6" borderId="6" xfId="0" applyFill="true" applyFont="true" applyBorder="true">
      <alignment horizontal="left" vertical="top" indent="1" wrapText="false"/>
    </xf>
    <xf numFmtId="0" fontId="86" fillId="8" borderId="6" xfId="0" applyFill="true" applyFont="true" applyBorder="true">
      <alignment horizontal="left" vertical="top" indent="1" wrapText="false"/>
    </xf>
    <xf numFmtId="0" fontId="87" fillId="6" borderId="6" xfId="0" applyFill="true" applyFont="true" applyBorder="true">
      <alignment horizontal="left" vertical="top" indent="1" wrapText="false"/>
    </xf>
    <xf numFmtId="0" fontId="88" fillId="8" borderId="6" xfId="0" applyFill="true" applyFont="true" applyBorder="true">
      <alignment horizontal="left" vertical="top" indent="1" wrapText="false"/>
    </xf>
    <xf numFmtId="0" fontId="89" fillId="6" borderId="6" xfId="0" applyFill="true" applyFont="true" applyBorder="true">
      <alignment horizontal="left" vertical="top" indent="1" wrapText="false"/>
    </xf>
    <xf numFmtId="0" fontId="90" fillId="8" borderId="6" xfId="0" applyFill="true" applyFont="true" applyBorder="true">
      <alignment horizontal="left" vertical="top" indent="1" wrapText="false"/>
    </xf>
    <xf numFmtId="0" fontId="91" fillId="6" borderId="6" xfId="0" applyFill="true" applyFont="true" applyBorder="true">
      <alignment horizontal="left" vertical="top" indent="1" wrapText="false"/>
    </xf>
    <xf numFmtId="0" fontId="92" fillId="8" borderId="6" xfId="0" applyFill="true" applyFont="true" applyBorder="true">
      <alignment horizontal="left" vertical="top" indent="1" wrapText="false"/>
    </xf>
    <xf numFmtId="0" fontId="93" fillId="6" borderId="6" xfId="0" applyFill="true" applyFont="true" applyBorder="true">
      <alignment horizontal="left" vertical="top" indent="1" wrapText="false"/>
    </xf>
    <xf numFmtId="0" fontId="94" fillId="8" borderId="6" xfId="0" applyFill="true" applyFont="true" applyBorder="true">
      <alignment horizontal="left" vertical="top" indent="1" wrapText="false"/>
    </xf>
    <xf numFmtId="0" fontId="95" fillId="6" borderId="6" xfId="0" applyFill="true" applyFont="true" applyBorder="true">
      <alignment horizontal="left" vertical="top" indent="1" wrapText="false"/>
    </xf>
    <xf numFmtId="0" fontId="96" fillId="8" borderId="6" xfId="0" applyFill="true" applyFont="true" applyBorder="true">
      <alignment horizontal="left" vertical="top" indent="1" wrapText="false"/>
    </xf>
    <xf numFmtId="0" fontId="97" fillId="6" borderId="6" xfId="0" applyFill="true" applyFont="true" applyBorder="true">
      <alignment horizontal="left" vertical="top" indent="1" wrapText="false"/>
    </xf>
    <xf numFmtId="0" fontId="98" fillId="8" borderId="6" xfId="0" applyFill="true" applyFont="true" applyBorder="true">
      <alignment horizontal="left" vertical="top" indent="1" wrapText="false"/>
    </xf>
    <xf numFmtId="0" fontId="99" fillId="6" borderId="6" xfId="0" applyFill="true" applyFont="true" applyBorder="true">
      <alignment horizontal="left" vertical="top" indent="1" wrapText="false"/>
    </xf>
    <xf numFmtId="0" fontId="100" fillId="8" borderId="6" xfId="0" applyFill="true" applyFont="true" applyBorder="true">
      <alignment horizontal="left" vertical="top" indent="1" wrapText="false"/>
    </xf>
    <xf numFmtId="0" fontId="101" fillId="6" borderId="6" xfId="0" applyFill="true" applyFont="true" applyBorder="true">
      <alignment horizontal="left" vertical="top" indent="1" wrapText="false"/>
    </xf>
    <xf numFmtId="0" fontId="102" fillId="8" borderId="6" xfId="0" applyFill="true" applyFont="true" applyBorder="true">
      <alignment horizontal="left" vertical="top" indent="1" wrapText="false"/>
    </xf>
    <xf numFmtId="0" fontId="103" fillId="6" borderId="6" xfId="0" applyFill="true" applyFont="true" applyBorder="true">
      <alignment horizontal="left" vertical="top" indent="1" wrapText="false"/>
    </xf>
    <xf numFmtId="0" fontId="104" fillId="8" borderId="6" xfId="0" applyFill="true" applyFont="true" applyBorder="true">
      <alignment horizontal="left" vertical="top" indent="1" wrapText="false"/>
    </xf>
    <xf numFmtId="0" fontId="105" fillId="6" borderId="6" xfId="0" applyFill="true" applyFont="true" applyBorder="true">
      <alignment horizontal="left" vertical="top" indent="1" wrapText="false"/>
    </xf>
    <xf numFmtId="0" fontId="106" fillId="8" borderId="6" xfId="0" applyFill="true" applyFont="true" applyBorder="true">
      <alignment horizontal="left" vertical="top" indent="1" wrapText="false"/>
    </xf>
    <xf numFmtId="0" fontId="107" fillId="6" borderId="6" xfId="0" applyFill="true" applyFont="true" applyBorder="true">
      <alignment horizontal="left" vertical="top" indent="1" wrapText="false"/>
    </xf>
    <xf numFmtId="0" fontId="108" fillId="8" borderId="6" xfId="0" applyFill="true" applyFont="true" applyBorder="true">
      <alignment horizontal="left" vertical="top" indent="1" wrapText="false"/>
    </xf>
    <xf numFmtId="0" fontId="109" fillId="6" borderId="6" xfId="0" applyFill="true" applyFont="true" applyBorder="true">
      <alignment horizontal="left" vertical="top" indent="1" wrapText="false"/>
    </xf>
    <xf numFmtId="0" fontId="110" fillId="8" borderId="6" xfId="0" applyFill="true" applyFont="true" applyBorder="true">
      <alignment horizontal="left" vertical="top" indent="1" wrapText="false"/>
    </xf>
    <xf numFmtId="0" fontId="111" fillId="6" borderId="6" xfId="0" applyFill="true" applyFont="true" applyBorder="true">
      <alignment horizontal="left" vertical="top" indent="1" wrapText="false"/>
    </xf>
    <xf numFmtId="0" fontId="112" fillId="8" borderId="6" xfId="0" applyFill="true" applyFont="true" applyBorder="true">
      <alignment horizontal="left" vertical="top" indent="1" wrapText="false"/>
    </xf>
    <xf numFmtId="165" fontId="113" fillId="6" borderId="6" xfId="0" applyFill="true" applyFont="true" applyBorder="true" applyNumberFormat="true">
      <alignment horizontal="left" vertical="top" indent="1" wrapText="false"/>
    </xf>
    <xf numFmtId="165" fontId="114" fillId="8" borderId="6" xfId="0" applyFill="true" applyFont="true" applyBorder="true" applyNumberFormat="true">
      <alignment horizontal="left" vertical="top" indent="1" wrapText="false"/>
    </xf>
    <xf numFmtId="0" fontId="115" fillId="0" borderId="0" xfId="0" applyFont="true">
      <alignment horizontal="general" vertical="bottom"/>
    </xf>
    <xf numFmtId="0" fontId="116" fillId="9" borderId="0" xfId="0" applyFont="true" applyFill="true" applyNumberFormat="true"/>
    <xf numFmtId="0" fontId="117" fillId="9" borderId="0" xfId="0" applyFont="true" applyFill="true" applyNumberFormat="true"/>
    <xf numFmtId="0" fontId="118" fillId="9" borderId="0" xfId="1" applyFont="true" applyFill="true" applyAlignment="1" applyProtection="1" applyNumberFormat="true"/>
    <xf numFmtId="0" fontId="119" fillId="9" borderId="0" xfId="0" applyFont="true" applyFill="true" applyNumberFormat="true"/>
    <xf numFmtId="0" fontId="120" fillId="9" borderId="0" xfId="2" applyFont="true" applyFill="true" applyAlignment="1" applyProtection="1" applyNumberFormat="true"/>
    <xf numFmtId="0" fontId="121" fillId="9" borderId="0" xfId="0" applyFont="true" applyFill="true" applyNumberFormat="true"/>
    <xf numFmtId="0" fontId="122" fillId="9" borderId="0" xfId="0" applyFont="true" applyFill="true" applyNumberFormat="true"/>
    <xf numFmtId="0" fontId="123" fillId="9" borderId="0" xfId="2" applyFont="true" applyFill="true" applyAlignment="1" applyProtection="1" applyNumberFormat="true"/>
    <xf numFmtId="0" fontId="124" fillId="9" borderId="0" xfId="2" applyFont="true" applyFill="true" applyAlignment="1" applyProtection="1" applyNumberFormat="true"/>
    <xf numFmtId="0" fontId="125" fillId="9" borderId="0" xfId="1" applyFont="true" applyFill="true" applyAlignment="1" applyProtection="1" applyNumberFormat="true"/>
    <xf numFmtId="0" fontId="126" fillId="9" borderId="0" xfId="2" applyFont="true" applyFill="true" applyAlignment="1" applyProtection="1" applyNumberFormat="true"/>
    <xf numFmtId="0" fontId="127" fillId="0" borderId="0" xfId="0" applyFont="true">
      <alignment horizontal="general" vertical="bottom"/>
    </xf>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theme" Target="theme/theme1.xml"/>
  <Relationship Id="rId3" Type="http://schemas.openxmlformats.org/officeDocument/2006/relationships/styles" Target="styles.xml"/>
  <Relationship Id="rId4" Type="http://schemas.openxmlformats.org/officeDocument/2006/relationships/sharedStrings" Target="sharedStrings.xml"/>
  <Relationship Id="rId5" Type="http://schemas.openxmlformats.org/officeDocument/2006/relationships/worksheet" Target="worksheets/sheet7.xml"/>
</Relationships>

</file>

<file path=xl/drawings/_rels/drawing1.xml.rels><?xml version="1.0" encoding="UTF-8"?>

<Relationships xmlns="http://schemas.openxmlformats.org/package/2006/relationships">
  <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0</xdr:colOff>
      <xdr:row>0</xdr:row>
      <xdr:rowOff>0</xdr:rowOff>
    </xdr:from>
    <xdr:to>
      <xdr:col>1</xdr:col>
      <xdr:colOff>1353527</xdr:colOff>
      <xdr:row>1</xdr:row>
      <xdr:rowOff>76200</xdr:rowOff>
    </xdr:to>
    <xdr:pic>
      <xdr:nvPicPr>
        <xdr:cNvPr id="1" name="Picture 1" descr="Picture"/>
        <xdr:cNvPicPr>
          <a:picLocks noChangeAspect="true"/>
        </xdr:cNvPicPr>
      </xdr:nvPicPr>
      <xdr:blipFill>
        <a:blip r:embed="rId1"/>
        <a:stretch>
          <a:fillRect/>
        </a:stretch>
      </xdr:blipFill>
      <xdr:spPr>
        <a:xfrm>
          <a:off x="0" y="0"/>
          <a:ext cx="2076450" cy="4095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dimension ref="A1:G8"/>
  <sheetViews>
    <sheetView showGridLines="0" tabSelected="false" workbookViewId="0">
      <selection activeCell="A1" sqref="A1"/>
    </sheetView>
  </sheetViews>
  <sheetFormatPr defaultRowHeight="15"/>
  <cols>
    <col min="4" max="4" customWidth="true" width="33.2421875" collapsed="true"/>
    <col min="3" max="3" customWidth="true" width="10.984375" collapsed="true"/>
    <col min="1" max="1" customWidth="true" width="10.83984375" collapsed="true"/>
    <col min="2" max="2" customWidth="true" width="33.2421875" collapsed="true"/>
    <col min="7" max="7" customWidth="true" width="11.5625" collapsed="true"/>
    <col min="5" max="5" width="28.18359375" customWidth="true"/>
    <col min="6" max="6" width="20.234375" customWidth="true"/>
    <col min="8" max="8" width="18.7890625" customWidth="true"/>
    <col min="9" max="9" width="28.90625" customWidth="true"/>
    <col min="10" max="10" width="18.7890625" customWidth="true"/>
    <col min="11" max="11" width="20.234375" customWidth="true"/>
    <col min="12" max="12" width="13.73046875" customWidth="true"/>
    <col min="13" max="13" width="16.765625" customWidth="true"/>
    <col min="14" max="14" width="17.34375" customWidth="true"/>
    <col min="15" max="15" width="20.234375" customWidth="true"/>
    <col min="16" max="16" width="14.453125" customWidth="true"/>
    <col min="17" max="17" width="8.3828125" customWidth="true"/>
    <col min="18" max="18" width="19.80078125" customWidth="true"/>
  </cols>
  <sheetData>
    <row r="1" spans="1:7" ht="26.25" customHeight="1">
      <c r="E1" s="5" t="s">
        <v>4</v>
      </c>
      <c r="F1" s="5"/>
      <c r="G1" s="5"/>
    </row>
    <row r="2" spans="1:7" ht="12" customHeight="1"/>
    <row r="3" spans="1:7" ht="9.75" customHeight="1"/>
    <row r="4" spans="1:7">
      <c r="A4" s="2" t="s">
        <v>0</v>
      </c>
      <c r="B4" s="6" t="s">
        <v>5</v>
      </c>
      <c r="C4" s="6"/>
      <c r="D4" s="6"/>
    </row>
    <row r="5" spans="1:7">
      <c r="B5" s="6"/>
      <c r="C5" s="6"/>
      <c r="D5" s="6"/>
      <c r="F5" s="1" t="s">
        <v>1</v>
      </c>
      <c r="G5" s="3" t="s">
        <v>6</v>
      </c>
    </row>
    <row r="6" spans="1:7">
      <c r="B6" s="6"/>
      <c r="C6" s="6"/>
      <c r="D6" s="6"/>
      <c r="F6" s="1" t="s">
        <v>3</v>
      </c>
      <c r="G6" s="4" t="s">
        <v>7</v>
      </c>
    </row>
    <row r="8" spans="1:7" ht="35.0" customHeight="true">
      <c r="A8" t="s" s="7">
        <v>8</v>
      </c>
      <c r="B8" t="s" s="7">
        <v>9</v>
      </c>
      <c r="C8" t="s" s="7">
        <v>10</v>
      </c>
      <c r="D8" t="s" s="7">
        <v>11</v>
      </c>
      <c r="E8" t="s" s="7">
        <v>12</v>
      </c>
      <c r="F8" t="s" s="7">
        <v>13</v>
      </c>
      <c r="G8" t="s" s="7">
        <v>14</v>
      </c>
      <c r="H8" t="s" s="7">
        <v>15</v>
      </c>
      <c r="I8" t="s" s="7">
        <v>16</v>
      </c>
      <c r="J8" t="s" s="7">
        <v>17</v>
      </c>
      <c r="K8" t="s" s="7">
        <v>18</v>
      </c>
      <c r="L8" t="s" s="7">
        <v>19</v>
      </c>
      <c r="M8" t="s" s="7">
        <v>20</v>
      </c>
      <c r="N8" t="s" s="7">
        <v>21</v>
      </c>
      <c r="O8" t="s" s="7">
        <v>22</v>
      </c>
      <c r="P8" t="s" s="7">
        <v>23</v>
      </c>
      <c r="Q8" t="s" s="7">
        <v>24</v>
      </c>
      <c r="R8" t="s" s="8">
        <v>25</v>
      </c>
    </row>
    <row r="9">
      <c r="A9" s="9" t="inlineStr">
        <is>
          <t>170123-59</t>
        </is>
      </c>
      <c r="B9" s="10" t="inlineStr">
        <is>
          <t>Zyudly Labs</t>
        </is>
      </c>
      <c r="C9" s="11" t="inlineStr">
        <is>
          <t>94306</t>
        </is>
      </c>
      <c r="D9" s="12" t="inlineStr">
        <is>
          <t>Provider of cyber-security analytics and intelligence intended to provide real time breach detection and automated remediation measures. The company offers cyber-security analytics and intelligence software powered by big data, predictive analytics, security domain and adversarial machine learning providing companies with real-time breach detection and with real-time alerts and notifications enabling companies to solve fraud and cyber security challenges effectively, efficiently and economically.</t>
        </is>
      </c>
      <c r="E9" s="13" t="inlineStr">
        <is>
          <t>Network Management Software</t>
        </is>
      </c>
      <c r="F9" s="14" t="inlineStr">
        <is>
          <t>Palo Alto, CA</t>
        </is>
      </c>
      <c r="G9" s="15" t="inlineStr">
        <is>
          <t>Privately Held (backing)</t>
        </is>
      </c>
      <c r="H9" s="16" t="inlineStr">
        <is>
          <t>Accelerator/Incubator Backed</t>
        </is>
      </c>
      <c r="I9" s="17" t="inlineStr">
        <is>
          <t>500 Startups, Start Smart Labs</t>
        </is>
      </c>
      <c r="J9" s="18" t="inlineStr">
        <is>
          <t>www.zyudlylabs.com</t>
        </is>
      </c>
      <c r="K9" s="19" t="inlineStr">
        <is>
          <t>info@zyudlylabs.com</t>
        </is>
      </c>
      <c r="L9" s="20" t="inlineStr">
        <is>
          <t/>
        </is>
      </c>
      <c r="M9" s="21" t="inlineStr">
        <is>
          <t>Vivek Ganesan</t>
        </is>
      </c>
      <c r="N9" s="22" t="inlineStr">
        <is>
          <t>Co-Founder, Chief Executive Officer &amp; Board Member</t>
        </is>
      </c>
      <c r="O9" s="23" t="inlineStr">
        <is>
          <t>vivek@zyudlylabs.com</t>
        </is>
      </c>
      <c r="P9" s="24" t="inlineStr">
        <is>
          <t/>
        </is>
      </c>
      <c r="Q9" s="25" t="n">
        <v>2016.0</v>
      </c>
      <c r="R9" s="113">
        <f>HYPERLINK("https://my.pitchbook.com?c=170123-59", "View company online")</f>
      </c>
    </row>
    <row r="10">
      <c r="A10" s="27" t="inlineStr">
        <is>
          <t>103815-46</t>
        </is>
      </c>
      <c r="B10" s="28" t="inlineStr">
        <is>
          <t>Zymr</t>
        </is>
      </c>
      <c r="C10" s="86">
        <f>HYPERLINK("https://my.pitchbook.com?rrp=103815-46&amp;type=c", "This Company's information is not available to download. Need this Company? Request availability")</f>
      </c>
      <c r="D10" s="30" t="inlineStr">
        <is>
          <t/>
        </is>
      </c>
      <c r="E10" s="31" t="inlineStr">
        <is>
          <t/>
        </is>
      </c>
      <c r="F10" s="32" t="inlineStr">
        <is>
          <t/>
        </is>
      </c>
      <c r="G10" s="33" t="inlineStr">
        <is>
          <t/>
        </is>
      </c>
      <c r="H10" s="34" t="inlineStr">
        <is>
          <t/>
        </is>
      </c>
      <c r="I10" s="35" t="inlineStr">
        <is>
          <t/>
        </is>
      </c>
      <c r="J10" s="36" t="inlineStr">
        <is>
          <t/>
        </is>
      </c>
      <c r="K10" s="37" t="inlineStr">
        <is>
          <t/>
        </is>
      </c>
      <c r="L10" s="38" t="inlineStr">
        <is>
          <t/>
        </is>
      </c>
      <c r="M10" s="39" t="inlineStr">
        <is>
          <t/>
        </is>
      </c>
      <c r="N10" s="40" t="inlineStr">
        <is>
          <t/>
        </is>
      </c>
      <c r="O10" s="41" t="inlineStr">
        <is>
          <t/>
        </is>
      </c>
      <c r="P10" s="42" t="inlineStr">
        <is>
          <t/>
        </is>
      </c>
      <c r="Q10" s="43" t="inlineStr">
        <is>
          <t/>
        </is>
      </c>
      <c r="R10" s="44" t="inlineStr">
        <is>
          <t/>
        </is>
      </c>
    </row>
    <row r="11">
      <c r="A11" s="9" t="inlineStr">
        <is>
          <t>115308-37</t>
        </is>
      </c>
      <c r="B11" s="10" t="inlineStr">
        <is>
          <t>Zymochem</t>
        </is>
      </c>
      <c r="C11" s="11" t="inlineStr">
        <is>
          <t>94608</t>
        </is>
      </c>
      <c r="D11" s="12" t="inlineStr">
        <is>
          <t>Developer of an eco-friendly chemical production system. The company develops microbes and microbial processes to turn sugar and other renewable feed stock, into valuable chemicals without emitting greenhouse gases.</t>
        </is>
      </c>
      <c r="E11" s="13" t="inlineStr">
        <is>
          <t>Biotechnology</t>
        </is>
      </c>
      <c r="F11" s="14" t="inlineStr">
        <is>
          <t>Emeryville, CA</t>
        </is>
      </c>
      <c r="G11" s="15" t="inlineStr">
        <is>
          <t>Privately Held (backing)</t>
        </is>
      </c>
      <c r="H11" s="16" t="inlineStr">
        <is>
          <t>Accelerator/Incubator Backed</t>
        </is>
      </c>
      <c r="I11" s="17" t="inlineStr">
        <is>
          <t>Breakout Labs, SOSV</t>
        </is>
      </c>
      <c r="J11" s="18" t="inlineStr">
        <is>
          <t>www.zymochem.com</t>
        </is>
      </c>
      <c r="K11" s="19" t="inlineStr">
        <is>
          <t/>
        </is>
      </c>
      <c r="L11" s="20" t="inlineStr">
        <is>
          <t>+1 (530) 220-0541</t>
        </is>
      </c>
      <c r="M11" s="21" t="inlineStr">
        <is>
          <t>Harshal Chokhawala</t>
        </is>
      </c>
      <c r="N11" s="22" t="inlineStr">
        <is>
          <t>Co-Founder &amp; Chief Executive Officer</t>
        </is>
      </c>
      <c r="O11" s="23" t="inlineStr">
        <is>
          <t>harshal@zymochem.com</t>
        </is>
      </c>
      <c r="P11" s="24" t="inlineStr">
        <is>
          <t>+1 (530) 220-0541</t>
        </is>
      </c>
      <c r="Q11" s="25" t="n">
        <v>2013.0</v>
      </c>
      <c r="R11" s="113">
        <f>HYPERLINK("https://my.pitchbook.com?c=115308-37", "View company online")</f>
      </c>
    </row>
    <row r="12">
      <c r="A12" s="27" t="inlineStr">
        <is>
          <t>114984-46</t>
        </is>
      </c>
      <c r="B12" s="28" t="inlineStr">
        <is>
          <t>Zymbit</t>
        </is>
      </c>
      <c r="C12" s="29" t="inlineStr">
        <is>
          <t>93105</t>
        </is>
      </c>
      <c r="D12" s="30" t="inlineStr">
        <is>
          <t>Provider of pre-packaged hardware and software services. The company offers an open platform that allows users to customize and change the internet of things projects and devices.</t>
        </is>
      </c>
      <c r="E12" s="31" t="inlineStr">
        <is>
          <t>Computers, Parts and Peripherals</t>
        </is>
      </c>
      <c r="F12" s="32" t="inlineStr">
        <is>
          <t>Santa Barbara, CA</t>
        </is>
      </c>
      <c r="G12" s="33" t="inlineStr">
        <is>
          <t>Privately Held (backing)</t>
        </is>
      </c>
      <c r="H12" s="34" t="inlineStr">
        <is>
          <t>Angel-Backed</t>
        </is>
      </c>
      <c r="I12" s="35" t="inlineStr">
        <is>
          <t/>
        </is>
      </c>
      <c r="J12" s="36" t="inlineStr">
        <is>
          <t>www.zymbit.com</t>
        </is>
      </c>
      <c r="K12" s="37" t="inlineStr">
        <is>
          <t>info@zymbit.com</t>
        </is>
      </c>
      <c r="L12" s="38" t="inlineStr">
        <is>
          <t>+1 (805) 452-0151</t>
        </is>
      </c>
      <c r="M12" s="39" t="inlineStr">
        <is>
          <t>Roberto Aguilar</t>
        </is>
      </c>
      <c r="N12" s="40" t="inlineStr">
        <is>
          <t>Co-Founder &amp; Vice President Software Engineering</t>
        </is>
      </c>
      <c r="O12" s="41" t="inlineStr">
        <is>
          <t>roberto@zymbit.com</t>
        </is>
      </c>
      <c r="P12" s="42" t="inlineStr">
        <is>
          <t>+1 (805) 452-0151</t>
        </is>
      </c>
      <c r="Q12" s="43" t="n">
        <v>2014.0</v>
      </c>
      <c r="R12" s="114">
        <f>HYPERLINK("https://my.pitchbook.com?c=114984-46", "View company online")</f>
      </c>
    </row>
    <row r="13">
      <c r="A13" s="9" t="inlineStr">
        <is>
          <t>170032-96</t>
        </is>
      </c>
      <c r="B13" s="10" t="inlineStr">
        <is>
          <t>Zupa Noma</t>
        </is>
      </c>
      <c r="C13" s="11" t="inlineStr">
        <is>
          <t>95476</t>
        </is>
      </c>
      <c r="D13" s="12" t="inlineStr">
        <is>
          <t>Seller of bottled organic vegetable soup intended to provide drinkers with nutritious drinks. The company produces various flavored bottled soups made of fruits and vegetables and preserves them in high pressure processing technology and sells them online through their e-commerce platform enabling users to get instant access to ready to drink nutritious soups made of sun‐ripened fruits and vegetables.</t>
        </is>
      </c>
      <c r="E13" s="13" t="inlineStr">
        <is>
          <t>Internet Retail</t>
        </is>
      </c>
      <c r="F13" s="14" t="inlineStr">
        <is>
          <t>Sonoma, CA</t>
        </is>
      </c>
      <c r="G13" s="15" t="inlineStr">
        <is>
          <t>Privately Held (backing)</t>
        </is>
      </c>
      <c r="H13" s="16" t="inlineStr">
        <is>
          <t>Accelerator/Incubator Backed</t>
        </is>
      </c>
      <c r="I13" s="17" t="inlineStr">
        <is>
          <t>Sonoma Brands</t>
        </is>
      </c>
      <c r="J13" s="18" t="inlineStr">
        <is>
          <t>www.drinkzupa.com</t>
        </is>
      </c>
      <c r="K13" s="19" t="inlineStr">
        <is>
          <t>hello@drinkzupa.com</t>
        </is>
      </c>
      <c r="L13" s="20" t="inlineStr">
        <is>
          <t>+1 (707) 512-0604</t>
        </is>
      </c>
      <c r="M13" s="21" t="inlineStr">
        <is>
          <t>Jennifer Berliner</t>
        </is>
      </c>
      <c r="N13" s="22" t="inlineStr">
        <is>
          <t>Director, Marketing</t>
        </is>
      </c>
      <c r="O13" s="23" t="inlineStr">
        <is>
          <t/>
        </is>
      </c>
      <c r="P13" s="24" t="inlineStr">
        <is>
          <t>+1 (707) 512-0604</t>
        </is>
      </c>
      <c r="Q13" s="25" t="n">
        <v>2016.0</v>
      </c>
      <c r="R13" s="113">
        <f>HYPERLINK("https://my.pitchbook.com?c=170032-96", "View company online")</f>
      </c>
    </row>
    <row r="14">
      <c r="A14" s="27" t="inlineStr">
        <is>
          <t>123484-96</t>
        </is>
      </c>
      <c r="B14" s="28" t="inlineStr">
        <is>
          <t>Zunn Labs</t>
        </is>
      </c>
      <c r="C14" s="29" t="inlineStr">
        <is>
          <t>90025</t>
        </is>
      </c>
      <c r="D14" s="30" t="inlineStr">
        <is>
          <t>Developer of application controlled LED lights. The company develops LED lights that can be used by the user as per their need.</t>
        </is>
      </c>
      <c r="E14" s="31" t="inlineStr">
        <is>
          <t>Electronics (B2C)</t>
        </is>
      </c>
      <c r="F14" s="32" t="inlineStr">
        <is>
          <t>Los Angeles, CA</t>
        </is>
      </c>
      <c r="G14" s="33" t="inlineStr">
        <is>
          <t>Privately Held (backing)</t>
        </is>
      </c>
      <c r="H14" s="34" t="inlineStr">
        <is>
          <t>Accelerator/Incubator Backed</t>
        </is>
      </c>
      <c r="I14" s="35" t="inlineStr">
        <is>
          <t>eLab Accelerator</t>
        </is>
      </c>
      <c r="J14" s="36" t="inlineStr">
        <is>
          <t>www.sunnlight.com</t>
        </is>
      </c>
      <c r="K14" s="37" t="inlineStr">
        <is>
          <t>john@sunnlight.com</t>
        </is>
      </c>
      <c r="L14" s="38" t="inlineStr">
        <is>
          <t/>
        </is>
      </c>
      <c r="M14" s="39" t="inlineStr">
        <is>
          <t>Jeremy Blum</t>
        </is>
      </c>
      <c r="N14" s="40" t="inlineStr">
        <is>
          <t>Co-Founder &amp; Board Member</t>
        </is>
      </c>
      <c r="O14" s="41" t="inlineStr">
        <is>
          <t>jeremy@sunnlight.com</t>
        </is>
      </c>
      <c r="P14" s="42" t="inlineStr">
        <is>
          <t/>
        </is>
      </c>
      <c r="Q14" s="43" t="n">
        <v>2012.0</v>
      </c>
      <c r="R14" s="114">
        <f>HYPERLINK("https://my.pitchbook.com?c=123484-96", "View company online")</f>
      </c>
    </row>
    <row r="15">
      <c r="A15" s="9" t="inlineStr">
        <is>
          <t>162373-69</t>
        </is>
      </c>
      <c r="B15" s="10" t="inlineStr">
        <is>
          <t>Zungle Panther</t>
        </is>
      </c>
      <c r="C15" s="11" t="inlineStr">
        <is>
          <t/>
        </is>
      </c>
      <c r="D15" s="12" t="inlineStr">
        <is>
          <t>Developer of bone conduction audio sunglasses. The company manufactures sunglasses with built-in bone conduction speaker and noise canceling microphone to transmit sound waves to the skull via vibrations.</t>
        </is>
      </c>
      <c r="E15" s="13" t="inlineStr">
        <is>
          <t>Accessories</t>
        </is>
      </c>
      <c r="F15" s="14" t="inlineStr">
        <is>
          <t>Los Angeles, CA</t>
        </is>
      </c>
      <c r="G15" s="15" t="inlineStr">
        <is>
          <t>Privately Held (backing)</t>
        </is>
      </c>
      <c r="H15" s="16" t="inlineStr">
        <is>
          <t>Angel-Backed</t>
        </is>
      </c>
      <c r="I15" s="17" t="inlineStr">
        <is>
          <t/>
        </is>
      </c>
      <c r="J15" s="18" t="inlineStr">
        <is>
          <t>www.zungleinc.com</t>
        </is>
      </c>
      <c r="K15" s="19" t="inlineStr">
        <is>
          <t>zungle@zungleinc.com</t>
        </is>
      </c>
      <c r="L15" s="20" t="inlineStr">
        <is>
          <t/>
        </is>
      </c>
      <c r="M15" s="21" t="inlineStr">
        <is>
          <t>Chris Hong</t>
        </is>
      </c>
      <c r="N15" s="22" t="inlineStr">
        <is>
          <t>Co-Founder and Chief Development Officer</t>
        </is>
      </c>
      <c r="O15" s="23" t="inlineStr">
        <is>
          <t/>
        </is>
      </c>
      <c r="P15" s="24" t="inlineStr">
        <is>
          <t/>
        </is>
      </c>
      <c r="Q15" s="25" t="n">
        <v>2015.0</v>
      </c>
      <c r="R15" s="113">
        <f>HYPERLINK("https://my.pitchbook.com?c=162373-69", "View company online")</f>
      </c>
    </row>
    <row r="16">
      <c r="A16" s="27" t="inlineStr">
        <is>
          <t>103179-70</t>
        </is>
      </c>
      <c r="B16" s="28" t="inlineStr">
        <is>
          <t>Zumeo</t>
        </is>
      </c>
      <c r="C16" s="29" t="inlineStr">
        <is>
          <t/>
        </is>
      </c>
      <c r="D16" s="30" t="inlineStr">
        <is>
          <t>Provider of web design services. The company specializes in designing and developing graphical user interface, web and mobile architecture.</t>
        </is>
      </c>
      <c r="E16" s="31" t="inlineStr">
        <is>
          <t>Other IT Services</t>
        </is>
      </c>
      <c r="F16" s="32" t="inlineStr">
        <is>
          <t>San Francisco, CA</t>
        </is>
      </c>
      <c r="G16" s="33" t="inlineStr">
        <is>
          <t>Privately Held (backing)</t>
        </is>
      </c>
      <c r="H16" s="34" t="inlineStr">
        <is>
          <t>Angel-Backed</t>
        </is>
      </c>
      <c r="I16" s="35" t="inlineStr">
        <is>
          <t/>
        </is>
      </c>
      <c r="J16" s="36" t="inlineStr">
        <is>
          <t>www.zumeodesign.com</t>
        </is>
      </c>
      <c r="K16" s="37" t="inlineStr">
        <is>
          <t>betateam@zumeo.com</t>
        </is>
      </c>
      <c r="L16" s="38" t="inlineStr">
        <is>
          <t>+1 (650) 704-4419</t>
        </is>
      </c>
      <c r="M16" s="39" t="inlineStr">
        <is>
          <t>Jared Booye</t>
        </is>
      </c>
      <c r="N16" s="40" t="inlineStr">
        <is>
          <t>Founder &amp; Chief Executive Officer</t>
        </is>
      </c>
      <c r="O16" s="41" t="inlineStr">
        <is>
          <t>jared@zumeodesign.com</t>
        </is>
      </c>
      <c r="P16" s="42" t="inlineStr">
        <is>
          <t>+1 (650) 704-4419</t>
        </is>
      </c>
      <c r="Q16" s="43" t="n">
        <v>2007.0</v>
      </c>
      <c r="R16" s="114">
        <f>HYPERLINK("https://my.pitchbook.com?c=103179-70", "View company online")</f>
      </c>
    </row>
    <row r="17">
      <c r="A17" s="9" t="inlineStr">
        <is>
          <t>170046-01</t>
        </is>
      </c>
      <c r="B17" s="10" t="inlineStr">
        <is>
          <t>Zuma 4 Productions</t>
        </is>
      </c>
      <c r="C17" s="11" t="inlineStr">
        <is>
          <t>90265</t>
        </is>
      </c>
      <c r="D17" s="12" t="inlineStr">
        <is>
          <t>The company is currently operating in Stealth mode.</t>
        </is>
      </c>
      <c r="E17" s="13" t="inlineStr">
        <is>
          <t>Other Business Products and Services</t>
        </is>
      </c>
      <c r="F17" s="14" t="inlineStr">
        <is>
          <t>Malibu, CA</t>
        </is>
      </c>
      <c r="G17" s="15" t="inlineStr">
        <is>
          <t>Privately Held (backing)</t>
        </is>
      </c>
      <c r="H17" s="16" t="inlineStr">
        <is>
          <t>Angel-Backed</t>
        </is>
      </c>
      <c r="I17" s="17" t="inlineStr">
        <is>
          <t/>
        </is>
      </c>
      <c r="J17" s="18" t="inlineStr">
        <is>
          <t/>
        </is>
      </c>
      <c r="K17" s="19" t="inlineStr">
        <is>
          <t/>
        </is>
      </c>
      <c r="L17" s="20" t="inlineStr">
        <is>
          <t>+1 (310) 488-2477</t>
        </is>
      </c>
      <c r="M17" s="21" t="inlineStr">
        <is>
          <t>Craig Fanning</t>
        </is>
      </c>
      <c r="N17" s="22" t="inlineStr">
        <is>
          <t>Manager</t>
        </is>
      </c>
      <c r="O17" s="23" t="inlineStr">
        <is>
          <t/>
        </is>
      </c>
      <c r="P17" s="24" t="inlineStr">
        <is>
          <t>+1 (310) 488-2477</t>
        </is>
      </c>
      <c r="Q17" s="25" t="n">
        <v>2016.0</v>
      </c>
      <c r="R17" s="113">
        <f>HYPERLINK("https://my.pitchbook.com?c=170046-01", "View company online")</f>
      </c>
    </row>
    <row r="18">
      <c r="A18" s="27" t="inlineStr">
        <is>
          <t>102923-56</t>
        </is>
      </c>
      <c r="B18" s="28" t="inlineStr">
        <is>
          <t>Zulu</t>
        </is>
      </c>
      <c r="C18" s="29" t="inlineStr">
        <is>
          <t>94085</t>
        </is>
      </c>
      <c r="D18" s="30" t="inlineStr">
        <is>
          <t>Provider of a community-based grocery shopping application. The company offers an application which helps users to select the products from local stores to help local retailers grow their business and improve customer retention</t>
        </is>
      </c>
      <c r="E18" s="31" t="inlineStr">
        <is>
          <t>Internet Retail</t>
        </is>
      </c>
      <c r="F18" s="32" t="inlineStr">
        <is>
          <t>Sunnyvale, CA</t>
        </is>
      </c>
      <c r="G18" s="33" t="inlineStr">
        <is>
          <t>Privately Held (backing)</t>
        </is>
      </c>
      <c r="H18" s="34" t="inlineStr">
        <is>
          <t>Angel-Backed</t>
        </is>
      </c>
      <c r="I18" s="35" t="inlineStr">
        <is>
          <t/>
        </is>
      </c>
      <c r="J18" s="36" t="inlineStr">
        <is>
          <t>www.citykart.net</t>
        </is>
      </c>
      <c r="K18" s="37" t="inlineStr">
        <is>
          <t>info@citykart.net</t>
        </is>
      </c>
      <c r="L18" s="38" t="inlineStr">
        <is>
          <t>+1 (855) 800-9858</t>
        </is>
      </c>
      <c r="M18" s="39" t="inlineStr">
        <is>
          <t>George Zhao</t>
        </is>
      </c>
      <c r="N18" s="40" t="inlineStr">
        <is>
          <t>Chief Executive Officer &amp; Founder</t>
        </is>
      </c>
      <c r="O18" s="41" t="inlineStr">
        <is>
          <t>george.zhao@zulu-inc.com</t>
        </is>
      </c>
      <c r="P18" s="42" t="inlineStr">
        <is>
          <t>+1 (408) 834-0835</t>
        </is>
      </c>
      <c r="Q18" s="43" t="n">
        <v>2012.0</v>
      </c>
      <c r="R18" s="114">
        <f>HYPERLINK("https://my.pitchbook.com?c=102923-56", "View company online")</f>
      </c>
    </row>
    <row r="19">
      <c r="A19" s="9" t="inlineStr">
        <is>
          <t>125688-43</t>
        </is>
      </c>
      <c r="B19" s="10" t="inlineStr">
        <is>
          <t>Zugphonics</t>
        </is>
      </c>
      <c r="C19" s="11" t="inlineStr">
        <is>
          <t>94085</t>
        </is>
      </c>
      <c r="D19" s="12" t="inlineStr">
        <is>
          <t>Developer of multisensory phonics and reading fluency systems designed to teach, engage and entertain children. The company's multisensory phonics and reading fluency systems combines multi-sensory learning, humor and exploratory play, uses bluetooth connected smart letters and multi-sensory games to explore early reading skills and offers electronic educational products and devices for children that help them learn faster and develop their senses better, enabling them to learn faster and discover letters and sounds using a microscope.</t>
        </is>
      </c>
      <c r="E19" s="13" t="inlineStr">
        <is>
          <t>Educational Software</t>
        </is>
      </c>
      <c r="F19" s="14" t="inlineStr">
        <is>
          <t>Sunnyvale, CA</t>
        </is>
      </c>
      <c r="G19" s="15" t="inlineStr">
        <is>
          <t>Privately Held (backing)</t>
        </is>
      </c>
      <c r="H19" s="16" t="inlineStr">
        <is>
          <t>Angel-Backed</t>
        </is>
      </c>
      <c r="I19" s="17" t="inlineStr">
        <is>
          <t>Andre Agassi, Jerry Brown (Investor)</t>
        </is>
      </c>
      <c r="J19" s="18" t="inlineStr">
        <is>
          <t>www.zugworks.com</t>
        </is>
      </c>
      <c r="K19" s="19" t="inlineStr">
        <is>
          <t/>
        </is>
      </c>
      <c r="L19" s="20" t="inlineStr">
        <is>
          <t>+1 (650) 567-9995</t>
        </is>
      </c>
      <c r="M19" s="21" t="inlineStr">
        <is>
          <t>Andrew Butler</t>
        </is>
      </c>
      <c r="N19" s="22" t="inlineStr">
        <is>
          <t>Chief Executive Officer</t>
        </is>
      </c>
      <c r="O19" s="23" t="inlineStr">
        <is>
          <t>andy@zugworks.com</t>
        </is>
      </c>
      <c r="P19" s="24" t="inlineStr">
        <is>
          <t>+1 (650) 567-9995</t>
        </is>
      </c>
      <c r="Q19" s="25" t="n">
        <v>2014.0</v>
      </c>
      <c r="R19" s="113">
        <f>HYPERLINK("https://my.pitchbook.com?c=125688-43", "View company online")</f>
      </c>
    </row>
    <row r="20">
      <c r="A20" s="27" t="inlineStr">
        <is>
          <t>178186-33</t>
        </is>
      </c>
      <c r="B20" s="28" t="inlineStr">
        <is>
          <t>ZPREDICTA (formerly Ixchel Scientific)</t>
        </is>
      </c>
      <c r="C20" s="86">
        <f>HYPERLINK("https://my.pitchbook.com?rrp=178186-33&amp;type=c", "This Company's information is not available to download. Need this Company? Request availability")</f>
      </c>
      <c r="D20" s="30" t="inlineStr">
        <is>
          <t/>
        </is>
      </c>
      <c r="E20" s="31" t="inlineStr">
        <is>
          <t/>
        </is>
      </c>
      <c r="F20" s="32" t="inlineStr">
        <is>
          <t/>
        </is>
      </c>
      <c r="G20" s="33" t="inlineStr">
        <is>
          <t/>
        </is>
      </c>
      <c r="H20" s="34" t="inlineStr">
        <is>
          <t/>
        </is>
      </c>
      <c r="I20" s="35" t="inlineStr">
        <is>
          <t/>
        </is>
      </c>
      <c r="J20" s="36" t="inlineStr">
        <is>
          <t/>
        </is>
      </c>
      <c r="K20" s="37" t="inlineStr">
        <is>
          <t/>
        </is>
      </c>
      <c r="L20" s="38" t="inlineStr">
        <is>
          <t/>
        </is>
      </c>
      <c r="M20" s="39" t="inlineStr">
        <is>
          <t/>
        </is>
      </c>
      <c r="N20" s="40" t="inlineStr">
        <is>
          <t/>
        </is>
      </c>
      <c r="O20" s="41" t="inlineStr">
        <is>
          <t/>
        </is>
      </c>
      <c r="P20" s="42" t="inlineStr">
        <is>
          <t/>
        </is>
      </c>
      <c r="Q20" s="43" t="inlineStr">
        <is>
          <t/>
        </is>
      </c>
      <c r="R20" s="44" t="inlineStr">
        <is>
          <t/>
        </is>
      </c>
    </row>
    <row r="21">
      <c r="A21" s="9" t="inlineStr">
        <is>
          <t>103524-58</t>
        </is>
      </c>
      <c r="B21" s="10" t="inlineStr">
        <is>
          <t>Z-Plane</t>
        </is>
      </c>
      <c r="C21" s="11" t="inlineStr">
        <is>
          <t>94301</t>
        </is>
      </c>
      <c r="D21" s="12" t="inlineStr">
        <is>
          <t>Developer of a high-speed electronic packaging technology. The company offers packaging technology for high-speed telecommunications and computing equipment, including routers, servers and switches.</t>
        </is>
      </c>
      <c r="E21" s="13" t="inlineStr">
        <is>
          <t>Other Commercial Services</t>
        </is>
      </c>
      <c r="F21" s="14" t="inlineStr">
        <is>
          <t>Palo Alto, CA</t>
        </is>
      </c>
      <c r="G21" s="15" t="inlineStr">
        <is>
          <t>Privately Held (backing)</t>
        </is>
      </c>
      <c r="H21" s="16" t="inlineStr">
        <is>
          <t>Angel-Backed</t>
        </is>
      </c>
      <c r="I21" s="17" t="inlineStr">
        <is>
          <t/>
        </is>
      </c>
      <c r="J21" s="18" t="inlineStr">
        <is>
          <t>www.z-planeinc.com</t>
        </is>
      </c>
      <c r="K21" s="19" t="inlineStr">
        <is>
          <t>ccbyer@z-planeinc.com</t>
        </is>
      </c>
      <c r="L21" s="20" t="inlineStr">
        <is>
          <t>+1 (415) 309-2647</t>
        </is>
      </c>
      <c r="M21" s="21" t="inlineStr">
        <is>
          <t>Charles Byer</t>
        </is>
      </c>
      <c r="N21" s="22" t="inlineStr">
        <is>
          <t>Chief Executive Officer, President, Board Member &amp; Co-Founder</t>
        </is>
      </c>
      <c r="O21" s="23" t="inlineStr">
        <is>
          <t>ccbyer@z-planeinc.com</t>
        </is>
      </c>
      <c r="P21" s="24" t="inlineStr">
        <is>
          <t>+1 (415) 309-2647</t>
        </is>
      </c>
      <c r="Q21" s="25" t="n">
        <v>2008.0</v>
      </c>
      <c r="R21" s="113">
        <f>HYPERLINK("https://my.pitchbook.com?c=103524-58", "View company online")</f>
      </c>
    </row>
    <row r="22">
      <c r="A22" s="27" t="inlineStr">
        <is>
          <t>150247-72</t>
        </is>
      </c>
      <c r="B22" s="28" t="inlineStr">
        <is>
          <t>ZPillow</t>
        </is>
      </c>
      <c r="C22" s="29" t="inlineStr">
        <is>
          <t/>
        </is>
      </c>
      <c r="D22" s="30" t="inlineStr">
        <is>
          <t>Provider of a noise cancellation pillow. The company offers noise cancellation and reduction technology inside pillows.</t>
        </is>
      </c>
      <c r="E22" s="31" t="inlineStr">
        <is>
          <t>Other Consumer Durables</t>
        </is>
      </c>
      <c r="F22" s="32" t="inlineStr">
        <is>
          <t>Sunnyvale, CA</t>
        </is>
      </c>
      <c r="G22" s="33" t="inlineStr">
        <is>
          <t>Privately Held (backing)</t>
        </is>
      </c>
      <c r="H22" s="34" t="inlineStr">
        <is>
          <t>Accelerator/Incubator Backed</t>
        </is>
      </c>
      <c r="I22" s="35" t="inlineStr">
        <is>
          <t>Founder.org, LAUNCH (UC Berkeley)</t>
        </is>
      </c>
      <c r="J22" s="36" t="inlineStr">
        <is>
          <t>www.zpillow.com</t>
        </is>
      </c>
      <c r="K22" s="37" t="inlineStr">
        <is>
          <t>info@zpillow.com</t>
        </is>
      </c>
      <c r="L22" s="38" t="inlineStr">
        <is>
          <t/>
        </is>
      </c>
      <c r="M22" s="39" t="inlineStr">
        <is>
          <t>Chidananda Khatua</t>
        </is>
      </c>
      <c r="N22" s="40" t="inlineStr">
        <is>
          <t>Co-Founder</t>
        </is>
      </c>
      <c r="O22" s="41" t="inlineStr">
        <is>
          <t/>
        </is>
      </c>
      <c r="P22" s="42" t="inlineStr">
        <is>
          <t/>
        </is>
      </c>
      <c r="Q22" s="43" t="n">
        <v>2014.0</v>
      </c>
      <c r="R22" s="114">
        <f>HYPERLINK("https://my.pitchbook.com?c=150247-72", "View company online")</f>
      </c>
    </row>
    <row r="23">
      <c r="A23" s="9" t="inlineStr">
        <is>
          <t>103592-62</t>
        </is>
      </c>
      <c r="B23" s="10" t="inlineStr">
        <is>
          <t>Zoupons</t>
        </is>
      </c>
      <c r="C23" s="11" t="inlineStr">
        <is>
          <t/>
        </is>
      </c>
      <c r="D23" s="12" t="inlineStr">
        <is>
          <t>Provider of a mobile wallet service. The company provides a mobile wallet which helps shoppers to find coupons and deals. The company also provides a marketing tool for local businesses.</t>
        </is>
      </c>
      <c r="E23" s="13" t="inlineStr">
        <is>
          <t>Other Commercial Services</t>
        </is>
      </c>
      <c r="F23" s="14" t="inlineStr">
        <is>
          <t>Irvine, CA</t>
        </is>
      </c>
      <c r="G23" s="15" t="inlineStr">
        <is>
          <t>Privately Held (backing)</t>
        </is>
      </c>
      <c r="H23" s="16" t="inlineStr">
        <is>
          <t>Angel-Backed</t>
        </is>
      </c>
      <c r="I23" s="17" t="inlineStr">
        <is>
          <t/>
        </is>
      </c>
      <c r="J23" s="18" t="inlineStr">
        <is>
          <t>www.zoupons.com</t>
        </is>
      </c>
      <c r="K23" s="19" t="inlineStr">
        <is>
          <t>customercare@zoupons.com</t>
        </is>
      </c>
      <c r="L23" s="20" t="inlineStr">
        <is>
          <t/>
        </is>
      </c>
      <c r="M23" s="21" t="inlineStr">
        <is>
          <t>Rouzbeh Aminpour</t>
        </is>
      </c>
      <c r="N23" s="22" t="inlineStr">
        <is>
          <t>Co-Founder, Chief Executive Officer &amp; Board Member</t>
        </is>
      </c>
      <c r="O23" s="23" t="inlineStr">
        <is>
          <t>rouzbeh.aminpour@zoupons.com</t>
        </is>
      </c>
      <c r="P23" s="24" t="inlineStr">
        <is>
          <t/>
        </is>
      </c>
      <c r="Q23" s="25" t="n">
        <v>2012.0</v>
      </c>
      <c r="R23" s="113">
        <f>HYPERLINK("https://my.pitchbook.com?c=103592-62", "View company online")</f>
      </c>
    </row>
    <row r="24">
      <c r="A24" s="27" t="inlineStr">
        <is>
          <t>172066-15</t>
        </is>
      </c>
      <c r="B24" s="28" t="inlineStr">
        <is>
          <t>Zorroa</t>
        </is>
      </c>
      <c r="C24" s="86">
        <f>HYPERLINK("https://my.pitchbook.com?rrp=172066-15&amp;type=c", "This Company's information is not available to download. Need this Company? Request availability")</f>
      </c>
      <c r="D24" s="30" t="inlineStr">
        <is>
          <t/>
        </is>
      </c>
      <c r="E24" s="31" t="inlineStr">
        <is>
          <t/>
        </is>
      </c>
      <c r="F24" s="32" t="inlineStr">
        <is>
          <t/>
        </is>
      </c>
      <c r="G24" s="33" t="inlineStr">
        <is>
          <t/>
        </is>
      </c>
      <c r="H24" s="34" t="inlineStr">
        <is>
          <t/>
        </is>
      </c>
      <c r="I24" s="35" t="inlineStr">
        <is>
          <t/>
        </is>
      </c>
      <c r="J24" s="36" t="inlineStr">
        <is>
          <t/>
        </is>
      </c>
      <c r="K24" s="37" t="inlineStr">
        <is>
          <t/>
        </is>
      </c>
      <c r="L24" s="38" t="inlineStr">
        <is>
          <t/>
        </is>
      </c>
      <c r="M24" s="39" t="inlineStr">
        <is>
          <t/>
        </is>
      </c>
      <c r="N24" s="40" t="inlineStr">
        <is>
          <t/>
        </is>
      </c>
      <c r="O24" s="41" t="inlineStr">
        <is>
          <t/>
        </is>
      </c>
      <c r="P24" s="42" t="inlineStr">
        <is>
          <t/>
        </is>
      </c>
      <c r="Q24" s="43" t="inlineStr">
        <is>
          <t/>
        </is>
      </c>
      <c r="R24" s="44" t="inlineStr">
        <is>
          <t/>
        </is>
      </c>
    </row>
    <row r="25">
      <c r="A25" s="9" t="inlineStr">
        <is>
          <t>103576-87</t>
        </is>
      </c>
      <c r="B25" s="10" t="inlineStr">
        <is>
          <t>Zoondy</t>
        </is>
      </c>
      <c r="C25" s="11" t="inlineStr">
        <is>
          <t>10001</t>
        </is>
      </c>
      <c r="D25" s="12" t="inlineStr">
        <is>
          <t>Provider of an online marketplace for executive expertise. The company develops an online peer-to-peer marketplace that allows users to sell, buy and auction their talents, skills, expertise and knowledge.</t>
        </is>
      </c>
      <c r="E25" s="13" t="inlineStr">
        <is>
          <t>Internet Retail</t>
        </is>
      </c>
      <c r="F25" s="14" t="inlineStr">
        <is>
          <t>New York, NY</t>
        </is>
      </c>
      <c r="G25" s="15" t="inlineStr">
        <is>
          <t>Privately Held (backing)</t>
        </is>
      </c>
      <c r="H25" s="16" t="inlineStr">
        <is>
          <t>Angel-Backed</t>
        </is>
      </c>
      <c r="I25" s="17" t="inlineStr">
        <is>
          <t>Cairngorm LLC</t>
        </is>
      </c>
      <c r="J25" s="18" t="inlineStr">
        <is>
          <t>www.zoondy.com</t>
        </is>
      </c>
      <c r="K25" s="19" t="inlineStr">
        <is>
          <t/>
        </is>
      </c>
      <c r="L25" s="20" t="inlineStr">
        <is>
          <t>+1 (800) 676-5763</t>
        </is>
      </c>
      <c r="M25" s="21" t="inlineStr">
        <is>
          <t>Gordon Gooch</t>
        </is>
      </c>
      <c r="N25" s="22" t="inlineStr">
        <is>
          <t>Founder</t>
        </is>
      </c>
      <c r="O25" s="23" t="inlineStr">
        <is>
          <t>ggooch@zoondy.com</t>
        </is>
      </c>
      <c r="P25" s="24" t="inlineStr">
        <is>
          <t>+1 (800) 676-5763</t>
        </is>
      </c>
      <c r="Q25" s="25" t="n">
        <v>2011.0</v>
      </c>
      <c r="R25" s="113">
        <f>HYPERLINK("https://my.pitchbook.com?c=103576-87", "View company online")</f>
      </c>
    </row>
    <row r="26">
      <c r="A26" s="27" t="inlineStr">
        <is>
          <t>103744-81</t>
        </is>
      </c>
      <c r="B26" s="28" t="inlineStr">
        <is>
          <t>Zoomvy</t>
        </is>
      </c>
      <c r="C26" s="29" t="inlineStr">
        <is>
          <t/>
        </is>
      </c>
      <c r="D26" s="30" t="inlineStr">
        <is>
          <t>Developer of a social shopping and messaging platform.The company provides a platform that enables users to text, share photos and videos, and to have video chats that allow friends to see what users are viewing in the store, as well as face-to-face interaction.</t>
        </is>
      </c>
      <c r="E26" s="31" t="inlineStr">
        <is>
          <t>Social/Platform Software</t>
        </is>
      </c>
      <c r="F26" s="32" t="inlineStr">
        <is>
          <t>CA</t>
        </is>
      </c>
      <c r="G26" s="33" t="inlineStr">
        <is>
          <t>Privately Held (backing)</t>
        </is>
      </c>
      <c r="H26" s="34" t="inlineStr">
        <is>
          <t>Accelerator/Incubator Backed</t>
        </is>
      </c>
      <c r="I26" s="35" t="inlineStr">
        <is>
          <t>Plug and Play Tech Center</t>
        </is>
      </c>
      <c r="J26" s="36" t="inlineStr">
        <is>
          <t>zoomvy.com</t>
        </is>
      </c>
      <c r="K26" s="37" t="inlineStr">
        <is>
          <t>support@zoomvy.com</t>
        </is>
      </c>
      <c r="L26" s="38" t="inlineStr">
        <is>
          <t/>
        </is>
      </c>
      <c r="M26" s="39" t="inlineStr">
        <is>
          <t/>
        </is>
      </c>
      <c r="N26" s="40" t="inlineStr">
        <is>
          <t/>
        </is>
      </c>
      <c r="O26" s="41" t="inlineStr">
        <is>
          <t/>
        </is>
      </c>
      <c r="P26" s="42" t="inlineStr">
        <is>
          <t/>
        </is>
      </c>
      <c r="Q26" s="43" t="n">
        <v>2012.0</v>
      </c>
      <c r="R26" s="114">
        <f>HYPERLINK("https://my.pitchbook.com?c=103744-81", "View company online")</f>
      </c>
    </row>
    <row r="27">
      <c r="A27" s="9" t="inlineStr">
        <is>
          <t>124046-02</t>
        </is>
      </c>
      <c r="B27" s="10" t="inlineStr">
        <is>
          <t>Zonetail</t>
        </is>
      </c>
      <c r="C27" s="11" t="inlineStr">
        <is>
          <t>M5B 2A5</t>
        </is>
      </c>
      <c r="D27" s="12" t="inlineStr">
        <is>
          <t>Developer of a mobile application for hotels and condos that connects guests to their hotels and surroundings. The company provides users with access to and interactions with property amenities and services, combined with local restaurants, stores, services, entertainment and attractions.</t>
        </is>
      </c>
      <c r="E27" s="13" t="inlineStr">
        <is>
          <t>Application Software</t>
        </is>
      </c>
      <c r="F27" s="14" t="inlineStr">
        <is>
          <t>Toronto, Canada</t>
        </is>
      </c>
      <c r="G27" s="15" t="inlineStr">
        <is>
          <t>Privately Held (backing)</t>
        </is>
      </c>
      <c r="H27" s="16" t="inlineStr">
        <is>
          <t>Angel-Backed</t>
        </is>
      </c>
      <c r="I27" s="17" t="inlineStr">
        <is>
          <t>Hugh McCauley</t>
        </is>
      </c>
      <c r="J27" s="18" t="inlineStr">
        <is>
          <t>www.zonetail.com</t>
        </is>
      </c>
      <c r="K27" s="19" t="inlineStr">
        <is>
          <t>support@zonetail.com</t>
        </is>
      </c>
      <c r="L27" s="20" t="inlineStr">
        <is>
          <t>+1 (855) 668-7690</t>
        </is>
      </c>
      <c r="M27" s="21" t="inlineStr">
        <is>
          <t>Mark Holmes</t>
        </is>
      </c>
      <c r="N27" s="22" t="inlineStr">
        <is>
          <t>Co-Founder, Chief Executive Officer, President &amp; Board Member</t>
        </is>
      </c>
      <c r="O27" s="23" t="inlineStr">
        <is>
          <t>mark@zonetail.com</t>
        </is>
      </c>
      <c r="P27" s="24" t="inlineStr">
        <is>
          <t>+1 (855) 668-7690</t>
        </is>
      </c>
      <c r="Q27" s="25" t="n">
        <v>2013.0</v>
      </c>
      <c r="R27" s="113">
        <f>HYPERLINK("https://my.pitchbook.com?c=124046-02", "View company online")</f>
      </c>
    </row>
    <row r="28">
      <c r="A28" s="27" t="inlineStr">
        <is>
          <t>123222-43</t>
        </is>
      </c>
      <c r="B28" s="28" t="inlineStr">
        <is>
          <t>ZoneOne Pharma</t>
        </is>
      </c>
      <c r="C28" s="29" t="inlineStr">
        <is>
          <t>94158</t>
        </is>
      </c>
      <c r="D28" s="30" t="inlineStr">
        <is>
          <t>Developer of nano-scale therapeutics. The company develops liposomal chelator therapeutics and contract formulation of liposome drugs.</t>
        </is>
      </c>
      <c r="E28" s="31" t="inlineStr">
        <is>
          <t>Therapeutic Devices</t>
        </is>
      </c>
      <c r="F28" s="32" t="inlineStr">
        <is>
          <t>San Francisco, CA</t>
        </is>
      </c>
      <c r="G28" s="33" t="inlineStr">
        <is>
          <t>Privately Held (backing)</t>
        </is>
      </c>
      <c r="H28" s="34" t="inlineStr">
        <is>
          <t>Accelerator/Incubator Backed</t>
        </is>
      </c>
      <c r="I28" s="35" t="inlineStr">
        <is>
          <t>California Institute for Quantitative Biosciences, U.S. Department of Health and Human Services</t>
        </is>
      </c>
      <c r="J28" s="36" t="inlineStr">
        <is>
          <t>www.zoneonepharma.com</t>
        </is>
      </c>
      <c r="K28" s="37" t="inlineStr">
        <is>
          <t>info@zoneonepharma.com</t>
        </is>
      </c>
      <c r="L28" s="38" t="inlineStr">
        <is>
          <t>+1 (415) 476-9792</t>
        </is>
      </c>
      <c r="M28" s="39" t="inlineStr">
        <is>
          <t>Peter Working</t>
        </is>
      </c>
      <c r="N28" s="40" t="inlineStr">
        <is>
          <t>Co-Founder &amp; Director of Regulatory Affairs</t>
        </is>
      </c>
      <c r="O28" s="41" t="inlineStr">
        <is>
          <t>pworking@zoneonepharma.com</t>
        </is>
      </c>
      <c r="P28" s="42" t="inlineStr">
        <is>
          <t>+1 (415) 476-9792</t>
        </is>
      </c>
      <c r="Q28" s="43" t="n">
        <v>2011.0</v>
      </c>
      <c r="R28" s="114">
        <f>HYPERLINK("https://my.pitchbook.com?c=123222-43", "View company online")</f>
      </c>
    </row>
    <row r="29">
      <c r="A29" s="9" t="inlineStr">
        <is>
          <t>106852-06</t>
        </is>
      </c>
      <c r="B29" s="10" t="inlineStr">
        <is>
          <t>ZON</t>
        </is>
      </c>
      <c r="C29" s="11" t="inlineStr">
        <is>
          <t>90245</t>
        </is>
      </c>
      <c r="D29" s="12" t="inlineStr">
        <is>
          <t>Provider of technology services catering to the charging demands of mobile device consumers. The company integrates mobile device charging power into every day consumer products, catering a global society by charging mobile devices with energy harnessed by the sun.</t>
        </is>
      </c>
      <c r="E29" s="13" t="inlineStr">
        <is>
          <t>Electronics (B2C)</t>
        </is>
      </c>
      <c r="F29" s="14" t="inlineStr">
        <is>
          <t>El Segundo, CA</t>
        </is>
      </c>
      <c r="G29" s="15" t="inlineStr">
        <is>
          <t>Privately Held (backing)</t>
        </is>
      </c>
      <c r="H29" s="16" t="inlineStr">
        <is>
          <t>Angel-Backed</t>
        </is>
      </c>
      <c r="I29" s="17" t="inlineStr">
        <is>
          <t/>
        </is>
      </c>
      <c r="J29" s="18" t="inlineStr">
        <is>
          <t>www.zon-technology.com</t>
        </is>
      </c>
      <c r="K29" s="19" t="inlineStr">
        <is>
          <t>info@zon-technology.com</t>
        </is>
      </c>
      <c r="L29" s="20" t="inlineStr">
        <is>
          <t>+1 (626) 399-3408</t>
        </is>
      </c>
      <c r="M29" s="21" t="inlineStr">
        <is>
          <t>Karina Fedasz</t>
        </is>
      </c>
      <c r="N29" s="22" t="inlineStr">
        <is>
          <t>Chief Financial Officer &amp; Chief Operating Officer</t>
        </is>
      </c>
      <c r="O29" s="23" t="inlineStr">
        <is>
          <t>karina@zon-technology.com</t>
        </is>
      </c>
      <c r="P29" s="24" t="inlineStr">
        <is>
          <t>+1 (310) 546-8186</t>
        </is>
      </c>
      <c r="Q29" s="25" t="n">
        <v>2012.0</v>
      </c>
      <c r="R29" s="113">
        <f>HYPERLINK("https://my.pitchbook.com?c=106852-06", "View company online")</f>
      </c>
    </row>
    <row r="30">
      <c r="A30" s="27" t="inlineStr">
        <is>
          <t>103726-63</t>
        </is>
      </c>
      <c r="B30" s="28" t="inlineStr">
        <is>
          <t>Zomazz</t>
        </is>
      </c>
      <c r="C30" s="29" t="inlineStr">
        <is>
          <t>93940</t>
        </is>
      </c>
      <c r="D30" s="30" t="inlineStr">
        <is>
          <t>Provider of Digital In-Mold Decoration (D-IMD) services. The company focuses on Original Equipment Manufacturers (OEMs) and their CM partners who create or sell electronics devices, such as smartphones, laptops, gaming consoles and controllers, health and beauty products, audio components and wearables.</t>
        </is>
      </c>
      <c r="E30" s="31" t="inlineStr">
        <is>
          <t>Other Commercial Products</t>
        </is>
      </c>
      <c r="F30" s="32" t="inlineStr">
        <is>
          <t>Monterey, CA</t>
        </is>
      </c>
      <c r="G30" s="33" t="inlineStr">
        <is>
          <t>Privately Held (backing)</t>
        </is>
      </c>
      <c r="H30" s="34" t="inlineStr">
        <is>
          <t>Angel-Backed</t>
        </is>
      </c>
      <c r="I30" s="35" t="inlineStr">
        <is>
          <t>Robert Winter</t>
        </is>
      </c>
      <c r="J30" s="36" t="inlineStr">
        <is>
          <t>www.zomazz.com</t>
        </is>
      </c>
      <c r="K30" s="37" t="inlineStr">
        <is>
          <t>salesinfo@zomazz.com</t>
        </is>
      </c>
      <c r="L30" s="38" t="inlineStr">
        <is>
          <t>+1 (831) 625-9877</t>
        </is>
      </c>
      <c r="M30" s="39" t="inlineStr">
        <is>
          <t>David Dinerman</t>
        </is>
      </c>
      <c r="N30" s="40" t="inlineStr">
        <is>
          <t>Chief Financial Officer</t>
        </is>
      </c>
      <c r="O30" s="41" t="inlineStr">
        <is>
          <t>ddinerman@zomazz.com</t>
        </is>
      </c>
      <c r="P30" s="42" t="inlineStr">
        <is>
          <t>+1 (831) 625-9877</t>
        </is>
      </c>
      <c r="Q30" s="43" t="n">
        <v>2009.0</v>
      </c>
      <c r="R30" s="114">
        <f>HYPERLINK("https://my.pitchbook.com?c=103726-63", "View company online")</f>
      </c>
    </row>
    <row r="31">
      <c r="A31" s="9" t="inlineStr">
        <is>
          <t>154883-26</t>
        </is>
      </c>
      <c r="B31" s="10" t="inlineStr">
        <is>
          <t>Zokets</t>
        </is>
      </c>
      <c r="C31" s="11" t="inlineStr">
        <is>
          <t>95054</t>
        </is>
      </c>
      <c r="D31" s="12" t="inlineStr">
        <is>
          <t>Provider of container delivery platform for cloud applications. The company leverages an application-centric container delivery platform to ensure deployment and scaling of container based workloads into any environment.</t>
        </is>
      </c>
      <c r="E31" s="13" t="inlineStr">
        <is>
          <t>Application Software</t>
        </is>
      </c>
      <c r="F31" s="14" t="inlineStr">
        <is>
          <t>Santa Clara, CA</t>
        </is>
      </c>
      <c r="G31" s="15" t="inlineStr">
        <is>
          <t>Privately Held (backing)</t>
        </is>
      </c>
      <c r="H31" s="16" t="inlineStr">
        <is>
          <t>Angel-Backed</t>
        </is>
      </c>
      <c r="I31" s="17" t="inlineStr">
        <is>
          <t>Sand Hill Angels</t>
        </is>
      </c>
      <c r="J31" s="18" t="inlineStr">
        <is>
          <t>www.zokets.com</t>
        </is>
      </c>
      <c r="K31" s="19" t="inlineStr">
        <is>
          <t>office@zokets.com</t>
        </is>
      </c>
      <c r="L31" s="20" t="inlineStr">
        <is>
          <t/>
        </is>
      </c>
      <c r="M31" s="21" t="inlineStr">
        <is>
          <t>A. J. Hunyady</t>
        </is>
      </c>
      <c r="N31" s="22" t="inlineStr">
        <is>
          <t>Co-Founder &amp; Chief Executive Officer</t>
        </is>
      </c>
      <c r="O31" s="23" t="inlineStr">
        <is>
          <t/>
        </is>
      </c>
      <c r="P31" s="24" t="inlineStr">
        <is>
          <t/>
        </is>
      </c>
      <c r="Q31" s="25" t="n">
        <v>2015.0</v>
      </c>
      <c r="R31" s="113">
        <f>HYPERLINK("https://my.pitchbook.com?c=154883-26", "View company online")</f>
      </c>
    </row>
    <row r="32">
      <c r="A32" s="27" t="inlineStr">
        <is>
          <t>125747-02</t>
        </is>
      </c>
      <c r="B32" s="28" t="inlineStr">
        <is>
          <t>Zoheny</t>
        </is>
      </c>
      <c r="C32" s="29" t="inlineStr">
        <is>
          <t>91765</t>
        </is>
      </c>
      <c r="D32" s="30" t="inlineStr">
        <is>
          <t>Developer and provider of an online marketplace to rent or sell items. The company offers an online platform for users to sell and rent cars, houses, equipment, furniture and various other daily usable goods.</t>
        </is>
      </c>
      <c r="E32" s="31" t="inlineStr">
        <is>
          <t>Internet Retail</t>
        </is>
      </c>
      <c r="F32" s="32" t="inlineStr">
        <is>
          <t>Diamond Bar, CA</t>
        </is>
      </c>
      <c r="G32" s="33" t="inlineStr">
        <is>
          <t>Privately Held (backing)</t>
        </is>
      </c>
      <c r="H32" s="34" t="inlineStr">
        <is>
          <t>Accelerator/Incubator Backed</t>
        </is>
      </c>
      <c r="I32" s="35" t="inlineStr">
        <is>
          <t>G Labs</t>
        </is>
      </c>
      <c r="J32" s="36" t="inlineStr">
        <is>
          <t>www.zoheny.com</t>
        </is>
      </c>
      <c r="K32" s="37" t="inlineStr">
        <is>
          <t>help@zoheny.com</t>
        </is>
      </c>
      <c r="L32" s="38" t="inlineStr">
        <is>
          <t/>
        </is>
      </c>
      <c r="M32" s="39" t="inlineStr">
        <is>
          <t/>
        </is>
      </c>
      <c r="N32" s="40" t="inlineStr">
        <is>
          <t/>
        </is>
      </c>
      <c r="O32" s="41" t="inlineStr">
        <is>
          <t/>
        </is>
      </c>
      <c r="P32" s="42" t="inlineStr">
        <is>
          <t/>
        </is>
      </c>
      <c r="Q32" s="43" t="inlineStr">
        <is>
          <t/>
        </is>
      </c>
      <c r="R32" s="114">
        <f>HYPERLINK("https://my.pitchbook.com?c=125747-02", "View company online")</f>
      </c>
    </row>
    <row r="33">
      <c r="A33" s="9" t="inlineStr">
        <is>
          <t>102917-98</t>
        </is>
      </c>
      <c r="B33" s="10" t="inlineStr">
        <is>
          <t>Zoeticx</t>
        </is>
      </c>
      <c r="C33" s="11" t="inlineStr">
        <is>
          <t>95124</t>
        </is>
      </c>
      <c r="D33" s="12" t="inlineStr">
        <is>
          <t>Developer and provider of software services for healthcare industry. The company provides software suite for improving patient outcomes, enhancing the quality of care, containing costs and simplifying hospital administration while also allowing the integration and presentation of patient medical information.</t>
        </is>
      </c>
      <c r="E33" s="13" t="inlineStr">
        <is>
          <t>Medical Records Systems</t>
        </is>
      </c>
      <c r="F33" s="14" t="inlineStr">
        <is>
          <t>San Jose, CA</t>
        </is>
      </c>
      <c r="G33" s="15" t="inlineStr">
        <is>
          <t>Privately Held (backing)</t>
        </is>
      </c>
      <c r="H33" s="16" t="inlineStr">
        <is>
          <t>Angel-Backed</t>
        </is>
      </c>
      <c r="I33" s="17" t="inlineStr">
        <is>
          <t/>
        </is>
      </c>
      <c r="J33" s="18" t="inlineStr">
        <is>
          <t>www.zoeticx.com</t>
        </is>
      </c>
      <c r="K33" s="19" t="inlineStr">
        <is>
          <t>info@zoeticx.com</t>
        </is>
      </c>
      <c r="L33" s="20" t="inlineStr">
        <is>
          <t>+1 (408) 622-4757</t>
        </is>
      </c>
      <c r="M33" s="21" t="inlineStr">
        <is>
          <t>Thanh Tran</t>
        </is>
      </c>
      <c r="N33" s="22" t="inlineStr">
        <is>
          <t>Co-Founder, Chief Executive Officer and Board Member</t>
        </is>
      </c>
      <c r="O33" s="23" t="inlineStr">
        <is>
          <t>thanh.tran@zoeticx.com</t>
        </is>
      </c>
      <c r="P33" s="24" t="inlineStr">
        <is>
          <t>+1 (408) 622-4757</t>
        </is>
      </c>
      <c r="Q33" s="25" t="n">
        <v>2011.0</v>
      </c>
      <c r="R33" s="113">
        <f>HYPERLINK("https://my.pitchbook.com?c=102917-98", "View company online")</f>
      </c>
    </row>
    <row r="34">
      <c r="A34" s="27" t="inlineStr">
        <is>
          <t>126195-76</t>
        </is>
      </c>
      <c r="B34" s="28" t="inlineStr">
        <is>
          <t>Zoe Media Group</t>
        </is>
      </c>
      <c r="C34" s="29" t="inlineStr">
        <is>
          <t>90048</t>
        </is>
      </c>
      <c r="D34" s="30" t="inlineStr">
        <is>
          <t>Provider of digital content platform for fashion and lifestyle. The company's digital platform offers content related to daily fashion, beauty, lifestyle and provides with news subscription options.</t>
        </is>
      </c>
      <c r="E34" s="31" t="inlineStr">
        <is>
          <t>Media and Information Services (B2B)</t>
        </is>
      </c>
      <c r="F34" s="32" t="inlineStr">
        <is>
          <t>Los Angeles, CA</t>
        </is>
      </c>
      <c r="G34" s="33" t="inlineStr">
        <is>
          <t>Privately Held (backing)</t>
        </is>
      </c>
      <c r="H34" s="34" t="inlineStr">
        <is>
          <t>Angel-Backed</t>
        </is>
      </c>
      <c r="I34" s="35" t="inlineStr">
        <is>
          <t>Adam Katz, Daniel Broukhim, Michael Broukhim, Sam Teller</t>
        </is>
      </c>
      <c r="J34" s="36" t="inlineStr">
        <is>
          <t>www.thezoereport.com</t>
        </is>
      </c>
      <c r="K34" s="37" t="inlineStr">
        <is>
          <t/>
        </is>
      </c>
      <c r="L34" s="38" t="inlineStr">
        <is>
          <t/>
        </is>
      </c>
      <c r="M34" s="39" t="inlineStr">
        <is>
          <t>Rodger Berman</t>
        </is>
      </c>
      <c r="N34" s="40" t="inlineStr">
        <is>
          <t>Chief Executive Officer</t>
        </is>
      </c>
      <c r="O34" s="41" t="inlineStr">
        <is>
          <t/>
        </is>
      </c>
      <c r="P34" s="42" t="inlineStr">
        <is>
          <t/>
        </is>
      </c>
      <c r="Q34" s="43" t="n">
        <v>2009.0</v>
      </c>
      <c r="R34" s="114">
        <f>HYPERLINK("https://my.pitchbook.com?c=126195-76", "View company online")</f>
      </c>
    </row>
    <row r="35">
      <c r="A35" s="9" t="inlineStr">
        <is>
          <t>117128-62</t>
        </is>
      </c>
      <c r="B35" s="10" t="inlineStr">
        <is>
          <t>Zobreus Medical</t>
        </is>
      </c>
      <c r="C35" s="11" t="inlineStr">
        <is>
          <t/>
        </is>
      </c>
      <c r="D35" s="12" t="inlineStr">
        <is>
          <t>Provider of a healthcare record management platform. The company's application-based platform enables healthcare organizations to integrate patient's medical data with their hospital's framework, store and analyze medical reports and manage vaccination records.</t>
        </is>
      </c>
      <c r="E35" s="13" t="inlineStr">
        <is>
          <t>Social/Platform Software</t>
        </is>
      </c>
      <c r="F35" s="14" t="inlineStr">
        <is>
          <t>Emerald Hills, CA</t>
        </is>
      </c>
      <c r="G35" s="15" t="inlineStr">
        <is>
          <t>Privately Held (backing)</t>
        </is>
      </c>
      <c r="H35" s="16" t="inlineStr">
        <is>
          <t>Accelerator/Incubator Backed</t>
        </is>
      </c>
      <c r="I35" s="17" t="inlineStr">
        <is>
          <t>StartX</t>
        </is>
      </c>
      <c r="J35" s="18" t="inlineStr">
        <is>
          <t>www.zobreus.com</t>
        </is>
      </c>
      <c r="K35" s="19" t="inlineStr">
        <is>
          <t>info@zobreus.com</t>
        </is>
      </c>
      <c r="L35" s="20" t="inlineStr">
        <is>
          <t>+1 (650) 362-4192</t>
        </is>
      </c>
      <c r="M35" s="21" t="inlineStr">
        <is>
          <t>L. Onyejekwe</t>
        </is>
      </c>
      <c r="N35" s="22" t="inlineStr">
        <is>
          <t>Co-Founder &amp; Chief Executive Officer</t>
        </is>
      </c>
      <c r="O35" s="23" t="inlineStr">
        <is>
          <t/>
        </is>
      </c>
      <c r="P35" s="24" t="inlineStr">
        <is>
          <t>+1 (650) 362-4192</t>
        </is>
      </c>
      <c r="Q35" s="25" t="n">
        <v>2010.0</v>
      </c>
      <c r="R35" s="113">
        <f>HYPERLINK("https://my.pitchbook.com?c=117128-62", "View company online")</f>
      </c>
    </row>
    <row r="36">
      <c r="A36" s="27" t="inlineStr">
        <is>
          <t>108380-80</t>
        </is>
      </c>
      <c r="B36" s="28" t="inlineStr">
        <is>
          <t>ZO Skin Health</t>
        </is>
      </c>
      <c r="C36" s="29" t="inlineStr">
        <is>
          <t>92618</t>
        </is>
      </c>
      <c r="D36" s="30" t="inlineStr">
        <is>
          <t>Provider of skin care products intended to reduce acnes, aging, hyperpigmentation and inflammation. The company's skin care products made from finest ingredients and highest grade of technology enabling individuals to improve skin quality and remove facial melasma, deep wrinkles, age spots and acne scars.</t>
        </is>
      </c>
      <c r="E36" s="31" t="inlineStr">
        <is>
          <t>Personal Products</t>
        </is>
      </c>
      <c r="F36" s="32" t="inlineStr">
        <is>
          <t>Irvine, CA</t>
        </is>
      </c>
      <c r="G36" s="33" t="inlineStr">
        <is>
          <t>Privately Held (backing)</t>
        </is>
      </c>
      <c r="H36" s="34" t="inlineStr">
        <is>
          <t>Angel-Backed</t>
        </is>
      </c>
      <c r="I36" s="35" t="inlineStr">
        <is>
          <t/>
        </is>
      </c>
      <c r="J36" s="36" t="inlineStr">
        <is>
          <t>www.zoskinhealth.com</t>
        </is>
      </c>
      <c r="K36" s="37" t="inlineStr">
        <is>
          <t>dtomes@zoskinhealth.com</t>
        </is>
      </c>
      <c r="L36" s="38" t="inlineStr">
        <is>
          <t>+1 (949) 988-7524</t>
        </is>
      </c>
      <c r="M36" s="39" t="inlineStr">
        <is>
          <t>John Dvorak</t>
        </is>
      </c>
      <c r="N36" s="40" t="inlineStr">
        <is>
          <t>Vice President, Operations</t>
        </is>
      </c>
      <c r="O36" s="41" t="inlineStr">
        <is>
          <t>jdvorak@zoskinhealth.com</t>
        </is>
      </c>
      <c r="P36" s="42" t="inlineStr">
        <is>
          <t>+1 (949) 988-7524</t>
        </is>
      </c>
      <c r="Q36" s="43" t="n">
        <v>2008.0</v>
      </c>
      <c r="R36" s="114">
        <f>HYPERLINK("https://my.pitchbook.com?c=108380-80", "View company online")</f>
      </c>
    </row>
    <row r="37">
      <c r="A37" s="9" t="inlineStr">
        <is>
          <t>97680-25</t>
        </is>
      </c>
      <c r="B37" s="10" t="inlineStr">
        <is>
          <t>ZMenu</t>
        </is>
      </c>
      <c r="C37" s="11" t="inlineStr">
        <is>
          <t/>
        </is>
      </c>
      <c r="D37" s="12" t="inlineStr">
        <is>
          <t>Provider of an online food discovery platform. The company provides photos and rating at individual dish level. It delights and inspires customers as well as helps them make decision quickly on which restaurant to go and what food to order.</t>
        </is>
      </c>
      <c r="E37" s="13" t="inlineStr">
        <is>
          <t>Restaurants and Bars</t>
        </is>
      </c>
      <c r="F37" s="14" t="inlineStr">
        <is>
          <t>Burlingame, CA</t>
        </is>
      </c>
      <c r="G37" s="15" t="inlineStr">
        <is>
          <t>Privately Held (backing)</t>
        </is>
      </c>
      <c r="H37" s="16" t="inlineStr">
        <is>
          <t>Accelerator/Incubator Backed</t>
        </is>
      </c>
      <c r="I37" s="17" t="inlineStr">
        <is>
          <t>Tandem Capital</t>
        </is>
      </c>
      <c r="J37" s="18" t="inlineStr">
        <is>
          <t>www.zmenu.com</t>
        </is>
      </c>
      <c r="K37" s="19" t="inlineStr">
        <is>
          <t>admin@zmenu.com</t>
        </is>
      </c>
      <c r="L37" s="20" t="inlineStr">
        <is>
          <t>+1 (510) 936-2569</t>
        </is>
      </c>
      <c r="M37" s="21" t="inlineStr">
        <is>
          <t>Jiangyi Pan</t>
        </is>
      </c>
      <c r="N37" s="22" t="inlineStr">
        <is>
          <t>Co-Founder &amp; Chief Executive Officer</t>
        </is>
      </c>
      <c r="O37" s="23" t="inlineStr">
        <is>
          <t>joey@zmenu.com</t>
        </is>
      </c>
      <c r="P37" s="24" t="inlineStr">
        <is>
          <t>+1 (510) 936-2569</t>
        </is>
      </c>
      <c r="Q37" s="25" t="n">
        <v>2013.0</v>
      </c>
      <c r="R37" s="113">
        <f>HYPERLINK("https://my.pitchbook.com?c=97680-25", "View company online")</f>
      </c>
    </row>
    <row r="38">
      <c r="A38" s="27" t="inlineStr">
        <is>
          <t>171864-19</t>
        </is>
      </c>
      <c r="B38" s="28" t="inlineStr">
        <is>
          <t>Zizmos</t>
        </is>
      </c>
      <c r="C38" s="29" t="inlineStr">
        <is>
          <t/>
        </is>
      </c>
      <c r="D38" s="30" t="inlineStr">
        <is>
          <t>Developer of a cloud based mobile and wireless sensor designed to detect earthquakes or other seismic activity. The company's provides seismic detection technology provides information using micro electro mechanical sensors that create a seismic network which monitors earthquakes, enabling users to get notified of earthquakes or any other shake hazards through their smartphones.</t>
        </is>
      </c>
      <c r="E38" s="31" t="inlineStr">
        <is>
          <t>Information Services (B2C)</t>
        </is>
      </c>
      <c r="F38" s="32" t="inlineStr">
        <is>
          <t>Palo Alto, CA</t>
        </is>
      </c>
      <c r="G38" s="33" t="inlineStr">
        <is>
          <t>Privately Held (backing)</t>
        </is>
      </c>
      <c r="H38" s="34" t="inlineStr">
        <is>
          <t>Angel-Backed</t>
        </is>
      </c>
      <c r="I38" s="35" t="inlineStr">
        <is>
          <t>Boulder Bits, Greg Lowitz, National Science Foundation, Verizon Communications</t>
        </is>
      </c>
      <c r="J38" s="36" t="inlineStr">
        <is>
          <t>www.zizmos.com</t>
        </is>
      </c>
      <c r="K38" s="37" t="inlineStr">
        <is>
          <t>yozizmos@zizmos.com</t>
        </is>
      </c>
      <c r="L38" s="38" t="inlineStr">
        <is>
          <t/>
        </is>
      </c>
      <c r="M38" s="39" t="inlineStr">
        <is>
          <t>Battalgazi Yildirim</t>
        </is>
      </c>
      <c r="N38" s="40" t="inlineStr">
        <is>
          <t>Founder, Chief Technology Officer &amp; Chief Executive Officer</t>
        </is>
      </c>
      <c r="O38" s="41" t="inlineStr">
        <is>
          <t>yildirim@zizmos.com</t>
        </is>
      </c>
      <c r="P38" s="42" t="inlineStr">
        <is>
          <t/>
        </is>
      </c>
      <c r="Q38" s="43" t="n">
        <v>2014.0</v>
      </c>
      <c r="R38" s="114">
        <f>HYPERLINK("https://my.pitchbook.com?c=171864-19", "View company online")</f>
      </c>
    </row>
    <row r="39">
      <c r="A39" s="9" t="inlineStr">
        <is>
          <t>165948-94</t>
        </is>
      </c>
      <c r="B39" s="10" t="inlineStr">
        <is>
          <t>Ziyen</t>
        </is>
      </c>
      <c r="C39" s="11" t="inlineStr">
        <is>
          <t>94538</t>
        </is>
      </c>
      <c r="D39" s="12" t="inlineStr">
        <is>
          <t>Provider of a business intelligence platform. The company's marketing intelligence software offers sales lead generation and sales traffic tracking services to marketers.</t>
        </is>
      </c>
      <c r="E39" s="13" t="inlineStr">
        <is>
          <t>Social/Platform Software</t>
        </is>
      </c>
      <c r="F39" s="14" t="inlineStr">
        <is>
          <t>Fremont, CA</t>
        </is>
      </c>
      <c r="G39" s="15" t="inlineStr">
        <is>
          <t>Privately Held (backing)</t>
        </is>
      </c>
      <c r="H39" s="16" t="inlineStr">
        <is>
          <t>Accelerator/Incubator Backed</t>
        </is>
      </c>
      <c r="I39" s="17" t="inlineStr">
        <is>
          <t>Privateer Lounge Innovation Center</t>
        </is>
      </c>
      <c r="J39" s="18" t="inlineStr">
        <is>
          <t>www.ziyen.com</t>
        </is>
      </c>
      <c r="K39" s="19" t="inlineStr">
        <is>
          <t/>
        </is>
      </c>
      <c r="L39" s="20" t="inlineStr">
        <is>
          <t>+1 (510) 789-1190</t>
        </is>
      </c>
      <c r="M39" s="21" t="inlineStr">
        <is>
          <t>Alastair Caithness</t>
        </is>
      </c>
      <c r="N39" s="22" t="inlineStr">
        <is>
          <t>Founder &amp; Chief Executive Officer</t>
        </is>
      </c>
      <c r="O39" s="23" t="inlineStr">
        <is>
          <t>alastair@ziyen.com</t>
        </is>
      </c>
      <c r="P39" s="24" t="inlineStr">
        <is>
          <t>+1 (510) 789-1190</t>
        </is>
      </c>
      <c r="Q39" s="25" t="n">
        <v>2016.0</v>
      </c>
      <c r="R39" s="113">
        <f>HYPERLINK("https://my.pitchbook.com?c=165948-94", "View company online")</f>
      </c>
    </row>
    <row r="40">
      <c r="A40" s="27" t="inlineStr">
        <is>
          <t>115488-01</t>
        </is>
      </c>
      <c r="B40" s="28" t="inlineStr">
        <is>
          <t>Ziva Medical</t>
        </is>
      </c>
      <c r="C40" s="29" t="inlineStr">
        <is>
          <t>94618</t>
        </is>
      </c>
      <c r="D40" s="30" t="inlineStr">
        <is>
          <t>Developer of an infertility treatment device. The company develops a medical device used to treat infertility caused by polycystic ovary syndrome.</t>
        </is>
      </c>
      <c r="E40" s="31" t="inlineStr">
        <is>
          <t>Therapeutic Devices</t>
        </is>
      </c>
      <c r="F40" s="32" t="inlineStr">
        <is>
          <t>Oakland, CA</t>
        </is>
      </c>
      <c r="G40" s="33" t="inlineStr">
        <is>
          <t>Privately Held (backing)</t>
        </is>
      </c>
      <c r="H40" s="34" t="inlineStr">
        <is>
          <t>Accelerator/Incubator Backed</t>
        </is>
      </c>
      <c r="I40" s="35" t="inlineStr">
        <is>
          <t>National Science Foundation, StartX</t>
        </is>
      </c>
      <c r="J40" s="36" t="inlineStr">
        <is>
          <t>www.zivamedical.com</t>
        </is>
      </c>
      <c r="K40" s="37" t="inlineStr">
        <is>
          <t/>
        </is>
      </c>
      <c r="L40" s="38" t="inlineStr">
        <is>
          <t/>
        </is>
      </c>
      <c r="M40" s="39" t="inlineStr">
        <is>
          <t>Neil Barman</t>
        </is>
      </c>
      <c r="N40" s="40" t="inlineStr">
        <is>
          <t>Co-Founder &amp; Chief Medical Officer</t>
        </is>
      </c>
      <c r="O40" s="41" t="inlineStr">
        <is>
          <t>nbarman@zivamedical.com</t>
        </is>
      </c>
      <c r="P40" s="42" t="inlineStr">
        <is>
          <t/>
        </is>
      </c>
      <c r="Q40" s="43" t="n">
        <v>2013.0</v>
      </c>
      <c r="R40" s="114">
        <f>HYPERLINK("https://my.pitchbook.com?c=115488-01", "View company online")</f>
      </c>
    </row>
    <row r="41">
      <c r="A41" s="9" t="inlineStr">
        <is>
          <t>180844-75</t>
        </is>
      </c>
      <c r="B41" s="10" t="inlineStr">
        <is>
          <t>Zippy.ai</t>
        </is>
      </c>
      <c r="C41" s="11" t="inlineStr">
        <is>
          <t>95050</t>
        </is>
      </c>
      <c r="D41" s="12" t="inlineStr">
        <is>
          <t>The company is currently operating in Stealth mode.</t>
        </is>
      </c>
      <c r="E41" s="13" t="inlineStr">
        <is>
          <t>Other Business Products and Services</t>
        </is>
      </c>
      <c r="F41" s="14" t="inlineStr">
        <is>
          <t>Santa Clara, CA</t>
        </is>
      </c>
      <c r="G41" s="15" t="inlineStr">
        <is>
          <t>Privately Held (backing)</t>
        </is>
      </c>
      <c r="H41" s="16" t="inlineStr">
        <is>
          <t>Angel-Backed</t>
        </is>
      </c>
      <c r="I41" s="17" t="inlineStr">
        <is>
          <t/>
        </is>
      </c>
      <c r="J41" s="18" t="inlineStr">
        <is>
          <t>www.zippy.ai</t>
        </is>
      </c>
      <c r="K41" s="19" t="inlineStr">
        <is>
          <t>info@zippy.ai</t>
        </is>
      </c>
      <c r="L41" s="20" t="inlineStr">
        <is>
          <t>+1 (202) 510-5040</t>
        </is>
      </c>
      <c r="M41" s="21" t="inlineStr">
        <is>
          <t>Gabe Sibley</t>
        </is>
      </c>
      <c r="N41" s="22" t="inlineStr">
        <is>
          <t>Chief Executive Officer &amp; Board Member</t>
        </is>
      </c>
      <c r="O41" s="23" t="inlineStr">
        <is>
          <t>gabe@zippy.ai</t>
        </is>
      </c>
      <c r="P41" s="24" t="inlineStr">
        <is>
          <t>+1 (202) 510-5040</t>
        </is>
      </c>
      <c r="Q41" s="25" t="n">
        <v>2017.0</v>
      </c>
      <c r="R41" s="113">
        <f>HYPERLINK("https://my.pitchbook.com?c=180844-75", "View company online")</f>
      </c>
    </row>
    <row r="42">
      <c r="A42" s="27" t="inlineStr">
        <is>
          <t>154894-96</t>
        </is>
      </c>
      <c r="B42" s="28" t="inlineStr">
        <is>
          <t>Zippia</t>
        </is>
      </c>
      <c r="C42" s="29" t="inlineStr">
        <is>
          <t>94114</t>
        </is>
      </c>
      <c r="D42" s="30" t="inlineStr">
        <is>
          <t>Provider of an online personalized career and job insights platform created to help people discover career options. The company's platform uses machine learning and data analytics enabling users to discover career information regarding various industries.</t>
        </is>
      </c>
      <c r="E42" s="31" t="inlineStr">
        <is>
          <t>Application Software</t>
        </is>
      </c>
      <c r="F42" s="32" t="inlineStr">
        <is>
          <t>San Francisco, CA</t>
        </is>
      </c>
      <c r="G42" s="33" t="inlineStr">
        <is>
          <t>Privately Held (backing)</t>
        </is>
      </c>
      <c r="H42" s="34" t="inlineStr">
        <is>
          <t>Accelerator/Incubator Backed</t>
        </is>
      </c>
      <c r="I42" s="35" t="inlineStr">
        <is>
          <t>Correlation Ventures, Plug and Play Tech Center</t>
        </is>
      </c>
      <c r="J42" s="36" t="inlineStr">
        <is>
          <t>www.zippia.com</t>
        </is>
      </c>
      <c r="K42" s="37" t="inlineStr">
        <is>
          <t/>
        </is>
      </c>
      <c r="L42" s="38" t="inlineStr">
        <is>
          <t>+1 (254) 294-7742</t>
        </is>
      </c>
      <c r="M42" s="39" t="inlineStr">
        <is>
          <t>Henry Shao</t>
        </is>
      </c>
      <c r="N42" s="40" t="inlineStr">
        <is>
          <t>Co-Founder, Chief Executive Officer, Head of Products &amp; Board Member</t>
        </is>
      </c>
      <c r="O42" s="41" t="inlineStr">
        <is>
          <t>hshao@zippia.com</t>
        </is>
      </c>
      <c r="P42" s="42" t="inlineStr">
        <is>
          <t>+1 (254) 294-7742</t>
        </is>
      </c>
      <c r="Q42" s="43" t="n">
        <v>2015.0</v>
      </c>
      <c r="R42" s="114">
        <f>HYPERLINK("https://my.pitchbook.com?c=154894-96", "View company online")</f>
      </c>
    </row>
    <row r="43">
      <c r="A43" s="9" t="inlineStr">
        <is>
          <t>171150-31</t>
        </is>
      </c>
      <c r="B43" s="10" t="inlineStr">
        <is>
          <t>Zink (Stealth)</t>
        </is>
      </c>
      <c r="C43" s="11" t="inlineStr">
        <is>
          <t>90292</t>
        </is>
      </c>
      <c r="D43" s="12" t="inlineStr">
        <is>
          <t>The company is currently operating in Stealth mode.</t>
        </is>
      </c>
      <c r="E43" s="13" t="inlineStr">
        <is>
          <t>Other Business Products and Services</t>
        </is>
      </c>
      <c r="F43" s="14" t="inlineStr">
        <is>
          <t>Marina del Rey, CA</t>
        </is>
      </c>
      <c r="G43" s="15" t="inlineStr">
        <is>
          <t>Privately Held (backing)</t>
        </is>
      </c>
      <c r="H43" s="16" t="inlineStr">
        <is>
          <t>Angel-Backed</t>
        </is>
      </c>
      <c r="I43" s="17" t="inlineStr">
        <is>
          <t/>
        </is>
      </c>
      <c r="J43" s="18" t="inlineStr">
        <is>
          <t/>
        </is>
      </c>
      <c r="K43" s="19" t="inlineStr">
        <is>
          <t/>
        </is>
      </c>
      <c r="L43" s="20" t="inlineStr">
        <is>
          <t>+1 (310) 741-9912</t>
        </is>
      </c>
      <c r="M43" s="21" t="inlineStr">
        <is>
          <t>Emmet McDermott</t>
        </is>
      </c>
      <c r="N43" s="22" t="inlineStr">
        <is>
          <t>Executive Officer &amp; Board Member</t>
        </is>
      </c>
      <c r="O43" s="23" t="inlineStr">
        <is>
          <t/>
        </is>
      </c>
      <c r="P43" s="24" t="inlineStr">
        <is>
          <t>+1 (310) 741-9912</t>
        </is>
      </c>
      <c r="Q43" s="25" t="n">
        <v>2016.0</v>
      </c>
      <c r="R43" s="113">
        <f>HYPERLINK("https://my.pitchbook.com?c=171150-31", "View company online")</f>
      </c>
    </row>
    <row r="44">
      <c r="A44" s="27" t="inlineStr">
        <is>
          <t>55613-53</t>
        </is>
      </c>
      <c r="B44" s="28" t="inlineStr">
        <is>
          <t>Zingaya</t>
        </is>
      </c>
      <c r="C44" s="29" t="inlineStr">
        <is>
          <t>94303</t>
        </is>
      </c>
      <c r="D44" s="30" t="inlineStr">
        <is>
          <t>Developer of web-based VoIP applications. The company enables voice calls through any computer, right from a webpage. It offers seamless voice calling capability to website operators - whether it's a huge e-commerce enterprise or a startup company.</t>
        </is>
      </c>
      <c r="E44" s="31" t="inlineStr">
        <is>
          <t>Communication Software</t>
        </is>
      </c>
      <c r="F44" s="32" t="inlineStr">
        <is>
          <t>Palo Alto, CA</t>
        </is>
      </c>
      <c r="G44" s="33" t="inlineStr">
        <is>
          <t>Privately Held (backing)</t>
        </is>
      </c>
      <c r="H44" s="34" t="inlineStr">
        <is>
          <t>Angel-Backed</t>
        </is>
      </c>
      <c r="I44" s="35" t="inlineStr">
        <is>
          <t>Esther Dyson, Individual Investor, Open Capital</t>
        </is>
      </c>
      <c r="J44" s="36" t="inlineStr">
        <is>
          <t>www.zingaya.com</t>
        </is>
      </c>
      <c r="K44" s="37" t="inlineStr">
        <is>
          <t>info@zingaya.com</t>
        </is>
      </c>
      <c r="L44" s="38" t="inlineStr">
        <is>
          <t>+1 (650) 618-9542</t>
        </is>
      </c>
      <c r="M44" s="39" t="inlineStr">
        <is>
          <t>Alexey Aylarov</t>
        </is>
      </c>
      <c r="N44" s="40" t="inlineStr">
        <is>
          <t>Chief Executive Officer &amp; Co-Founder</t>
        </is>
      </c>
      <c r="O44" s="41" t="inlineStr">
        <is>
          <t>alexey@zingaya.com</t>
        </is>
      </c>
      <c r="P44" s="42" t="inlineStr">
        <is>
          <t>+1 (650) 618-9542</t>
        </is>
      </c>
      <c r="Q44" s="43" t="n">
        <v>2009.0</v>
      </c>
      <c r="R44" s="114">
        <f>HYPERLINK("https://my.pitchbook.com?c=55613-53", "View company online")</f>
      </c>
    </row>
    <row r="45">
      <c r="A45" s="9" t="inlineStr">
        <is>
          <t>53486-29</t>
        </is>
      </c>
      <c r="B45" s="10" t="inlineStr">
        <is>
          <t>ZimpleMoney</t>
        </is>
      </c>
      <c r="C45" s="11" t="inlineStr">
        <is>
          <t>92627</t>
        </is>
      </c>
      <c r="D45" s="12" t="inlineStr">
        <is>
          <t>Provider of cloud-based software platform to manage financial agreements and make payments.</t>
        </is>
      </c>
      <c r="E45" s="13" t="inlineStr">
        <is>
          <t>Systems and Information Management</t>
        </is>
      </c>
      <c r="F45" s="14" t="inlineStr">
        <is>
          <t>Costa Mesa, CA</t>
        </is>
      </c>
      <c r="G45" s="15" t="inlineStr">
        <is>
          <t>Privately Held (backing)</t>
        </is>
      </c>
      <c r="H45" s="16" t="inlineStr">
        <is>
          <t>Angel-Backed</t>
        </is>
      </c>
      <c r="I45" s="17" t="inlineStr">
        <is>
          <t>Individual Investor, Scott McGarrigle, Steven Rabago</t>
        </is>
      </c>
      <c r="J45" s="18" t="inlineStr">
        <is>
          <t>www.zimplemoney.com</t>
        </is>
      </c>
      <c r="K45" s="19" t="inlineStr">
        <is>
          <t/>
        </is>
      </c>
      <c r="L45" s="20" t="inlineStr">
        <is>
          <t>+1 (949) 209-9844</t>
        </is>
      </c>
      <c r="M45" s="21" t="inlineStr">
        <is>
          <t>Steven Rabago</t>
        </is>
      </c>
      <c r="N45" s="22" t="inlineStr">
        <is>
          <t>Chief Executive Officer &amp; Founder</t>
        </is>
      </c>
      <c r="O45" s="23" t="inlineStr">
        <is>
          <t>steve.rabago@zimplemoney.com</t>
        </is>
      </c>
      <c r="P45" s="24" t="inlineStr">
        <is>
          <t>+1 (949) 209-9844</t>
        </is>
      </c>
      <c r="Q45" s="25" t="n">
        <v>2008.0</v>
      </c>
      <c r="R45" s="113">
        <f>HYPERLINK("https://my.pitchbook.com?c=53486-29", "View company online")</f>
      </c>
    </row>
    <row r="46">
      <c r="A46" s="27" t="inlineStr">
        <is>
          <t>103725-10</t>
        </is>
      </c>
      <c r="B46" s="28" t="inlineStr">
        <is>
          <t>Zikto</t>
        </is>
      </c>
      <c r="C46" s="29" t="inlineStr">
        <is>
          <t>90755</t>
        </is>
      </c>
      <c r="D46" s="30" t="inlineStr">
        <is>
          <t>Developer of a wearable wrist band. The company measures the user's arm swings when they are walking, and gives them a haptic feedback if they are not walking in the right posture.</t>
        </is>
      </c>
      <c r="E46" s="31" t="inlineStr">
        <is>
          <t>Electronics (B2C)</t>
        </is>
      </c>
      <c r="F46" s="32" t="inlineStr">
        <is>
          <t>Signal Hill, CA</t>
        </is>
      </c>
      <c r="G46" s="33" t="inlineStr">
        <is>
          <t>Privately Held (backing)</t>
        </is>
      </c>
      <c r="H46" s="34" t="inlineStr">
        <is>
          <t>Angel-Backed</t>
        </is>
      </c>
      <c r="I46" s="35" t="inlineStr">
        <is>
          <t/>
        </is>
      </c>
      <c r="J46" s="36" t="inlineStr">
        <is>
          <t>www.zikto.com</t>
        </is>
      </c>
      <c r="K46" s="37" t="inlineStr">
        <is>
          <t>contact@zikto.com</t>
        </is>
      </c>
      <c r="L46" s="38" t="inlineStr">
        <is>
          <t/>
        </is>
      </c>
      <c r="M46" s="39" t="inlineStr">
        <is>
          <t>Ted Kim</t>
        </is>
      </c>
      <c r="N46" s="40" t="inlineStr">
        <is>
          <t>Co-Founder &amp; Chief Executive Officer</t>
        </is>
      </c>
      <c r="O46" s="41" t="inlineStr">
        <is>
          <t>ted@zikto.com</t>
        </is>
      </c>
      <c r="P46" s="42" t="inlineStr">
        <is>
          <t/>
        </is>
      </c>
      <c r="Q46" s="43" t="n">
        <v>2014.0</v>
      </c>
      <c r="R46" s="114">
        <f>HYPERLINK("https://my.pitchbook.com?c=103725-10", "View company online")</f>
      </c>
    </row>
    <row r="47">
      <c r="A47" s="9" t="inlineStr">
        <is>
          <t>111875-86</t>
        </is>
      </c>
      <c r="B47" s="10" t="inlineStr">
        <is>
          <t>Zikher</t>
        </is>
      </c>
      <c r="C47" s="11" t="inlineStr">
        <is>
          <t/>
        </is>
      </c>
      <c r="D47" s="12" t="inlineStr">
        <is>
          <t>Provider of security software. The company provides security software to companies in healthcare, finance, aviation, digital media, retail corporations and telecommunications against hackers and cyber espionage.</t>
        </is>
      </c>
      <c r="E47" s="13" t="inlineStr">
        <is>
          <t>Other Software</t>
        </is>
      </c>
      <c r="F47" s="14" t="inlineStr">
        <is>
          <t>San Francisco, CA</t>
        </is>
      </c>
      <c r="G47" s="15" t="inlineStr">
        <is>
          <t>Privately Held (backing)</t>
        </is>
      </c>
      <c r="H47" s="16" t="inlineStr">
        <is>
          <t>Angel-Backed</t>
        </is>
      </c>
      <c r="I47" s="17" t="inlineStr">
        <is>
          <t/>
        </is>
      </c>
      <c r="J47" s="18" t="inlineStr">
        <is>
          <t>www.zikher.com</t>
        </is>
      </c>
      <c r="K47" s="19" t="inlineStr">
        <is>
          <t>info@zikher.com</t>
        </is>
      </c>
      <c r="L47" s="20" t="inlineStr">
        <is>
          <t>+1 (415) 342-7637</t>
        </is>
      </c>
      <c r="M47" s="21" t="inlineStr">
        <is>
          <t>Amir Khan</t>
        </is>
      </c>
      <c r="N47" s="22" t="inlineStr">
        <is>
          <t>Founder</t>
        </is>
      </c>
      <c r="O47" s="23" t="inlineStr">
        <is>
          <t>amir@zikher.com</t>
        </is>
      </c>
      <c r="P47" s="24" t="inlineStr">
        <is>
          <t>+1 (415) 342-7637</t>
        </is>
      </c>
      <c r="Q47" s="25" t="n">
        <v>2015.0</v>
      </c>
      <c r="R47" s="113">
        <f>HYPERLINK("https://my.pitchbook.com?c=111875-86", "View company online")</f>
      </c>
    </row>
    <row r="48">
      <c r="A48" s="27" t="inlineStr">
        <is>
          <t>175735-72</t>
        </is>
      </c>
      <c r="B48" s="28" t="inlineStr">
        <is>
          <t>ziggedy</t>
        </is>
      </c>
      <c r="C48" s="86">
        <f>HYPERLINK("https://my.pitchbook.com?rrp=175735-72&amp;type=c", "This Company's information is not available to download. Need this Company? Request availability")</f>
      </c>
      <c r="D48" s="30" t="inlineStr">
        <is>
          <t/>
        </is>
      </c>
      <c r="E48" s="31" t="inlineStr">
        <is>
          <t/>
        </is>
      </c>
      <c r="F48" s="32" t="inlineStr">
        <is>
          <t/>
        </is>
      </c>
      <c r="G48" s="33" t="inlineStr">
        <is>
          <t/>
        </is>
      </c>
      <c r="H48" s="34" t="inlineStr">
        <is>
          <t/>
        </is>
      </c>
      <c r="I48" s="35" t="inlineStr">
        <is>
          <t/>
        </is>
      </c>
      <c r="J48" s="36" t="inlineStr">
        <is>
          <t/>
        </is>
      </c>
      <c r="K48" s="37" t="inlineStr">
        <is>
          <t/>
        </is>
      </c>
      <c r="L48" s="38" t="inlineStr">
        <is>
          <t/>
        </is>
      </c>
      <c r="M48" s="39" t="inlineStr">
        <is>
          <t/>
        </is>
      </c>
      <c r="N48" s="40" t="inlineStr">
        <is>
          <t/>
        </is>
      </c>
      <c r="O48" s="41" t="inlineStr">
        <is>
          <t/>
        </is>
      </c>
      <c r="P48" s="42" t="inlineStr">
        <is>
          <t/>
        </is>
      </c>
      <c r="Q48" s="43" t="inlineStr">
        <is>
          <t/>
        </is>
      </c>
      <c r="R48" s="44" t="inlineStr">
        <is>
          <t/>
        </is>
      </c>
    </row>
    <row r="49">
      <c r="A49" s="9" t="inlineStr">
        <is>
          <t>102916-18</t>
        </is>
      </c>
      <c r="B49" s="10" t="inlineStr">
        <is>
          <t>Zigabid</t>
        </is>
      </c>
      <c r="C49" s="11" t="inlineStr">
        <is>
          <t>91011</t>
        </is>
      </c>
      <c r="D49" s="12" t="inlineStr">
        <is>
          <t>Provider of an online ticketing platform. The company provides an ticketing application where buyers and sellers can interact and negotiate ticket prices for sports, theatre or concert tickets.</t>
        </is>
      </c>
      <c r="E49" s="13" t="inlineStr">
        <is>
          <t>Social Content</t>
        </is>
      </c>
      <c r="F49" s="14" t="inlineStr">
        <is>
          <t>La Cañada Flintridge, CA</t>
        </is>
      </c>
      <c r="G49" s="15" t="inlineStr">
        <is>
          <t>Privately Held (backing)</t>
        </is>
      </c>
      <c r="H49" s="16" t="inlineStr">
        <is>
          <t>Angel-Backed</t>
        </is>
      </c>
      <c r="I49" s="17" t="inlineStr">
        <is>
          <t/>
        </is>
      </c>
      <c r="J49" s="18" t="inlineStr">
        <is>
          <t>www.zigabid.com</t>
        </is>
      </c>
      <c r="K49" s="19" t="inlineStr">
        <is>
          <t>hello@zigabid.com</t>
        </is>
      </c>
      <c r="L49" s="20" t="inlineStr">
        <is>
          <t>+1 (866) 944-2243</t>
        </is>
      </c>
      <c r="M49" s="21" t="inlineStr">
        <is>
          <t>Daniel Rubendall</t>
        </is>
      </c>
      <c r="N49" s="22" t="inlineStr">
        <is>
          <t>Founder, Owner &amp; Chief Executive Officer</t>
        </is>
      </c>
      <c r="O49" s="23" t="inlineStr">
        <is>
          <t>dan@zigabid.com</t>
        </is>
      </c>
      <c r="P49" s="24" t="inlineStr">
        <is>
          <t>+1 (866) 944-2243</t>
        </is>
      </c>
      <c r="Q49" s="25" t="n">
        <v>1991.0</v>
      </c>
      <c r="R49" s="113">
        <f>HYPERLINK("https://my.pitchbook.com?c=102916-18", "View company online")</f>
      </c>
    </row>
    <row r="50">
      <c r="A50" s="27" t="inlineStr">
        <is>
          <t>120097-54</t>
        </is>
      </c>
      <c r="B50" s="28" t="inlineStr">
        <is>
          <t>Zeyos</t>
        </is>
      </c>
      <c r="C50" s="29" t="inlineStr">
        <is>
          <t>94301</t>
        </is>
      </c>
      <c r="D50" s="30" t="inlineStr">
        <is>
          <t>Provider of an intuitive business integration platform intended to unifies all the features of CRM and ERP. The company's platform integrates all business processes starting from e-mail and calendar to inventory and billing, enabling businesses to create a cloud based business operating system.</t>
        </is>
      </c>
      <c r="E50" s="31" t="inlineStr">
        <is>
          <t>Operating Systems Software</t>
        </is>
      </c>
      <c r="F50" s="32" t="inlineStr">
        <is>
          <t>Palo Alto, CA</t>
        </is>
      </c>
      <c r="G50" s="33" t="inlineStr">
        <is>
          <t>Privately Held (backing)</t>
        </is>
      </c>
      <c r="H50" s="34" t="inlineStr">
        <is>
          <t>Accelerator/Incubator Backed</t>
        </is>
      </c>
      <c r="I50" s="35" t="inlineStr">
        <is>
          <t>Galaxy Venture Capital, German Accelerator</t>
        </is>
      </c>
      <c r="J50" s="36" t="inlineStr">
        <is>
          <t>www.zeyos.com</t>
        </is>
      </c>
      <c r="K50" s="37" t="inlineStr">
        <is>
          <t/>
        </is>
      </c>
      <c r="L50" s="38" t="inlineStr">
        <is>
          <t>+1 (206) 905-9544</t>
        </is>
      </c>
      <c r="M50" s="39" t="inlineStr">
        <is>
          <t>Peter-Christoph Haider</t>
        </is>
      </c>
      <c r="N50" s="40" t="inlineStr">
        <is>
          <t>Co-Founder &amp; Chief Executive Officer</t>
        </is>
      </c>
      <c r="O50" s="41" t="inlineStr">
        <is>
          <t/>
        </is>
      </c>
      <c r="P50" s="42" t="inlineStr">
        <is>
          <t>+1 (206) 905-9544</t>
        </is>
      </c>
      <c r="Q50" s="43" t="n">
        <v>2009.0</v>
      </c>
      <c r="R50" s="114">
        <f>HYPERLINK("https://my.pitchbook.com?c=120097-54", "View company online")</f>
      </c>
    </row>
    <row r="51">
      <c r="A51" s="9" t="inlineStr">
        <is>
          <t>103844-08</t>
        </is>
      </c>
      <c r="B51" s="10" t="inlineStr">
        <is>
          <t>ZexSports.com</t>
        </is>
      </c>
      <c r="C51" s="11" t="inlineStr">
        <is>
          <t>90404</t>
        </is>
      </c>
      <c r="D51" s="12" t="inlineStr">
        <is>
          <t>Provider of an online platform for collecting data. The company provides an online platform to collect demographic data and personal data and also offers identity protection of the users.</t>
        </is>
      </c>
      <c r="E51" s="13" t="inlineStr">
        <is>
          <t>Social Content</t>
        </is>
      </c>
      <c r="F51" s="14" t="inlineStr">
        <is>
          <t>Santa Monica, CA</t>
        </is>
      </c>
      <c r="G51" s="15" t="inlineStr">
        <is>
          <t>Privately Held (backing)</t>
        </is>
      </c>
      <c r="H51" s="16" t="inlineStr">
        <is>
          <t>Angel-Backed</t>
        </is>
      </c>
      <c r="I51" s="17" t="inlineStr">
        <is>
          <t/>
        </is>
      </c>
      <c r="J51" s="18" t="inlineStr">
        <is>
          <t>www.zexsports.com</t>
        </is>
      </c>
      <c r="K51" s="19" t="inlineStr">
        <is>
          <t/>
        </is>
      </c>
      <c r="L51" s="20" t="inlineStr">
        <is>
          <t/>
        </is>
      </c>
      <c r="M51" s="21" t="inlineStr">
        <is>
          <t/>
        </is>
      </c>
      <c r="N51" s="22" t="inlineStr">
        <is>
          <t/>
        </is>
      </c>
      <c r="O51" s="23" t="inlineStr">
        <is>
          <t/>
        </is>
      </c>
      <c r="P51" s="24" t="inlineStr">
        <is>
          <t/>
        </is>
      </c>
      <c r="Q51" s="25" t="n">
        <v>2003.0</v>
      </c>
      <c r="R51" s="113">
        <f>HYPERLINK("https://my.pitchbook.com?c=103844-08", "View company online")</f>
      </c>
    </row>
    <row r="52">
      <c r="A52" s="27" t="inlineStr">
        <is>
          <t>128877-58</t>
        </is>
      </c>
      <c r="B52" s="28" t="inlineStr">
        <is>
          <t>Zev Technologies</t>
        </is>
      </c>
      <c r="C52" s="29" t="inlineStr">
        <is>
          <t>93033</t>
        </is>
      </c>
      <c r="D52" s="30" t="inlineStr">
        <is>
          <t>Manufacturer and seller of firearms parts and accessories intended to offer technologically advanced aftermarket pistol components and accessories. The company's firearms parts and accessories specializes in offering Glock pistol components such as frame parts, slide parts, guide rods, barrels, shooting gears and strikers, enabling military, defense and law enforcement industries to get pistol parts.</t>
        </is>
      </c>
      <c r="E52" s="31" t="inlineStr">
        <is>
          <t>Other Commercial Products</t>
        </is>
      </c>
      <c r="F52" s="32" t="inlineStr">
        <is>
          <t>Oxnard, CA</t>
        </is>
      </c>
      <c r="G52" s="33" t="inlineStr">
        <is>
          <t>Privately Held (backing)</t>
        </is>
      </c>
      <c r="H52" s="34" t="inlineStr">
        <is>
          <t>Angel-Backed</t>
        </is>
      </c>
      <c r="I52" s="35" t="inlineStr">
        <is>
          <t>Department of Energy, Pasadena Angels</t>
        </is>
      </c>
      <c r="J52" s="36" t="inlineStr">
        <is>
          <t>www.zevtechnologies.com</t>
        </is>
      </c>
      <c r="K52" s="37" t="inlineStr">
        <is>
          <t>dave@zevtechnologies.com</t>
        </is>
      </c>
      <c r="L52" s="38" t="inlineStr">
        <is>
          <t>+1 (805) 486-5800</t>
        </is>
      </c>
      <c r="M52" s="39" t="inlineStr">
        <is>
          <t>Matthew Ridenour</t>
        </is>
      </c>
      <c r="N52" s="40" t="inlineStr">
        <is>
          <t>Chief Executive Officer &amp; Board Member</t>
        </is>
      </c>
      <c r="O52" s="41" t="inlineStr">
        <is>
          <t/>
        </is>
      </c>
      <c r="P52" s="42" t="inlineStr">
        <is>
          <t>+1 (805) 486-5800</t>
        </is>
      </c>
      <c r="Q52" s="43" t="n">
        <v>2008.0</v>
      </c>
      <c r="R52" s="114">
        <f>HYPERLINK("https://my.pitchbook.com?c=128877-58", "View company online")</f>
      </c>
    </row>
    <row r="53">
      <c r="A53" s="9" t="inlineStr">
        <is>
          <t>120351-97</t>
        </is>
      </c>
      <c r="B53" s="10" t="inlineStr">
        <is>
          <t>Zesty.io</t>
        </is>
      </c>
      <c r="C53" s="11" t="inlineStr">
        <is>
          <t>92101</t>
        </is>
      </c>
      <c r="D53" s="12" t="inlineStr">
        <is>
          <t>Provider of a SaaS-based platform intended to automate the process of website content management. The company's Web content management system is a cloud driven platform that tracks and recommends updated contents from the Web and deploys brand, marketing and content websites, enabling businesses to build content-rich websites that engage customers and accelerate sales, reduce labor and inefficiencies found in traditional content management systems.</t>
        </is>
      </c>
      <c r="E53" s="13" t="inlineStr">
        <is>
          <t>Business/Productivity Software</t>
        </is>
      </c>
      <c r="F53" s="14" t="inlineStr">
        <is>
          <t>San Diego, CA</t>
        </is>
      </c>
      <c r="G53" s="15" t="inlineStr">
        <is>
          <t>Privately Held (backing)</t>
        </is>
      </c>
      <c r="H53" s="16" t="inlineStr">
        <is>
          <t>Angel-Backed</t>
        </is>
      </c>
      <c r="I53" s="17" t="inlineStr">
        <is>
          <t>Andrew Ballester, Dave Hagewood, Taner Halicioglu</t>
        </is>
      </c>
      <c r="J53" s="18" t="inlineStr">
        <is>
          <t>www.zesty.io</t>
        </is>
      </c>
      <c r="K53" s="19" t="inlineStr">
        <is>
          <t>info@zesty.io</t>
        </is>
      </c>
      <c r="L53" s="20" t="inlineStr">
        <is>
          <t>+1 (844) 469-3789</t>
        </is>
      </c>
      <c r="M53" s="21" t="inlineStr">
        <is>
          <t>Randy Apuzzo</t>
        </is>
      </c>
      <c r="N53" s="22" t="inlineStr">
        <is>
          <t>Co-Founder &amp; Chief Executive Officer</t>
        </is>
      </c>
      <c r="O53" s="23" t="inlineStr">
        <is>
          <t>randy@zesty.io</t>
        </is>
      </c>
      <c r="P53" s="24" t="inlineStr">
        <is>
          <t>+1 (844) 469-3789</t>
        </is>
      </c>
      <c r="Q53" s="25" t="n">
        <v>2010.0</v>
      </c>
      <c r="R53" s="113">
        <f>HYPERLINK("https://my.pitchbook.com?c=120351-97", "View company online")</f>
      </c>
    </row>
    <row r="54">
      <c r="A54" s="27" t="inlineStr">
        <is>
          <t>82753-93</t>
        </is>
      </c>
      <c r="B54" s="28" t="inlineStr">
        <is>
          <t>Zertica</t>
        </is>
      </c>
      <c r="C54" s="29" t="inlineStr">
        <is>
          <t/>
        </is>
      </c>
      <c r="D54" s="30" t="inlineStr">
        <is>
          <t>Provider of a designer-focused 3D printing marketplace. The company focuses on 3D printing, CAD, 3D scanning, and robotics technologies.</t>
        </is>
      </c>
      <c r="E54" s="31" t="inlineStr">
        <is>
          <t>Printing Services (B2B)</t>
        </is>
      </c>
      <c r="F54" s="32" t="inlineStr">
        <is>
          <t>Santa Monica, CA</t>
        </is>
      </c>
      <c r="G54" s="33" t="inlineStr">
        <is>
          <t>Privately Held (backing)</t>
        </is>
      </c>
      <c r="H54" s="34" t="inlineStr">
        <is>
          <t>Accelerator/Incubator Backed</t>
        </is>
      </c>
      <c r="I54" s="35" t="inlineStr">
        <is>
          <t>StartEngine.com</t>
        </is>
      </c>
      <c r="J54" s="36" t="inlineStr">
        <is>
          <t>www.zertica.com</t>
        </is>
      </c>
      <c r="K54" s="37" t="inlineStr">
        <is>
          <t>info@cadsurf.com</t>
        </is>
      </c>
      <c r="L54" s="38" t="inlineStr">
        <is>
          <t>+1 (661) 993-5660</t>
        </is>
      </c>
      <c r="M54" s="39" t="inlineStr">
        <is>
          <t>Eric DiCorrado</t>
        </is>
      </c>
      <c r="N54" s="40" t="inlineStr">
        <is>
          <t>Co-Founder &amp; Chief Executive Officer</t>
        </is>
      </c>
      <c r="O54" s="41" t="inlineStr">
        <is>
          <t/>
        </is>
      </c>
      <c r="P54" s="42" t="inlineStr">
        <is>
          <t>+1 (661) 993-5660</t>
        </is>
      </c>
      <c r="Q54" s="43" t="n">
        <v>2012.0</v>
      </c>
      <c r="R54" s="114">
        <f>HYPERLINK("https://my.pitchbook.com?c=82753-93", "View company online")</f>
      </c>
    </row>
    <row r="55">
      <c r="A55" s="9" t="inlineStr">
        <is>
          <t>167437-72</t>
        </is>
      </c>
      <c r="B55" s="10" t="inlineStr">
        <is>
          <t>ZeroUI</t>
        </is>
      </c>
      <c r="C55" s="11" t="inlineStr">
        <is>
          <t>47906</t>
        </is>
      </c>
      <c r="D55" s="12" t="inlineStr">
        <is>
          <t>Developer of hand gesture controlled robotic toy platform designed to create a variety of robots and control them with a flick of a wrist and bend of a finger. The company's hand gesture controlled robotic toy platform uses natural user interfaces, machine Learning and artificial intelligence to control robots through hand gestures, multi-touch and haptic feedback and also offers modular robotic toys construction kit and 3D modeling software, enabling users to control their robots.</t>
        </is>
      </c>
      <c r="E55" s="13" t="inlineStr">
        <is>
          <t>Recreational Goods</t>
        </is>
      </c>
      <c r="F55" s="14" t="inlineStr">
        <is>
          <t>West Lafayette, IN</t>
        </is>
      </c>
      <c r="G55" s="15" t="inlineStr">
        <is>
          <t>Privately Held (backing)</t>
        </is>
      </c>
      <c r="H55" s="16" t="inlineStr">
        <is>
          <t>Accelerator/Incubator Backed</t>
        </is>
      </c>
      <c r="I55" s="17" t="inlineStr">
        <is>
          <t>Elevate Ventures, National Science Foundation, Purdue Foundry</t>
        </is>
      </c>
      <c r="J55" s="18" t="inlineStr">
        <is>
          <t>www.zeroui.com</t>
        </is>
      </c>
      <c r="K55" s="19" t="inlineStr">
        <is>
          <t>info@zeroui.com</t>
        </is>
      </c>
      <c r="L55" s="20" t="inlineStr">
        <is>
          <t>+1 (408) 489-8622</t>
        </is>
      </c>
      <c r="M55" s="21" t="inlineStr">
        <is>
          <t>Raja Jasti</t>
        </is>
      </c>
      <c r="N55" s="22" t="inlineStr">
        <is>
          <t>Co-Founder &amp; Chief Executive Officer</t>
        </is>
      </c>
      <c r="O55" s="23" t="inlineStr">
        <is>
          <t>raja@zeroui.com</t>
        </is>
      </c>
      <c r="P55" s="24" t="inlineStr">
        <is>
          <t>+1 (408) 489-8622</t>
        </is>
      </c>
      <c r="Q55" s="25" t="n">
        <v>2012.0</v>
      </c>
      <c r="R55" s="113">
        <f>HYPERLINK("https://my.pitchbook.com?c=167437-72", "View company online")</f>
      </c>
    </row>
    <row r="56">
      <c r="A56" s="27" t="inlineStr">
        <is>
          <t>104527-00</t>
        </is>
      </c>
      <c r="B56" s="28" t="inlineStr">
        <is>
          <t>ZeroTier</t>
        </is>
      </c>
      <c r="C56" s="29" t="inlineStr">
        <is>
          <t>92614</t>
        </is>
      </c>
      <c r="D56" s="30" t="inlineStr">
        <is>
          <t>Provider of network virtualization services. The company provides a virtual private cloud across providers and data centers.</t>
        </is>
      </c>
      <c r="E56" s="31" t="inlineStr">
        <is>
          <t>Other Communications and Networking</t>
        </is>
      </c>
      <c r="F56" s="32" t="inlineStr">
        <is>
          <t>Irvine, CA</t>
        </is>
      </c>
      <c r="G56" s="33" t="inlineStr">
        <is>
          <t>Privately Held (backing)</t>
        </is>
      </c>
      <c r="H56" s="34" t="inlineStr">
        <is>
          <t>Angel-Backed</t>
        </is>
      </c>
      <c r="I56" s="35" t="inlineStr">
        <is>
          <t/>
        </is>
      </c>
      <c r="J56" s="36" t="inlineStr">
        <is>
          <t>www.zerotier.com</t>
        </is>
      </c>
      <c r="K56" s="37" t="inlineStr">
        <is>
          <t/>
        </is>
      </c>
      <c r="L56" s="38" t="inlineStr">
        <is>
          <t>+1 (949) 229-5167</t>
        </is>
      </c>
      <c r="M56" s="39" t="inlineStr">
        <is>
          <t>Adam Ierymenko</t>
        </is>
      </c>
      <c r="N56" s="40" t="inlineStr">
        <is>
          <t>Founder, Chief Executive Officer &amp; President</t>
        </is>
      </c>
      <c r="O56" s="41" t="inlineStr">
        <is>
          <t>adam.ierymenko@zerotier.com</t>
        </is>
      </c>
      <c r="P56" s="42" t="inlineStr">
        <is>
          <t>+1 (949) 229-5167</t>
        </is>
      </c>
      <c r="Q56" s="43" t="n">
        <v>2011.0</v>
      </c>
      <c r="R56" s="114">
        <f>HYPERLINK("https://my.pitchbook.com?c=104527-00", "View company online")</f>
      </c>
    </row>
    <row r="57">
      <c r="A57" s="9" t="inlineStr">
        <is>
          <t>167999-05</t>
        </is>
      </c>
      <c r="B57" s="10" t="inlineStr">
        <is>
          <t>Zero Edge Partners</t>
        </is>
      </c>
      <c r="C57" s="11" t="inlineStr">
        <is>
          <t/>
        </is>
      </c>
      <c r="D57" s="12" t="inlineStr">
        <is>
          <t>The company is currently operating in Stealth mode.</t>
        </is>
      </c>
      <c r="E57" s="13" t="inlineStr">
        <is>
          <t>Other Commercial Products</t>
        </is>
      </c>
      <c r="F57" s="14" t="inlineStr">
        <is>
          <t>Palo Alto, CA</t>
        </is>
      </c>
      <c r="G57" s="15" t="inlineStr">
        <is>
          <t>Privately Held (backing)</t>
        </is>
      </c>
      <c r="H57" s="16" t="inlineStr">
        <is>
          <t>Accelerator/Incubator Backed</t>
        </is>
      </c>
      <c r="I57" s="17" t="inlineStr">
        <is>
          <t>Alpere Advisors</t>
        </is>
      </c>
      <c r="J57" s="18" t="inlineStr">
        <is>
          <t>www.zeroedgepartners.com</t>
        </is>
      </c>
      <c r="K57" s="19" t="inlineStr">
        <is>
          <t/>
        </is>
      </c>
      <c r="L57" s="20" t="inlineStr">
        <is>
          <t/>
        </is>
      </c>
      <c r="M57" s="21" t="inlineStr">
        <is>
          <t/>
        </is>
      </c>
      <c r="N57" s="22" t="inlineStr">
        <is>
          <t/>
        </is>
      </c>
      <c r="O57" s="23" t="inlineStr">
        <is>
          <t/>
        </is>
      </c>
      <c r="P57" s="24" t="inlineStr">
        <is>
          <t/>
        </is>
      </c>
      <c r="Q57" s="25" t="inlineStr">
        <is>
          <t/>
        </is>
      </c>
      <c r="R57" s="113">
        <f>HYPERLINK("https://my.pitchbook.com?c=167999-05", "View company online")</f>
      </c>
    </row>
    <row r="58">
      <c r="A58" s="27" t="inlineStr">
        <is>
          <t>103532-32</t>
        </is>
      </c>
      <c r="B58" s="28" t="inlineStr">
        <is>
          <t>Zerg</t>
        </is>
      </c>
      <c r="C58" s="29" t="inlineStr">
        <is>
          <t/>
        </is>
      </c>
      <c r="D58" s="30" t="inlineStr">
        <is>
          <t>Provider of a social network platform for MMO gamers. The company allows gamers to connect outside of the games with the same anonymity that the games provide.</t>
        </is>
      </c>
      <c r="E58" s="31" t="inlineStr">
        <is>
          <t>Communication Software</t>
        </is>
      </c>
      <c r="F58" s="32" t="inlineStr">
        <is>
          <t>Los Angeles, CA</t>
        </is>
      </c>
      <c r="G58" s="33" t="inlineStr">
        <is>
          <t>Privately Held (backing)</t>
        </is>
      </c>
      <c r="H58" s="34" t="inlineStr">
        <is>
          <t>Angel-Backed</t>
        </is>
      </c>
      <c r="I58" s="35" t="inlineStr">
        <is>
          <t/>
        </is>
      </c>
      <c r="J58" s="36" t="inlineStr">
        <is>
          <t>www.zergid.com</t>
        </is>
      </c>
      <c r="K58" s="37" t="inlineStr">
        <is>
          <t>info@zergid.com</t>
        </is>
      </c>
      <c r="L58" s="38" t="inlineStr">
        <is>
          <t/>
        </is>
      </c>
      <c r="M58" s="39" t="inlineStr">
        <is>
          <t>Alex Albrecht</t>
        </is>
      </c>
      <c r="N58" s="40" t="inlineStr">
        <is>
          <t>Co-Founder &amp; CSO</t>
        </is>
      </c>
      <c r="O58" s="41" t="inlineStr">
        <is>
          <t>alex@zergid.com</t>
        </is>
      </c>
      <c r="P58" s="42" t="inlineStr">
        <is>
          <t/>
        </is>
      </c>
      <c r="Q58" s="43" t="n">
        <v>2012.0</v>
      </c>
      <c r="R58" s="114">
        <f>HYPERLINK("https://my.pitchbook.com?c=103532-32", "View company online")</f>
      </c>
    </row>
    <row r="59">
      <c r="A59" s="9" t="inlineStr">
        <is>
          <t>121694-86</t>
        </is>
      </c>
      <c r="B59" s="10" t="inlineStr">
        <is>
          <t>ZEPHYR Digital</t>
        </is>
      </c>
      <c r="C59" s="85">
        <f>HYPERLINK("https://my.pitchbook.com?rrp=121694-86&amp;type=c", "This Company's information is not available to download. Need this Company? Request availability")</f>
      </c>
      <c r="D59" s="12" t="inlineStr">
        <is>
          <t/>
        </is>
      </c>
      <c r="E59" s="13" t="inlineStr">
        <is>
          <t/>
        </is>
      </c>
      <c r="F59" s="14" t="inlineStr">
        <is>
          <t/>
        </is>
      </c>
      <c r="G59" s="15" t="inlineStr">
        <is>
          <t/>
        </is>
      </c>
      <c r="H59" s="16" t="inlineStr">
        <is>
          <t/>
        </is>
      </c>
      <c r="I59" s="17" t="inlineStr">
        <is>
          <t/>
        </is>
      </c>
      <c r="J59" s="18" t="inlineStr">
        <is>
          <t/>
        </is>
      </c>
      <c r="K59" s="19" t="inlineStr">
        <is>
          <t/>
        </is>
      </c>
      <c r="L59" s="20" t="inlineStr">
        <is>
          <t/>
        </is>
      </c>
      <c r="M59" s="21" t="inlineStr">
        <is>
          <t/>
        </is>
      </c>
      <c r="N59" s="22" t="inlineStr">
        <is>
          <t/>
        </is>
      </c>
      <c r="O59" s="23" t="inlineStr">
        <is>
          <t/>
        </is>
      </c>
      <c r="P59" s="24" t="inlineStr">
        <is>
          <t/>
        </is>
      </c>
      <c r="Q59" s="25" t="inlineStr">
        <is>
          <t/>
        </is>
      </c>
      <c r="R59" s="26" t="inlineStr">
        <is>
          <t/>
        </is>
      </c>
    </row>
    <row r="60">
      <c r="A60" s="27" t="inlineStr">
        <is>
          <t>103842-91</t>
        </is>
      </c>
      <c r="B60" s="28" t="inlineStr">
        <is>
          <t>Zenytime</t>
        </is>
      </c>
      <c r="C60" s="29" t="inlineStr">
        <is>
          <t/>
        </is>
      </c>
      <c r="D60" s="30" t="inlineStr">
        <is>
          <t>Developer of a science and technology platform. The company introduces a wellness connected solution that helps brain build better responses to stress.</t>
        </is>
      </c>
      <c r="E60" s="31" t="inlineStr">
        <is>
          <t>Social/Platform Software</t>
        </is>
      </c>
      <c r="F60" s="32" t="inlineStr">
        <is>
          <t>San Francisco, CA</t>
        </is>
      </c>
      <c r="G60" s="33" t="inlineStr">
        <is>
          <t>Privately Held (backing)</t>
        </is>
      </c>
      <c r="H60" s="34" t="inlineStr">
        <is>
          <t>Angel-Backed</t>
        </is>
      </c>
      <c r="I60" s="35" t="inlineStr">
        <is>
          <t/>
        </is>
      </c>
      <c r="J60" s="36" t="inlineStr">
        <is>
          <t>www.zenytime.com</t>
        </is>
      </c>
      <c r="K60" s="37" t="inlineStr">
        <is>
          <t/>
        </is>
      </c>
      <c r="L60" s="38" t="inlineStr">
        <is>
          <t/>
        </is>
      </c>
      <c r="M60" s="39" t="inlineStr">
        <is>
          <t>Daniel Eyman</t>
        </is>
      </c>
      <c r="N60" s="40" t="inlineStr">
        <is>
          <t>Chief Financial Officer</t>
        </is>
      </c>
      <c r="O60" s="41" t="inlineStr">
        <is>
          <t>dan@meldval.com</t>
        </is>
      </c>
      <c r="P60" s="42" t="inlineStr">
        <is>
          <t>+1 (206) 669-8322</t>
        </is>
      </c>
      <c r="Q60" s="43" t="n">
        <v>2013.0</v>
      </c>
      <c r="R60" s="114">
        <f>HYPERLINK("https://my.pitchbook.com?c=103842-91", "View company online")</f>
      </c>
    </row>
    <row r="61">
      <c r="A61" s="9" t="inlineStr">
        <is>
          <t>103531-96</t>
        </is>
      </c>
      <c r="B61" s="10" t="inlineStr">
        <is>
          <t>Zent</t>
        </is>
      </c>
      <c r="C61" s="11" t="inlineStr">
        <is>
          <t>94301</t>
        </is>
      </c>
      <c r="D61" s="12" t="inlineStr">
        <is>
          <t>Provider of eyewear repairing services. The company engages in the repair and modifications of sunglasses and eyeglasses.</t>
        </is>
      </c>
      <c r="E61" s="13" t="inlineStr">
        <is>
          <t>Other Services (B2C Non-Financial)</t>
        </is>
      </c>
      <c r="F61" s="14" t="inlineStr">
        <is>
          <t>Palo Alto, CA</t>
        </is>
      </c>
      <c r="G61" s="15" t="inlineStr">
        <is>
          <t>Privately Held (backing)</t>
        </is>
      </c>
      <c r="H61" s="16" t="inlineStr">
        <is>
          <t>Angel-Backed</t>
        </is>
      </c>
      <c r="I61" s="17" t="inlineStr">
        <is>
          <t/>
        </is>
      </c>
      <c r="J61" s="18" t="inlineStr">
        <is>
          <t>www.zenttech.com</t>
        </is>
      </c>
      <c r="K61" s="19" t="inlineStr">
        <is>
          <t>contact@zenttech.com</t>
        </is>
      </c>
      <c r="L61" s="20" t="inlineStr">
        <is>
          <t/>
        </is>
      </c>
      <c r="M61" s="21" t="inlineStr">
        <is>
          <t>Thomas Armer</t>
        </is>
      </c>
      <c r="N61" s="22" t="inlineStr">
        <is>
          <t>President &amp; Member of the Board of Directors</t>
        </is>
      </c>
      <c r="O61" s="23" t="inlineStr">
        <is>
          <t/>
        </is>
      </c>
      <c r="P61" s="24" t="inlineStr">
        <is>
          <t>+1 (408) 309-3768</t>
        </is>
      </c>
      <c r="Q61" s="25" t="n">
        <v>2013.0</v>
      </c>
      <c r="R61" s="113">
        <f>HYPERLINK("https://my.pitchbook.com?c=103531-96", "View company online")</f>
      </c>
    </row>
    <row r="62">
      <c r="A62" s="27" t="inlineStr">
        <is>
          <t>171667-09</t>
        </is>
      </c>
      <c r="B62" s="28" t="inlineStr">
        <is>
          <t>ZenSports</t>
        </is>
      </c>
      <c r="C62" s="86">
        <f>HYPERLINK("https://my.pitchbook.com?rrp=171667-09&amp;type=c", "This Company's information is not available to download. Need this Company? Request availability")</f>
      </c>
      <c r="D62" s="30" t="inlineStr">
        <is>
          <t/>
        </is>
      </c>
      <c r="E62" s="31" t="inlineStr">
        <is>
          <t/>
        </is>
      </c>
      <c r="F62" s="32" t="inlineStr">
        <is>
          <t/>
        </is>
      </c>
      <c r="G62" s="33" t="inlineStr">
        <is>
          <t/>
        </is>
      </c>
      <c r="H62" s="34" t="inlineStr">
        <is>
          <t/>
        </is>
      </c>
      <c r="I62" s="35" t="inlineStr">
        <is>
          <t/>
        </is>
      </c>
      <c r="J62" s="36" t="inlineStr">
        <is>
          <t/>
        </is>
      </c>
      <c r="K62" s="37" t="inlineStr">
        <is>
          <t/>
        </is>
      </c>
      <c r="L62" s="38" t="inlineStr">
        <is>
          <t/>
        </is>
      </c>
      <c r="M62" s="39" t="inlineStr">
        <is>
          <t/>
        </is>
      </c>
      <c r="N62" s="40" t="inlineStr">
        <is>
          <t/>
        </is>
      </c>
      <c r="O62" s="41" t="inlineStr">
        <is>
          <t/>
        </is>
      </c>
      <c r="P62" s="42" t="inlineStr">
        <is>
          <t/>
        </is>
      </c>
      <c r="Q62" s="43" t="inlineStr">
        <is>
          <t/>
        </is>
      </c>
      <c r="R62" s="44" t="inlineStr">
        <is>
          <t/>
        </is>
      </c>
    </row>
    <row r="63">
      <c r="A63" s="9" t="inlineStr">
        <is>
          <t>181891-45</t>
        </is>
      </c>
      <c r="B63" s="10" t="inlineStr">
        <is>
          <t>Zenobia Therapeutics</t>
        </is>
      </c>
      <c r="C63" s="11" t="inlineStr">
        <is>
          <t>92121</t>
        </is>
      </c>
      <c r="D63" s="12" t="inlineStr">
        <is>
          <t>Developer of medical treatments designed to treat neurodegenerative diseases. The company's medical treatments uses fragment-based therapies and provides tools that helps researchers to complete target validation and lead discovery programs, enabling them to discover treatments for neurology related diseases.</t>
        </is>
      </c>
      <c r="E63" s="13" t="inlineStr">
        <is>
          <t>Biotechnology</t>
        </is>
      </c>
      <c r="F63" s="14" t="inlineStr">
        <is>
          <t>San Diego, CA</t>
        </is>
      </c>
      <c r="G63" s="15" t="inlineStr">
        <is>
          <t>Privately Held (backing)</t>
        </is>
      </c>
      <c r="H63" s="16" t="inlineStr">
        <is>
          <t>Angel-Backed</t>
        </is>
      </c>
      <c r="I63" s="17" t="inlineStr">
        <is>
          <t>National Institutes of Health, U.S. Department of Health and Human Services</t>
        </is>
      </c>
      <c r="J63" s="18" t="inlineStr">
        <is>
          <t>www.zenobiafragments.com</t>
        </is>
      </c>
      <c r="K63" s="19" t="inlineStr">
        <is>
          <t>erika@zenobiatherapeutics.com</t>
        </is>
      </c>
      <c r="L63" s="20" t="inlineStr">
        <is>
          <t>+1 (858) 378-6031</t>
        </is>
      </c>
      <c r="M63" s="21" t="inlineStr">
        <is>
          <t>Vicki Nienanber</t>
        </is>
      </c>
      <c r="N63" s="22" t="inlineStr">
        <is>
          <t>Co-Founder, CSO &amp; President</t>
        </is>
      </c>
      <c r="O63" s="23" t="inlineStr">
        <is>
          <t>vicki@zenobiatherapeutics.com</t>
        </is>
      </c>
      <c r="P63" s="24" t="inlineStr">
        <is>
          <t>+1 (858) 378-6031</t>
        </is>
      </c>
      <c r="Q63" s="25" t="n">
        <v>2008.0</v>
      </c>
      <c r="R63" s="113">
        <f>HYPERLINK("https://my.pitchbook.com?c=181891-45", "View company online")</f>
      </c>
    </row>
    <row r="64">
      <c r="A64" s="27" t="inlineStr">
        <is>
          <t>166912-03</t>
        </is>
      </c>
      <c r="B64" s="28" t="inlineStr">
        <is>
          <t>Zenify Drinks</t>
        </is>
      </c>
      <c r="C64" s="29" t="inlineStr">
        <is>
          <t>90021</t>
        </is>
      </c>
      <c r="D64" s="30" t="inlineStr">
        <is>
          <t>Producer of a stress relieving beverage. The company produces a beverage which contains antioxidants that help increase serotonin and dopamine in the body to relieve stress naturally.</t>
        </is>
      </c>
      <c r="E64" s="31" t="inlineStr">
        <is>
          <t>Beverages</t>
        </is>
      </c>
      <c r="F64" s="32" t="inlineStr">
        <is>
          <t>Los Angeles, CA</t>
        </is>
      </c>
      <c r="G64" s="33" t="inlineStr">
        <is>
          <t>Privately Held (backing)</t>
        </is>
      </c>
      <c r="H64" s="34" t="inlineStr">
        <is>
          <t>Angel-Backed</t>
        </is>
      </c>
      <c r="I64" s="35" t="inlineStr">
        <is>
          <t>Brian Sweete</t>
        </is>
      </c>
      <c r="J64" s="36" t="inlineStr">
        <is>
          <t>www.zenifydrinks.com</t>
        </is>
      </c>
      <c r="K64" s="37" t="inlineStr">
        <is>
          <t>info@zenifyed.com</t>
        </is>
      </c>
      <c r="L64" s="38" t="inlineStr">
        <is>
          <t/>
        </is>
      </c>
      <c r="M64" s="39" t="inlineStr">
        <is>
          <t>Adam Rosenfeld</t>
        </is>
      </c>
      <c r="N64" s="40" t="inlineStr">
        <is>
          <t>Co-Founder &amp; Chief Executive Officer</t>
        </is>
      </c>
      <c r="O64" s="41" t="inlineStr">
        <is>
          <t>adam@zenifyed.com</t>
        </is>
      </c>
      <c r="P64" s="42" t="inlineStr">
        <is>
          <t/>
        </is>
      </c>
      <c r="Q64" s="43" t="n">
        <v>2010.0</v>
      </c>
      <c r="R64" s="114">
        <f>HYPERLINK("https://my.pitchbook.com?c=166912-03", "View company online")</f>
      </c>
    </row>
    <row r="65">
      <c r="A65" s="9" t="inlineStr">
        <is>
          <t>102914-38</t>
        </is>
      </c>
      <c r="B65" s="10" t="inlineStr">
        <is>
          <t>Zendure USA</t>
        </is>
      </c>
      <c r="C65" s="11" t="inlineStr">
        <is>
          <t/>
        </is>
      </c>
      <c r="D65" s="12" t="inlineStr">
        <is>
          <t>Manufacturer of consumer electronics. The company's product includes A-Series external battery and wall charger.</t>
        </is>
      </c>
      <c r="E65" s="13" t="inlineStr">
        <is>
          <t>Electronics (B2C)</t>
        </is>
      </c>
      <c r="F65" s="14" t="inlineStr">
        <is>
          <t>Palo Alto, CA</t>
        </is>
      </c>
      <c r="G65" s="15" t="inlineStr">
        <is>
          <t>Privately Held (backing)</t>
        </is>
      </c>
      <c r="H65" s="16" t="inlineStr">
        <is>
          <t>Angel-Backed</t>
        </is>
      </c>
      <c r="I65" s="17" t="inlineStr">
        <is>
          <t/>
        </is>
      </c>
      <c r="J65" s="18" t="inlineStr">
        <is>
          <t>www.zendure.com</t>
        </is>
      </c>
      <c r="K65" s="19" t="inlineStr">
        <is>
          <t>pr@zendure.com</t>
        </is>
      </c>
      <c r="L65" s="20" t="inlineStr">
        <is>
          <t/>
        </is>
      </c>
      <c r="M65" s="21" t="inlineStr">
        <is>
          <t>Bryan Liu</t>
        </is>
      </c>
      <c r="N65" s="22" t="inlineStr">
        <is>
          <t>Co-Founder &amp; Chief Executive Officer</t>
        </is>
      </c>
      <c r="O65" s="23" t="inlineStr">
        <is>
          <t>bryan@zendure.com</t>
        </is>
      </c>
      <c r="P65" s="24" t="inlineStr">
        <is>
          <t/>
        </is>
      </c>
      <c r="Q65" s="25" t="n">
        <v>2013.0</v>
      </c>
      <c r="R65" s="113">
        <f>HYPERLINK("https://my.pitchbook.com?c=102914-38", "View company online")</f>
      </c>
    </row>
    <row r="66">
      <c r="A66" s="27" t="inlineStr">
        <is>
          <t>104833-18</t>
        </is>
      </c>
      <c r="B66" s="28" t="inlineStr">
        <is>
          <t>ZenCX</t>
        </is>
      </c>
      <c r="C66" s="29" t="inlineStr">
        <is>
          <t>90267</t>
        </is>
      </c>
      <c r="D66" s="30" t="inlineStr">
        <is>
          <t>Developer of a customer analytics software. The company develops a software that enables bank customers to choose accounts based on their needs and profile.</t>
        </is>
      </c>
      <c r="E66" s="31" t="inlineStr">
        <is>
          <t>Application Software</t>
        </is>
      </c>
      <c r="F66" s="32" t="inlineStr">
        <is>
          <t>Manhattan Beach, CA</t>
        </is>
      </c>
      <c r="G66" s="33" t="inlineStr">
        <is>
          <t>Privately Held (backing)</t>
        </is>
      </c>
      <c r="H66" s="34" t="inlineStr">
        <is>
          <t>Accelerator/Incubator Backed</t>
        </is>
      </c>
      <c r="I66" s="35" t="inlineStr">
        <is>
          <t>Founder Institute, South Bay Entrepreneurial Center</t>
        </is>
      </c>
      <c r="J66" s="36" t="inlineStr">
        <is>
          <t>www.zencx.com</t>
        </is>
      </c>
      <c r="K66" s="37" t="inlineStr">
        <is>
          <t/>
        </is>
      </c>
      <c r="L66" s="38" t="inlineStr">
        <is>
          <t/>
        </is>
      </c>
      <c r="M66" s="39" t="inlineStr">
        <is>
          <t>Ted Kitten</t>
        </is>
      </c>
      <c r="N66" s="40" t="inlineStr">
        <is>
          <t>Co-Founder</t>
        </is>
      </c>
      <c r="O66" s="41" t="inlineStr">
        <is>
          <t>ted.kitten@zencx.com</t>
        </is>
      </c>
      <c r="P66" s="42" t="inlineStr">
        <is>
          <t/>
        </is>
      </c>
      <c r="Q66" s="43" t="n">
        <v>2011.0</v>
      </c>
      <c r="R66" s="114">
        <f>HYPERLINK("https://my.pitchbook.com?c=104833-18", "View company online")</f>
      </c>
    </row>
    <row r="67">
      <c r="A67" s="9" t="inlineStr">
        <is>
          <t>121188-70</t>
        </is>
      </c>
      <c r="B67" s="10" t="inlineStr">
        <is>
          <t>Zen Monkey</t>
        </is>
      </c>
      <c r="C67" s="11" t="inlineStr">
        <is>
          <t>91203</t>
        </is>
      </c>
      <c r="D67" s="12" t="inlineStr">
        <is>
          <t>Provider of food products for breakfast. The company provides food products such as oats soaked overnight in apple juice, mixed with Greek yogurt and whole fruit which is mainly for breakfast.</t>
        </is>
      </c>
      <c r="E67" s="13" t="inlineStr">
        <is>
          <t>Food Products</t>
        </is>
      </c>
      <c r="F67" s="14" t="inlineStr">
        <is>
          <t>Glendale, CA</t>
        </is>
      </c>
      <c r="G67" s="15" t="inlineStr">
        <is>
          <t>Privately Held (backing)</t>
        </is>
      </c>
      <c r="H67" s="16" t="inlineStr">
        <is>
          <t>Angel-Backed</t>
        </is>
      </c>
      <c r="I67" s="17" t="inlineStr">
        <is>
          <t/>
        </is>
      </c>
      <c r="J67" s="18" t="inlineStr">
        <is>
          <t>www.zenmonkeybreakfast.com</t>
        </is>
      </c>
      <c r="K67" s="19" t="inlineStr">
        <is>
          <t>hello@zenmonkeybreakfast.com</t>
        </is>
      </c>
      <c r="L67" s="20" t="inlineStr">
        <is>
          <t>+1 (844) 936-6659</t>
        </is>
      </c>
      <c r="M67" s="21" t="inlineStr">
        <is>
          <t>Katie Danielson</t>
        </is>
      </c>
      <c r="N67" s="22" t="inlineStr">
        <is>
          <t>Co-Founder &amp; Executive of Sales &amp; Marketing</t>
        </is>
      </c>
      <c r="O67" s="23" t="inlineStr">
        <is>
          <t/>
        </is>
      </c>
      <c r="P67" s="24" t="inlineStr">
        <is>
          <t>+1 (844) 936-6659</t>
        </is>
      </c>
      <c r="Q67" s="25" t="n">
        <v>2010.0</v>
      </c>
      <c r="R67" s="113">
        <f>HYPERLINK("https://my.pitchbook.com?c=121188-70", "View company online")</f>
      </c>
    </row>
    <row r="68">
      <c r="A68" s="27" t="inlineStr">
        <is>
          <t>66132-55</t>
        </is>
      </c>
      <c r="B68" s="28" t="inlineStr">
        <is>
          <t>Zen Health</t>
        </is>
      </c>
      <c r="C68" s="29" t="inlineStr">
        <is>
          <t/>
        </is>
      </c>
      <c r="D68" s="30" t="inlineStr">
        <is>
          <t>Provider of vitamins and supplements pack delivery service. The company provides vitamins and supplements to their users as per their needs and requirement after every fixed time period as required and set by them to their doorstep.</t>
        </is>
      </c>
      <c r="E68" s="31" t="inlineStr">
        <is>
          <t>Food Products</t>
        </is>
      </c>
      <c r="F68" s="32" t="inlineStr">
        <is>
          <t>San Francisco, CA</t>
        </is>
      </c>
      <c r="G68" s="33" t="inlineStr">
        <is>
          <t>Privately Held (backing)</t>
        </is>
      </c>
      <c r="H68" s="34" t="inlineStr">
        <is>
          <t>Accelerator/Incubator Backed</t>
        </is>
      </c>
      <c r="I68" s="35" t="inlineStr">
        <is>
          <t>ACE &amp; Company, Y Combinator</t>
        </is>
      </c>
      <c r="J68" s="36" t="inlineStr">
        <is>
          <t>www.zenamins.com</t>
        </is>
      </c>
      <c r="K68" s="37" t="inlineStr">
        <is>
          <t/>
        </is>
      </c>
      <c r="L68" s="38" t="inlineStr">
        <is>
          <t/>
        </is>
      </c>
      <c r="M68" s="39" t="inlineStr">
        <is>
          <t>Arad Rostampour</t>
        </is>
      </c>
      <c r="N68" s="40" t="inlineStr">
        <is>
          <t>Founder</t>
        </is>
      </c>
      <c r="O68" s="41" t="inlineStr">
        <is>
          <t>arad@zenamins.com</t>
        </is>
      </c>
      <c r="P68" s="42" t="inlineStr">
        <is>
          <t/>
        </is>
      </c>
      <c r="Q68" s="43" t="inlineStr">
        <is>
          <t/>
        </is>
      </c>
      <c r="R68" s="114">
        <f>HYPERLINK("https://my.pitchbook.com?c=66132-55", "View company online")</f>
      </c>
    </row>
    <row r="69">
      <c r="A69" s="9" t="inlineStr">
        <is>
          <t>171812-44</t>
        </is>
      </c>
      <c r="B69" s="10" t="inlineStr">
        <is>
          <t>Zeen</t>
        </is>
      </c>
      <c r="C69" s="85">
        <f>HYPERLINK("https://my.pitchbook.com?rrp=171812-44&amp;type=c", "This Company's information is not available to download. Need this Company? Request availability")</f>
      </c>
      <c r="D69" s="12" t="inlineStr">
        <is>
          <t/>
        </is>
      </c>
      <c r="E69" s="13" t="inlineStr">
        <is>
          <t/>
        </is>
      </c>
      <c r="F69" s="14" t="inlineStr">
        <is>
          <t/>
        </is>
      </c>
      <c r="G69" s="15" t="inlineStr">
        <is>
          <t/>
        </is>
      </c>
      <c r="H69" s="16" t="inlineStr">
        <is>
          <t/>
        </is>
      </c>
      <c r="I69" s="17" t="inlineStr">
        <is>
          <t/>
        </is>
      </c>
      <c r="J69" s="18" t="inlineStr">
        <is>
          <t/>
        </is>
      </c>
      <c r="K69" s="19" t="inlineStr">
        <is>
          <t/>
        </is>
      </c>
      <c r="L69" s="20" t="inlineStr">
        <is>
          <t/>
        </is>
      </c>
      <c r="M69" s="21" t="inlineStr">
        <is>
          <t/>
        </is>
      </c>
      <c r="N69" s="22" t="inlineStr">
        <is>
          <t/>
        </is>
      </c>
      <c r="O69" s="23" t="inlineStr">
        <is>
          <t/>
        </is>
      </c>
      <c r="P69" s="24" t="inlineStr">
        <is>
          <t/>
        </is>
      </c>
      <c r="Q69" s="25" t="inlineStr">
        <is>
          <t/>
        </is>
      </c>
      <c r="R69" s="26" t="inlineStr">
        <is>
          <t/>
        </is>
      </c>
    </row>
    <row r="70">
      <c r="A70" s="27" t="inlineStr">
        <is>
          <t>119616-94</t>
        </is>
      </c>
      <c r="B70" s="28" t="inlineStr">
        <is>
          <t>Zee.Aero</t>
        </is>
      </c>
      <c r="C70" s="29" t="inlineStr">
        <is>
          <t>94043</t>
        </is>
      </c>
      <c r="D70" s="30" t="inlineStr">
        <is>
          <t>Developer of flying cars designed to decongest road traffic and shorten commute time. The company's flying cars are vertical take-off and landing aircraft that run on eight propellers can fit in a standard parking spot enabling commuters to shorten travel times and reach their destinations faster.</t>
        </is>
      </c>
      <c r="E70" s="31" t="inlineStr">
        <is>
          <t>Aerospace and Defense</t>
        </is>
      </c>
      <c r="F70" s="32" t="inlineStr">
        <is>
          <t>Mountain View, CA</t>
        </is>
      </c>
      <c r="G70" s="33" t="inlineStr">
        <is>
          <t>Privately Held (backing)</t>
        </is>
      </c>
      <c r="H70" s="34" t="inlineStr">
        <is>
          <t>Angel-Backed</t>
        </is>
      </c>
      <c r="I70" s="35" t="inlineStr">
        <is>
          <t>Lawrence Page</t>
        </is>
      </c>
      <c r="J70" s="36" t="inlineStr">
        <is>
          <t>www.zee.aero</t>
        </is>
      </c>
      <c r="K70" s="37" t="inlineStr">
        <is>
          <t>info@zee.aero</t>
        </is>
      </c>
      <c r="L70" s="38" t="inlineStr">
        <is>
          <t>+1 (650) 964-4570</t>
        </is>
      </c>
      <c r="M70" s="39" t="inlineStr">
        <is>
          <t>Eric Allison</t>
        </is>
      </c>
      <c r="N70" s="40" t="inlineStr">
        <is>
          <t>Chief Executive Officer</t>
        </is>
      </c>
      <c r="O70" s="41" t="inlineStr">
        <is>
          <t>eric.allison@zee.aero</t>
        </is>
      </c>
      <c r="P70" s="42" t="inlineStr">
        <is>
          <t>+1 (650) 964-4570</t>
        </is>
      </c>
      <c r="Q70" s="43" t="n">
        <v>2010.0</v>
      </c>
      <c r="R70" s="114">
        <f>HYPERLINK("https://my.pitchbook.com?c=119616-94", "View company online")</f>
      </c>
    </row>
    <row r="71">
      <c r="A71" s="9" t="inlineStr">
        <is>
          <t>117246-07</t>
        </is>
      </c>
      <c r="B71" s="10" t="inlineStr">
        <is>
          <t>Zealr</t>
        </is>
      </c>
      <c r="C71" s="11" t="inlineStr">
        <is>
          <t/>
        </is>
      </c>
      <c r="D71" s="12" t="inlineStr">
        <is>
          <t>Developer of an online platform for analytic automation of social messages. The company develops a sales analytic automation tool to provide realtime insights into social media messages and enables individual sales teams the ability to target contacts using the social media channel of their choice.</t>
        </is>
      </c>
      <c r="E71" s="13" t="inlineStr">
        <is>
          <t>Social/Platform Software</t>
        </is>
      </c>
      <c r="F71" s="14" t="inlineStr">
        <is>
          <t>Yorba Linda, CA</t>
        </is>
      </c>
      <c r="G71" s="15" t="inlineStr">
        <is>
          <t>Privately Held (backing)</t>
        </is>
      </c>
      <c r="H71" s="16" t="inlineStr">
        <is>
          <t>Angel-Backed</t>
        </is>
      </c>
      <c r="I71" s="17" t="inlineStr">
        <is>
          <t/>
        </is>
      </c>
      <c r="J71" s="18" t="inlineStr">
        <is>
          <t>www.zealr.co</t>
        </is>
      </c>
      <c r="K71" s="19" t="inlineStr">
        <is>
          <t>craig@zealr.co</t>
        </is>
      </c>
      <c r="L71" s="20" t="inlineStr">
        <is>
          <t>+1 (714) 309-5655</t>
        </is>
      </c>
      <c r="M71" s="21" t="inlineStr">
        <is>
          <t>Craig Conlee</t>
        </is>
      </c>
      <c r="N71" s="22" t="inlineStr">
        <is>
          <t>Co-Founder, Chief Executive Officer &amp; Board Member</t>
        </is>
      </c>
      <c r="O71" s="23" t="inlineStr">
        <is>
          <t>craig@zealr.co</t>
        </is>
      </c>
      <c r="P71" s="24" t="inlineStr">
        <is>
          <t>+1 (714) 309-5655</t>
        </is>
      </c>
      <c r="Q71" s="25" t="n">
        <v>2015.0</v>
      </c>
      <c r="R71" s="113">
        <f>HYPERLINK("https://my.pitchbook.com?c=117246-07", "View company online")</f>
      </c>
    </row>
    <row r="72">
      <c r="A72" s="27" t="inlineStr">
        <is>
          <t>62260-48</t>
        </is>
      </c>
      <c r="B72" s="28" t="inlineStr">
        <is>
          <t>ZappyLab</t>
        </is>
      </c>
      <c r="C72" s="29" t="inlineStr">
        <is>
          <t>94704</t>
        </is>
      </c>
      <c r="D72" s="30" t="inlineStr">
        <is>
          <t>Developers of mobile applications for scientists and researchers. The company develops applications such as PubChase, an app which recommends recently-published articles based on the authors and journals the user reads, and Protocols, a checklist utility designed specifically for experimental laboratory work.</t>
        </is>
      </c>
      <c r="E72" s="31" t="inlineStr">
        <is>
          <t>Automation/Workflow Software</t>
        </is>
      </c>
      <c r="F72" s="32" t="inlineStr">
        <is>
          <t>Berkeley, CA</t>
        </is>
      </c>
      <c r="G72" s="33" t="inlineStr">
        <is>
          <t>Privately Held (backing)</t>
        </is>
      </c>
      <c r="H72" s="34" t="inlineStr">
        <is>
          <t>Accelerator/Incubator Backed</t>
        </is>
      </c>
      <c r="I72" s="35" t="inlineStr">
        <is>
          <t>Anna Chernyak, Danny Qin, Gary Gershik, Joseph Duncan, Richard Hemley, Skydeck | Berkeley</t>
        </is>
      </c>
      <c r="J72" s="36" t="inlineStr">
        <is>
          <t>www.protocols.io</t>
        </is>
      </c>
      <c r="K72" s="37" t="inlineStr">
        <is>
          <t>info@zappylab.com</t>
        </is>
      </c>
      <c r="L72" s="38" t="inlineStr">
        <is>
          <t>+1 (415) 216-9516</t>
        </is>
      </c>
      <c r="M72" s="39" t="inlineStr">
        <is>
          <t>Leonid Teytelman</t>
        </is>
      </c>
      <c r="N72" s="40" t="inlineStr">
        <is>
          <t>Co-Founder &amp; Chief Executive Officer</t>
        </is>
      </c>
      <c r="O72" s="41" t="inlineStr">
        <is>
          <t>lenny@zappylab.com</t>
        </is>
      </c>
      <c r="P72" s="42" t="inlineStr">
        <is>
          <t>+1 (415) 216-9516</t>
        </is>
      </c>
      <c r="Q72" s="43" t="n">
        <v>2012.0</v>
      </c>
      <c r="R72" s="114">
        <f>HYPERLINK("https://my.pitchbook.com?c=62260-48", "View company online")</f>
      </c>
    </row>
    <row r="73">
      <c r="A73" s="9" t="inlineStr">
        <is>
          <t>104304-52</t>
        </is>
      </c>
      <c r="B73" s="10" t="inlineStr">
        <is>
          <t>ZapChain</t>
        </is>
      </c>
      <c r="C73" s="11" t="inlineStr">
        <is>
          <t/>
        </is>
      </c>
      <c r="D73" s="12" t="inlineStr">
        <is>
          <t>Provider of a social platform for discussing about technology. The company provides a social platform which offers users with a community where they can discuss, share and post content related to current technology.</t>
        </is>
      </c>
      <c r="E73" s="13" t="inlineStr">
        <is>
          <t>Social Content</t>
        </is>
      </c>
      <c r="F73" s="14" t="inlineStr">
        <is>
          <t>San Francisco, CA</t>
        </is>
      </c>
      <c r="G73" s="15" t="inlineStr">
        <is>
          <t>Privately Held (backing)</t>
        </is>
      </c>
      <c r="H73" s="16" t="inlineStr">
        <is>
          <t>Angel-Backed</t>
        </is>
      </c>
      <c r="I73" s="17" t="inlineStr">
        <is>
          <t>Adam Draper, Boost VC, Timothy Draper</t>
        </is>
      </c>
      <c r="J73" s="18" t="inlineStr">
        <is>
          <t>www.zapchain.com</t>
        </is>
      </c>
      <c r="K73" s="19" t="inlineStr">
        <is>
          <t/>
        </is>
      </c>
      <c r="L73" s="20" t="inlineStr">
        <is>
          <t/>
        </is>
      </c>
      <c r="M73" s="21" t="inlineStr">
        <is>
          <t>Matt Schlicht</t>
        </is>
      </c>
      <c r="N73" s="22" t="inlineStr">
        <is>
          <t>Co-Founder &amp; Chief Executive Officer</t>
        </is>
      </c>
      <c r="O73" s="23" t="inlineStr">
        <is>
          <t>matt@zapchain.com</t>
        </is>
      </c>
      <c r="P73" s="24" t="inlineStr">
        <is>
          <t/>
        </is>
      </c>
      <c r="Q73" s="25" t="n">
        <v>2014.0</v>
      </c>
      <c r="R73" s="113">
        <f>HYPERLINK("https://my.pitchbook.com?c=104304-52", "View company online")</f>
      </c>
    </row>
    <row r="74">
      <c r="A74" s="27" t="inlineStr">
        <is>
          <t>99049-51</t>
        </is>
      </c>
      <c r="B74" s="28" t="inlineStr">
        <is>
          <t>Zambig</t>
        </is>
      </c>
      <c r="C74" s="29" t="inlineStr">
        <is>
          <t>92117</t>
        </is>
      </c>
      <c r="D74" s="30" t="inlineStr">
        <is>
          <t>Developer of an interactive audio platform. The company develops an interactive audio platform that allows radio listeners to verbally interact with celebrities, bands, and athletes and express their opinions about topics including politics, entertainment, and sports by recording and posting content.</t>
        </is>
      </c>
      <c r="E74" s="31" t="inlineStr">
        <is>
          <t>Social/Platform Software</t>
        </is>
      </c>
      <c r="F74" s="32" t="inlineStr">
        <is>
          <t>San Diego, CA</t>
        </is>
      </c>
      <c r="G74" s="33" t="inlineStr">
        <is>
          <t>Privately Held (backing)</t>
        </is>
      </c>
      <c r="H74" s="34" t="inlineStr">
        <is>
          <t>Accelerator/Incubator Backed</t>
        </is>
      </c>
      <c r="I74" s="35" t="inlineStr">
        <is>
          <t>EvoNexus</t>
        </is>
      </c>
      <c r="J74" s="36" t="inlineStr">
        <is>
          <t>www.zambig.com</t>
        </is>
      </c>
      <c r="K74" s="37" t="inlineStr">
        <is>
          <t/>
        </is>
      </c>
      <c r="L74" s="38" t="inlineStr">
        <is>
          <t>+1 (858) 518-0673</t>
        </is>
      </c>
      <c r="M74" s="39" t="inlineStr">
        <is>
          <t>Blair Giesen</t>
        </is>
      </c>
      <c r="N74" s="40" t="inlineStr">
        <is>
          <t>Chief Executive Officer, Board Member &amp; Co-Founder</t>
        </is>
      </c>
      <c r="O74" s="41" t="inlineStr">
        <is>
          <t>blair@zambig.com</t>
        </is>
      </c>
      <c r="P74" s="42" t="inlineStr">
        <is>
          <t>+1 (858) 518-0673</t>
        </is>
      </c>
      <c r="Q74" s="43" t="n">
        <v>2010.0</v>
      </c>
      <c r="R74" s="114">
        <f>HYPERLINK("https://my.pitchbook.com?c=99049-51", "View company online")</f>
      </c>
    </row>
    <row r="75">
      <c r="A75" s="9" t="inlineStr">
        <is>
          <t>113593-87</t>
        </is>
      </c>
      <c r="B75" s="10" t="inlineStr">
        <is>
          <t>Zaka</t>
        </is>
      </c>
      <c r="C75" s="85">
        <f>HYPERLINK("https://my.pitchbook.com?rrp=113593-87&amp;type=c", "This Company's information is not available to download. Need this Company? Request availability")</f>
      </c>
      <c r="D75" s="12" t="inlineStr">
        <is>
          <t/>
        </is>
      </c>
      <c r="E75" s="13" t="inlineStr">
        <is>
          <t/>
        </is>
      </c>
      <c r="F75" s="14" t="inlineStr">
        <is>
          <t/>
        </is>
      </c>
      <c r="G75" s="15" t="inlineStr">
        <is>
          <t/>
        </is>
      </c>
      <c r="H75" s="16" t="inlineStr">
        <is>
          <t/>
        </is>
      </c>
      <c r="I75" s="17" t="inlineStr">
        <is>
          <t/>
        </is>
      </c>
      <c r="J75" s="18" t="inlineStr">
        <is>
          <t/>
        </is>
      </c>
      <c r="K75" s="19" t="inlineStr">
        <is>
          <t/>
        </is>
      </c>
      <c r="L75" s="20" t="inlineStr">
        <is>
          <t/>
        </is>
      </c>
      <c r="M75" s="21" t="inlineStr">
        <is>
          <t/>
        </is>
      </c>
      <c r="N75" s="22" t="inlineStr">
        <is>
          <t/>
        </is>
      </c>
      <c r="O75" s="23" t="inlineStr">
        <is>
          <t/>
        </is>
      </c>
      <c r="P75" s="24" t="inlineStr">
        <is>
          <t/>
        </is>
      </c>
      <c r="Q75" s="25" t="inlineStr">
        <is>
          <t/>
        </is>
      </c>
      <c r="R75" s="26" t="inlineStr">
        <is>
          <t/>
        </is>
      </c>
    </row>
    <row r="76">
      <c r="A76" s="27" t="inlineStr">
        <is>
          <t>103839-94</t>
        </is>
      </c>
      <c r="B76" s="28" t="inlineStr">
        <is>
          <t>Zackees</t>
        </is>
      </c>
      <c r="C76" s="29" t="inlineStr">
        <is>
          <t/>
        </is>
      </c>
      <c r="D76" s="30" t="inlineStr">
        <is>
          <t>Developer of electronically enabled clothes. The company develops athletics and sports wear which is electronically enabled and focuses on athletic's safety while they are cycling, jogging, skateboarding and running.</t>
        </is>
      </c>
      <c r="E76" s="31" t="inlineStr">
        <is>
          <t>Clothing</t>
        </is>
      </c>
      <c r="F76" s="32" t="inlineStr">
        <is>
          <t>San Francisco, CA</t>
        </is>
      </c>
      <c r="G76" s="33" t="inlineStr">
        <is>
          <t>Privately Held (backing)</t>
        </is>
      </c>
      <c r="H76" s="34" t="inlineStr">
        <is>
          <t>Angel-Backed</t>
        </is>
      </c>
      <c r="I76" s="35" t="inlineStr">
        <is>
          <t>Wearable IoT World</t>
        </is>
      </c>
      <c r="J76" s="36" t="inlineStr">
        <is>
          <t>www.zackees.com</t>
        </is>
      </c>
      <c r="K76" s="37" t="inlineStr">
        <is>
          <t>z@zackees.com</t>
        </is>
      </c>
      <c r="L76" s="38" t="inlineStr">
        <is>
          <t>+1 (415) 857-5879</t>
        </is>
      </c>
      <c r="M76" s="39" t="inlineStr">
        <is>
          <t>Zach Vorhies</t>
        </is>
      </c>
      <c r="N76" s="40" t="inlineStr">
        <is>
          <t>Co-Founder</t>
        </is>
      </c>
      <c r="O76" s="41" t="inlineStr">
        <is>
          <t>zach@zackees.com</t>
        </is>
      </c>
      <c r="P76" s="42" t="inlineStr">
        <is>
          <t>+1 (415) 857-5879</t>
        </is>
      </c>
      <c r="Q76" s="43" t="n">
        <v>2013.0</v>
      </c>
      <c r="R76" s="114">
        <f>HYPERLINK("https://my.pitchbook.com?c=103839-94", "View company online")</f>
      </c>
    </row>
    <row r="77">
      <c r="A77" s="9" t="inlineStr">
        <is>
          <t>172657-90</t>
        </is>
      </c>
      <c r="B77" s="10" t="inlineStr">
        <is>
          <t>Zaap</t>
        </is>
      </c>
      <c r="C77" s="85">
        <f>HYPERLINK("https://my.pitchbook.com?rrp=172657-90&amp;type=c", "This Company's information is not available to download. Need this Company? Request availability")</f>
      </c>
      <c r="D77" s="12" t="inlineStr">
        <is>
          <t/>
        </is>
      </c>
      <c r="E77" s="13" t="inlineStr">
        <is>
          <t/>
        </is>
      </c>
      <c r="F77" s="14" t="inlineStr">
        <is>
          <t/>
        </is>
      </c>
      <c r="G77" s="15" t="inlineStr">
        <is>
          <t/>
        </is>
      </c>
      <c r="H77" s="16" t="inlineStr">
        <is>
          <t/>
        </is>
      </c>
      <c r="I77" s="17" t="inlineStr">
        <is>
          <t/>
        </is>
      </c>
      <c r="J77" s="18" t="inlineStr">
        <is>
          <t/>
        </is>
      </c>
      <c r="K77" s="19" t="inlineStr">
        <is>
          <t/>
        </is>
      </c>
      <c r="L77" s="20" t="inlineStr">
        <is>
          <t/>
        </is>
      </c>
      <c r="M77" s="21" t="inlineStr">
        <is>
          <t/>
        </is>
      </c>
      <c r="N77" s="22" t="inlineStr">
        <is>
          <t/>
        </is>
      </c>
      <c r="O77" s="23" t="inlineStr">
        <is>
          <t/>
        </is>
      </c>
      <c r="P77" s="24" t="inlineStr">
        <is>
          <t/>
        </is>
      </c>
      <c r="Q77" s="25" t="inlineStr">
        <is>
          <t/>
        </is>
      </c>
      <c r="R77" s="26" t="inlineStr">
        <is>
          <t/>
        </is>
      </c>
    </row>
    <row r="78">
      <c r="A78" s="27" t="inlineStr">
        <is>
          <t>181826-74</t>
        </is>
      </c>
      <c r="B78" s="28" t="inlineStr">
        <is>
          <t>Z Grills</t>
        </is>
      </c>
      <c r="C78" s="29" t="inlineStr">
        <is>
          <t/>
        </is>
      </c>
      <c r="D78" s="30" t="inlineStr">
        <is>
          <t>Developer of a general purpose cooker designed to smoke, roast and grill food. The company's grill machine Z Grills Elite 900, uses a variety of savory wood pellets and integrates with a digital temperature control sensor that distributes heat, regulates and automates the convection process, enabling cooks to grill, bake, roast, braise and smoke food without consuming high energy or worrying about food getting burnt.</t>
        </is>
      </c>
      <c r="E78" s="31" t="inlineStr">
        <is>
          <t>Household Appliances</t>
        </is>
      </c>
      <c r="F78" s="32" t="inlineStr">
        <is>
          <t>Burlingame, CA</t>
        </is>
      </c>
      <c r="G78" s="33" t="inlineStr">
        <is>
          <t>Privately Held (backing)</t>
        </is>
      </c>
      <c r="H78" s="34" t="inlineStr">
        <is>
          <t>Angel-Backed</t>
        </is>
      </c>
      <c r="I78" s="35" t="inlineStr">
        <is>
          <t/>
        </is>
      </c>
      <c r="J78" s="36" t="inlineStr">
        <is>
          <t>www.zgrills.com</t>
        </is>
      </c>
      <c r="K78" s="37" t="inlineStr">
        <is>
          <t>info@zgrills.com</t>
        </is>
      </c>
      <c r="L78" s="38" t="inlineStr">
        <is>
          <t/>
        </is>
      </c>
      <c r="M78" s="39" t="inlineStr">
        <is>
          <t>Jasper Yu</t>
        </is>
      </c>
      <c r="N78" s="40" t="inlineStr">
        <is>
          <t>Founder &amp; Chief Executive Officer</t>
        </is>
      </c>
      <c r="O78" s="41" t="inlineStr">
        <is>
          <t/>
        </is>
      </c>
      <c r="P78" s="42" t="inlineStr">
        <is>
          <t/>
        </is>
      </c>
      <c r="Q78" s="43" t="n">
        <v>2016.0</v>
      </c>
      <c r="R78" s="114">
        <f>HYPERLINK("https://my.pitchbook.com?c=181826-74", "View company online")</f>
      </c>
    </row>
    <row r="79">
      <c r="A79" s="9" t="inlineStr">
        <is>
          <t>157750-48</t>
        </is>
      </c>
      <c r="B79" s="10" t="inlineStr">
        <is>
          <t>Yurpal</t>
        </is>
      </c>
      <c r="C79" s="11" t="inlineStr">
        <is>
          <t>92651</t>
        </is>
      </c>
      <c r="D79" s="12" t="inlineStr">
        <is>
          <t>Developer of an e-procurement platform. The company's platform enables users to control their procurement purchasing and processes with the help of geographic search engine and market intelligence system.</t>
        </is>
      </c>
      <c r="E79" s="13" t="inlineStr">
        <is>
          <t>Social/Platform Software</t>
        </is>
      </c>
      <c r="F79" s="14" t="inlineStr">
        <is>
          <t>Laguna Beach, CA</t>
        </is>
      </c>
      <c r="G79" s="15" t="inlineStr">
        <is>
          <t>Privately Held (backing)</t>
        </is>
      </c>
      <c r="H79" s="16" t="inlineStr">
        <is>
          <t>Angel-Backed</t>
        </is>
      </c>
      <c r="I79" s="17" t="inlineStr">
        <is>
          <t/>
        </is>
      </c>
      <c r="J79" s="18" t="inlineStr">
        <is>
          <t>www.yurpal.com</t>
        </is>
      </c>
      <c r="K79" s="19" t="inlineStr">
        <is>
          <t>info@yurpal.com</t>
        </is>
      </c>
      <c r="L79" s="20" t="inlineStr">
        <is>
          <t>+1 (949) 306-4729</t>
        </is>
      </c>
      <c r="M79" s="21" t="inlineStr">
        <is>
          <t>Jon De Langis</t>
        </is>
      </c>
      <c r="N79" s="22" t="inlineStr">
        <is>
          <t>Chief Executive Officer, President and Board Member</t>
        </is>
      </c>
      <c r="O79" s="23" t="inlineStr">
        <is>
          <t>jon@yurpal.com</t>
        </is>
      </c>
      <c r="P79" s="24" t="inlineStr">
        <is>
          <t>+1 (949) 306-4729</t>
        </is>
      </c>
      <c r="Q79" s="25" t="n">
        <v>2016.0</v>
      </c>
      <c r="R79" s="113">
        <f>HYPERLINK("https://my.pitchbook.com?c=157750-48", "View company online")</f>
      </c>
    </row>
    <row r="80">
      <c r="A80" s="27" t="inlineStr">
        <is>
          <t>103839-40</t>
        </is>
      </c>
      <c r="B80" s="28" t="inlineStr">
        <is>
          <t>YummyYummyTummy</t>
        </is>
      </c>
      <c r="C80" s="29" t="inlineStr">
        <is>
          <t>90024</t>
        </is>
      </c>
      <c r="D80" s="30" t="inlineStr">
        <is>
          <t>Developer of educational games. The company engages in game development by combining a selection of guest anime characters and entertainment.</t>
        </is>
      </c>
      <c r="E80" s="31" t="inlineStr">
        <is>
          <t>Entertainment Software</t>
        </is>
      </c>
      <c r="F80" s="32" t="inlineStr">
        <is>
          <t>Los Angeles, CA</t>
        </is>
      </c>
      <c r="G80" s="33" t="inlineStr">
        <is>
          <t>Privately Held (backing)</t>
        </is>
      </c>
      <c r="H80" s="34" t="inlineStr">
        <is>
          <t>Accelerator/Incubator Backed</t>
        </is>
      </c>
      <c r="I80" s="35" t="inlineStr">
        <is>
          <t>Howard Marks, StartEngine.com</t>
        </is>
      </c>
      <c r="J80" s="36" t="inlineStr">
        <is>
          <t>www.yummyyummytummy.com</t>
        </is>
      </c>
      <c r="K80" s="37" t="inlineStr">
        <is>
          <t/>
        </is>
      </c>
      <c r="L80" s="38" t="inlineStr">
        <is>
          <t/>
        </is>
      </c>
      <c r="M80" s="39" t="inlineStr">
        <is>
          <t>Spencer Yip</t>
        </is>
      </c>
      <c r="N80" s="40" t="inlineStr">
        <is>
          <t>Co-Founder &amp; Director</t>
        </is>
      </c>
      <c r="O80" s="41" t="inlineStr">
        <is>
          <t/>
        </is>
      </c>
      <c r="P80" s="42" t="inlineStr">
        <is>
          <t/>
        </is>
      </c>
      <c r="Q80" s="43" t="n">
        <v>2011.0</v>
      </c>
      <c r="R80" s="114">
        <f>HYPERLINK("https://my.pitchbook.com?c=103839-40", "View company online")</f>
      </c>
    </row>
    <row r="81">
      <c r="A81" s="9" t="inlineStr">
        <is>
          <t>103839-22</t>
        </is>
      </c>
      <c r="B81" s="10" t="inlineStr">
        <is>
          <t>Yumber</t>
        </is>
      </c>
      <c r="C81" s="11" t="inlineStr">
        <is>
          <t/>
        </is>
      </c>
      <c r="D81" s="12" t="inlineStr">
        <is>
          <t>Developer of verbal pathways to access online information. The company develops Verbal Resource Locators which serves as an alternative to the typical URLs and facilitates easy sharing and accessing of information on the internet by tying complex information to simple words.</t>
        </is>
      </c>
      <c r="E81" s="13" t="inlineStr">
        <is>
          <t>Other IT Services</t>
        </is>
      </c>
      <c r="F81" s="14" t="inlineStr">
        <is>
          <t>San Diego, CA</t>
        </is>
      </c>
      <c r="G81" s="15" t="inlineStr">
        <is>
          <t>Privately Held (backing)</t>
        </is>
      </c>
      <c r="H81" s="16" t="inlineStr">
        <is>
          <t>Angel-Backed</t>
        </is>
      </c>
      <c r="I81" s="17" t="inlineStr">
        <is>
          <t/>
        </is>
      </c>
      <c r="J81" s="18" t="inlineStr">
        <is>
          <t>www.yumber.com</t>
        </is>
      </c>
      <c r="K81" s="19" t="inlineStr">
        <is>
          <t/>
        </is>
      </c>
      <c r="L81" s="20" t="inlineStr">
        <is>
          <t/>
        </is>
      </c>
      <c r="M81" s="21" t="inlineStr">
        <is>
          <t>Shane Lathrom</t>
        </is>
      </c>
      <c r="N81" s="22" t="inlineStr">
        <is>
          <t>Founder &amp; Chief Executive Officer</t>
        </is>
      </c>
      <c r="O81" s="23" t="inlineStr">
        <is>
          <t>shane@yumber.com</t>
        </is>
      </c>
      <c r="P81" s="24" t="inlineStr">
        <is>
          <t/>
        </is>
      </c>
      <c r="Q81" s="25" t="n">
        <v>2012.0</v>
      </c>
      <c r="R81" s="113">
        <f>HYPERLINK("https://my.pitchbook.com?c=103839-22", "View company online")</f>
      </c>
    </row>
    <row r="82">
      <c r="A82" s="27" t="inlineStr">
        <is>
          <t>150436-18</t>
        </is>
      </c>
      <c r="B82" s="28" t="inlineStr">
        <is>
          <t>Yuktha Entertainment Services</t>
        </is>
      </c>
      <c r="C82" s="29" t="inlineStr">
        <is>
          <t>500085</t>
        </is>
      </c>
      <c r="D82" s="30" t="inlineStr">
        <is>
          <t>Provider of a celebrity booking platform intended to appoint celebrities for events. The company's celebrity booking platform offers entertainment services for any corporate event, personal or family parties such as birthday, anniversary, engagement, marriage, naming ceremony and many others can find their choicest celebrities, artists, makeup artists, singers, dancers, musicians, magicians, all types of bands, DJs and VJs online, enabling clients to celebrate events with celebrities in low budget.</t>
        </is>
      </c>
      <c r="E82" s="31" t="inlineStr">
        <is>
          <t>Application Software</t>
        </is>
      </c>
      <c r="F82" s="32" t="inlineStr">
        <is>
          <t>Hyderabad, India</t>
        </is>
      </c>
      <c r="G82" s="33" t="inlineStr">
        <is>
          <t>Privately Held (backing)</t>
        </is>
      </c>
      <c r="H82" s="34" t="inlineStr">
        <is>
          <t>Angel-Backed</t>
        </is>
      </c>
      <c r="I82" s="35" t="inlineStr">
        <is>
          <t/>
        </is>
      </c>
      <c r="J82" s="36" t="inlineStr">
        <is>
          <t>www.jilmore.com</t>
        </is>
      </c>
      <c r="K82" s="37" t="inlineStr">
        <is>
          <t>contactus@jilmore.com</t>
        </is>
      </c>
      <c r="L82" s="38" t="inlineStr">
        <is>
          <t>+91 (0)88 8557 6278</t>
        </is>
      </c>
      <c r="M82" s="39" t="inlineStr">
        <is>
          <t>Madhuri Yalamuri</t>
        </is>
      </c>
      <c r="N82" s="40" t="inlineStr">
        <is>
          <t>Co-Founder, Chief Financial Officer &amp; Director</t>
        </is>
      </c>
      <c r="O82" s="41" t="inlineStr">
        <is>
          <t>madhuri@jilmore.com</t>
        </is>
      </c>
      <c r="P82" s="42" t="inlineStr">
        <is>
          <t>+91 (0)88 8557 6278</t>
        </is>
      </c>
      <c r="Q82" s="43" t="n">
        <v>2015.0</v>
      </c>
      <c r="R82" s="114">
        <f>HYPERLINK("https://my.pitchbook.com?c=150436-18", "View company online")</f>
      </c>
    </row>
    <row r="83">
      <c r="A83" s="9" t="inlineStr">
        <is>
          <t>168071-86</t>
        </is>
      </c>
      <c r="B83" s="10" t="inlineStr">
        <is>
          <t>YouSpace</t>
        </is>
      </c>
      <c r="C83" s="11" t="inlineStr">
        <is>
          <t>94043</t>
        </is>
      </c>
      <c r="D83" s="12" t="inlineStr">
        <is>
          <t>Developer of human body recognition and motion tracking technologies designed to offer expertise in machine learning, computer vision and smart system automation. The company's human body recognition and motion tracking technologies offers fast accurate and intelligent human-machine interaction, enabling businesses to bring transformational computer vision technology to the market worldwide.</t>
        </is>
      </c>
      <c r="E83" s="13" t="inlineStr">
        <is>
          <t>Multimedia and Design Software</t>
        </is>
      </c>
      <c r="F83" s="14" t="inlineStr">
        <is>
          <t>Mountain View, CA</t>
        </is>
      </c>
      <c r="G83" s="15" t="inlineStr">
        <is>
          <t>Privately Held (backing)</t>
        </is>
      </c>
      <c r="H83" s="16" t="inlineStr">
        <is>
          <t>Angel-Backed</t>
        </is>
      </c>
      <c r="I83" s="17" t="inlineStr">
        <is>
          <t/>
        </is>
      </c>
      <c r="J83" s="18" t="inlineStr">
        <is>
          <t>www.youspace.com</t>
        </is>
      </c>
      <c r="K83" s="19" t="inlineStr">
        <is>
          <t>info@youspace.com</t>
        </is>
      </c>
      <c r="L83" s="20" t="inlineStr">
        <is>
          <t>+1 (650) 383-8575</t>
        </is>
      </c>
      <c r="M83" s="21" t="inlineStr">
        <is>
          <t>Vivi Chen</t>
        </is>
      </c>
      <c r="N83" s="22" t="inlineStr">
        <is>
          <t>Founder, Chief Executive Officer &amp; Board Member</t>
        </is>
      </c>
      <c r="O83" s="23" t="inlineStr">
        <is>
          <t>vivi@youspace.com</t>
        </is>
      </c>
      <c r="P83" s="24" t="inlineStr">
        <is>
          <t>+1 (650) 383-8575</t>
        </is>
      </c>
      <c r="Q83" s="25" t="n">
        <v>2014.0</v>
      </c>
      <c r="R83" s="113">
        <f>HYPERLINK("https://my.pitchbook.com?c=168071-86", "View company online")</f>
      </c>
    </row>
    <row r="84">
      <c r="A84" s="27" t="inlineStr">
        <is>
          <t>55422-82</t>
        </is>
      </c>
      <c r="B84" s="28" t="inlineStr">
        <is>
          <t>YourSports</t>
        </is>
      </c>
      <c r="C84" s="29" t="inlineStr">
        <is>
          <t>94401</t>
        </is>
      </c>
      <c r="D84" s="30" t="inlineStr">
        <is>
          <t>Opeartor of a social network for sports. The company's online platform connects users to sports news, people, places, products, organizations and teams.</t>
        </is>
      </c>
      <c r="E84" s="31" t="inlineStr">
        <is>
          <t>Social/Platform Software</t>
        </is>
      </c>
      <c r="F84" s="32" t="inlineStr">
        <is>
          <t>San Mateo, CA</t>
        </is>
      </c>
      <c r="G84" s="33" t="inlineStr">
        <is>
          <t>Privately Held (backing)</t>
        </is>
      </c>
      <c r="H84" s="34" t="inlineStr">
        <is>
          <t>Angel-Backed</t>
        </is>
      </c>
      <c r="I84" s="35" t="inlineStr">
        <is>
          <t>Individual Investor</t>
        </is>
      </c>
      <c r="J84" s="36" t="inlineStr">
        <is>
          <t>www.yoursports.com</t>
        </is>
      </c>
      <c r="K84" s="37" t="inlineStr">
        <is>
          <t>postoffice@yoursports.com</t>
        </is>
      </c>
      <c r="L84" s="38" t="inlineStr">
        <is>
          <t>+1 (800) 477-5103</t>
        </is>
      </c>
      <c r="M84" s="39" t="inlineStr">
        <is>
          <t>Christopher McCoy</t>
        </is>
      </c>
      <c r="N84" s="40" t="inlineStr">
        <is>
          <t>Board Member &amp; Co-Founder</t>
        </is>
      </c>
      <c r="O84" s="41" t="inlineStr">
        <is>
          <t/>
        </is>
      </c>
      <c r="P84" s="42" t="inlineStr">
        <is>
          <t>+1 (800) 477-5103</t>
        </is>
      </c>
      <c r="Q84" s="43" t="n">
        <v>2006.0</v>
      </c>
      <c r="R84" s="114">
        <f>HYPERLINK("https://my.pitchbook.com?c=55422-82", "View company online")</f>
      </c>
    </row>
    <row r="85">
      <c r="A85" s="9" t="inlineStr">
        <is>
          <t>103718-53</t>
        </is>
      </c>
      <c r="B85" s="10" t="inlineStr">
        <is>
          <t>Yoursphere Media</t>
        </is>
      </c>
      <c r="C85" s="11" t="inlineStr">
        <is>
          <t>95616</t>
        </is>
      </c>
      <c r="D85" s="12" t="inlineStr">
        <is>
          <t>Provider of an online youth social networking platform. The company offers an online community platform for the youth to expand their network and share ideas and content online.</t>
        </is>
      </c>
      <c r="E85" s="13" t="inlineStr">
        <is>
          <t>Social/Platform Software</t>
        </is>
      </c>
      <c r="F85" s="14" t="inlineStr">
        <is>
          <t>Davis, CA</t>
        </is>
      </c>
      <c r="G85" s="15" t="inlineStr">
        <is>
          <t>Privately Held (backing)</t>
        </is>
      </c>
      <c r="H85" s="16" t="inlineStr">
        <is>
          <t>Angel-Backed</t>
        </is>
      </c>
      <c r="I85" s="17" t="inlineStr">
        <is>
          <t/>
        </is>
      </c>
      <c r="J85" s="18" t="inlineStr">
        <is>
          <t>www.yoursphere.com</t>
        </is>
      </c>
      <c r="K85" s="19" t="inlineStr">
        <is>
          <t>customerservice@yoursphere.com</t>
        </is>
      </c>
      <c r="L85" s="20" t="inlineStr">
        <is>
          <t>+1 (530) 747-2424</t>
        </is>
      </c>
      <c r="M85" s="21" t="inlineStr">
        <is>
          <t>Leland Rees</t>
        </is>
      </c>
      <c r="N85" s="22" t="inlineStr">
        <is>
          <t>Chief Executive Officer &amp; Chief Financial Officer</t>
        </is>
      </c>
      <c r="O85" s="23" t="inlineStr">
        <is>
          <t>lee@yoursphere.com</t>
        </is>
      </c>
      <c r="P85" s="24" t="inlineStr">
        <is>
          <t>+1 (530) 747-2424</t>
        </is>
      </c>
      <c r="Q85" s="25" t="n">
        <v>2007.0</v>
      </c>
      <c r="R85" s="113">
        <f>HYPERLINK("https://my.pitchbook.com?c=103718-53", "View company online")</f>
      </c>
    </row>
    <row r="86">
      <c r="A86" s="27" t="inlineStr">
        <is>
          <t>168270-13</t>
        </is>
      </c>
      <c r="B86" s="28" t="inlineStr">
        <is>
          <t>Yours Network</t>
        </is>
      </c>
      <c r="C86" s="29" t="inlineStr">
        <is>
          <t/>
        </is>
      </c>
      <c r="D86" s="30" t="inlineStr">
        <is>
          <t>Developer of micro-payment web wallet platform. The company's platform enables users to get paid for creating, discovering and moderating social media contents.</t>
        </is>
      </c>
      <c r="E86" s="31" t="inlineStr">
        <is>
          <t>Social/Platform Software</t>
        </is>
      </c>
      <c r="F86" s="32" t="inlineStr">
        <is>
          <t>San Francisco, CA</t>
        </is>
      </c>
      <c r="G86" s="33" t="inlineStr">
        <is>
          <t>Privately Held (backing)</t>
        </is>
      </c>
      <c r="H86" s="34" t="inlineStr">
        <is>
          <t>Angel-Backed</t>
        </is>
      </c>
      <c r="I86" s="35" t="inlineStr">
        <is>
          <t>Boost VC, Digital Currency Group, GaiaX Company, Huiyin Blockchain Venture</t>
        </is>
      </c>
      <c r="J86" s="36" t="inlineStr">
        <is>
          <t/>
        </is>
      </c>
      <c r="K86" s="37" t="inlineStr">
        <is>
          <t/>
        </is>
      </c>
      <c r="L86" s="38" t="inlineStr">
        <is>
          <t/>
        </is>
      </c>
      <c r="M86" s="39" t="inlineStr">
        <is>
          <t>Clemens Ley</t>
        </is>
      </c>
      <c r="N86" s="40" t="inlineStr">
        <is>
          <t>Co-Founder</t>
        </is>
      </c>
      <c r="O86" s="41" t="inlineStr">
        <is>
          <t>clemens@yours.network</t>
        </is>
      </c>
      <c r="P86" s="42" t="inlineStr">
        <is>
          <t/>
        </is>
      </c>
      <c r="Q86" s="43" t="n">
        <v>2016.0</v>
      </c>
      <c r="R86" s="114">
        <f>HYPERLINK("https://my.pitchbook.com?c=168270-13", "View company online")</f>
      </c>
    </row>
    <row r="87">
      <c r="A87" s="9" t="inlineStr">
        <is>
          <t>103837-60</t>
        </is>
      </c>
      <c r="B87" s="10" t="inlineStr">
        <is>
          <t>YourListen.com</t>
        </is>
      </c>
      <c r="C87" s="11" t="inlineStr">
        <is>
          <t>90046</t>
        </is>
      </c>
      <c r="D87" s="12" t="inlineStr">
        <is>
          <t>Developer of a social audio and music platform. The company allows users to upload, listen, search discover, download and store music and audio.</t>
        </is>
      </c>
      <c r="E87" s="13" t="inlineStr">
        <is>
          <t>Movies, Music and Entertainment</t>
        </is>
      </c>
      <c r="F87" s="14" t="inlineStr">
        <is>
          <t>Los Angeles, CA</t>
        </is>
      </c>
      <c r="G87" s="15" t="inlineStr">
        <is>
          <t>Privately Held (backing)</t>
        </is>
      </c>
      <c r="H87" s="16" t="inlineStr">
        <is>
          <t>Accelerator/Incubator Backed</t>
        </is>
      </c>
      <c r="I87" s="17" t="inlineStr">
        <is>
          <t>Venture Hive</t>
        </is>
      </c>
      <c r="J87" s="18" t="inlineStr">
        <is>
          <t>www.yourlisten.com</t>
        </is>
      </c>
      <c r="K87" s="19" t="inlineStr">
        <is>
          <t/>
        </is>
      </c>
      <c r="L87" s="20" t="inlineStr">
        <is>
          <t/>
        </is>
      </c>
      <c r="M87" s="21" t="inlineStr">
        <is>
          <t>Scott Goodman</t>
        </is>
      </c>
      <c r="N87" s="22" t="inlineStr">
        <is>
          <t>Co-Founder and President</t>
        </is>
      </c>
      <c r="O87" s="23" t="inlineStr">
        <is>
          <t>scottg@yourlisten.com</t>
        </is>
      </c>
      <c r="P87" s="24" t="inlineStr">
        <is>
          <t/>
        </is>
      </c>
      <c r="Q87" s="25" t="n">
        <v>2007.0</v>
      </c>
      <c r="R87" s="113">
        <f>HYPERLINK("https://my.pitchbook.com?c=103837-60", "View company online")</f>
      </c>
    </row>
    <row r="88">
      <c r="A88" s="27" t="inlineStr">
        <is>
          <t>103135-42</t>
        </is>
      </c>
      <c r="B88" s="28" t="inlineStr">
        <is>
          <t>Your Truman Show</t>
        </is>
      </c>
      <c r="C88" s="29" t="inlineStr">
        <is>
          <t>94107</t>
        </is>
      </c>
      <c r="D88" s="30" t="inlineStr">
        <is>
          <t>Developer of social, discovery and advertising targeting products for video on the web. The company's product, Taglift helps ad networks, publishers and social networks in video inventory performance.</t>
        </is>
      </c>
      <c r="E88" s="31" t="inlineStr">
        <is>
          <t>Media and Information Services (B2B)</t>
        </is>
      </c>
      <c r="F88" s="32" t="inlineStr">
        <is>
          <t>San Francisco, CA</t>
        </is>
      </c>
      <c r="G88" s="33" t="inlineStr">
        <is>
          <t>Privately Held (backing)</t>
        </is>
      </c>
      <c r="H88" s="34" t="inlineStr">
        <is>
          <t>Angel-Backed</t>
        </is>
      </c>
      <c r="I88" s="35" t="inlineStr">
        <is>
          <t/>
        </is>
      </c>
      <c r="J88" s="36" t="inlineStr">
        <is>
          <t>www.yourtrumanshow.com</t>
        </is>
      </c>
      <c r="K88" s="37" t="inlineStr">
        <is>
          <t>info@yourtrumanshow.com</t>
        </is>
      </c>
      <c r="L88" s="38" t="inlineStr">
        <is>
          <t>+1 (415) 947-0490</t>
        </is>
      </c>
      <c r="M88" s="39" t="inlineStr">
        <is>
          <t>Arturo Artom</t>
        </is>
      </c>
      <c r="N88" s="40" t="inlineStr">
        <is>
          <t>Co-Founder &amp; Chief Executive Officer</t>
        </is>
      </c>
      <c r="O88" s="41" t="inlineStr">
        <is>
          <t>arturo.artom@yourtrumanshow.com</t>
        </is>
      </c>
      <c r="P88" s="42" t="inlineStr">
        <is>
          <t>+1 (415) 947-0490</t>
        </is>
      </c>
      <c r="Q88" s="43" t="n">
        <v>2006.0</v>
      </c>
      <c r="R88" s="114">
        <f>HYPERLINK("https://my.pitchbook.com?c=103135-42", "View company online")</f>
      </c>
    </row>
    <row r="89">
      <c r="A89" s="9" t="inlineStr">
        <is>
          <t>103806-46</t>
        </is>
      </c>
      <c r="B89" s="10" t="inlineStr">
        <is>
          <t>YOUnite</t>
        </is>
      </c>
      <c r="C89" s="11" t="inlineStr">
        <is>
          <t>94041</t>
        </is>
      </c>
      <c r="D89" s="12" t="inlineStr">
        <is>
          <t>Provider of an online data-sharing platform. The company provides a web-based platform that enables the users to exchange information or private data securely.</t>
        </is>
      </c>
      <c r="E89" s="13" t="inlineStr">
        <is>
          <t>Social/Platform Software</t>
        </is>
      </c>
      <c r="F89" s="14" t="inlineStr">
        <is>
          <t>Mountain View, CA</t>
        </is>
      </c>
      <c r="G89" s="15" t="inlineStr">
        <is>
          <t>Privately Held (backing)</t>
        </is>
      </c>
      <c r="H89" s="16" t="inlineStr">
        <is>
          <t>Angel-Backed</t>
        </is>
      </c>
      <c r="I89" s="17" t="inlineStr">
        <is>
          <t/>
        </is>
      </c>
      <c r="J89" s="18" t="inlineStr">
        <is>
          <t>www.youniteinc.com</t>
        </is>
      </c>
      <c r="K89" s="19" t="inlineStr">
        <is>
          <t>info@youniteinc.com</t>
        </is>
      </c>
      <c r="L89" s="20" t="inlineStr">
        <is>
          <t>+1 (866) 794-4968</t>
        </is>
      </c>
      <c r="M89" s="21" t="inlineStr">
        <is>
          <t>Mark Fitzpatrick</t>
        </is>
      </c>
      <c r="N89" s="22" t="inlineStr">
        <is>
          <t>Co-Founder, Chief Executive Officer, Chief Technology Officer &amp; Board Member</t>
        </is>
      </c>
      <c r="O89" s="23" t="inlineStr">
        <is>
          <t>mark@youniteinc.com</t>
        </is>
      </c>
      <c r="P89" s="24" t="inlineStr">
        <is>
          <t>+1 (866) 794-4968</t>
        </is>
      </c>
      <c r="Q89" s="25" t="n">
        <v>2006.0</v>
      </c>
      <c r="R89" s="113">
        <f>HYPERLINK("https://my.pitchbook.com?c=103806-46", "View company online")</f>
      </c>
    </row>
    <row r="90">
      <c r="A90" s="27" t="inlineStr">
        <is>
          <t>170869-15</t>
        </is>
      </c>
      <c r="B90" s="28" t="inlineStr">
        <is>
          <t>YouFood</t>
        </is>
      </c>
      <c r="C90" s="29" t="inlineStr">
        <is>
          <t>94114</t>
        </is>
      </c>
      <c r="D90" s="30" t="inlineStr">
        <is>
          <t>Developer of a food application intended to discover, share and buy meals of choice. The company's food application is android and iOS based, enabling food lovers to stop dieting, discover and eat food of their choice which will be tasty as well healthy.</t>
        </is>
      </c>
      <c r="E90" s="31" t="inlineStr">
        <is>
          <t>Application Software</t>
        </is>
      </c>
      <c r="F90" s="32" t="inlineStr">
        <is>
          <t>San Francisco, CA</t>
        </is>
      </c>
      <c r="G90" s="33" t="inlineStr">
        <is>
          <t>Privately Held (backing)</t>
        </is>
      </c>
      <c r="H90" s="34" t="inlineStr">
        <is>
          <t>Accelerator/Incubator Backed</t>
        </is>
      </c>
      <c r="I90" s="35" t="inlineStr">
        <is>
          <t>NFX Guild</t>
        </is>
      </c>
      <c r="J90" s="36" t="inlineStr">
        <is>
          <t>www.joinyoufood.com</t>
        </is>
      </c>
      <c r="K90" s="37" t="inlineStr">
        <is>
          <t>team@twogrand.com</t>
        </is>
      </c>
      <c r="L90" s="38" t="inlineStr">
        <is>
          <t/>
        </is>
      </c>
      <c r="M90" s="39" t="inlineStr">
        <is>
          <t>Peter Simones</t>
        </is>
      </c>
      <c r="N90" s="40" t="inlineStr">
        <is>
          <t>Co-Founder &amp; Chief Executive Officer</t>
        </is>
      </c>
      <c r="O90" s="41" t="inlineStr">
        <is>
          <t>peter@joinyoufood.com</t>
        </is>
      </c>
      <c r="P90" s="42" t="inlineStr">
        <is>
          <t/>
        </is>
      </c>
      <c r="Q90" s="43" t="n">
        <v>2013.0</v>
      </c>
      <c r="R90" s="114">
        <f>HYPERLINK("https://my.pitchbook.com?c=170869-15", "View company online")</f>
      </c>
    </row>
    <row r="91">
      <c r="A91" s="9" t="inlineStr">
        <is>
          <t>83340-55</t>
        </is>
      </c>
      <c r="B91" s="10" t="inlineStr">
        <is>
          <t>Youbeo</t>
        </is>
      </c>
      <c r="C91" s="11" t="inlineStr">
        <is>
          <t>90292</t>
        </is>
      </c>
      <c r="D91" s="12" t="inlineStr">
        <is>
          <t>Provider of food delivery services. The company offers an online platform that enables students at universities to have orders catered from campus restaurants that do not already have delivery services.</t>
        </is>
      </c>
      <c r="E91" s="13" t="inlineStr">
        <is>
          <t>Other Services (B2C Non-Financial)</t>
        </is>
      </c>
      <c r="F91" s="14" t="inlineStr">
        <is>
          <t>Marina del Rey, CA</t>
        </is>
      </c>
      <c r="G91" s="15" t="inlineStr">
        <is>
          <t>Privately Held (backing)</t>
        </is>
      </c>
      <c r="H91" s="16" t="inlineStr">
        <is>
          <t>Accelerator/Incubator Backed</t>
        </is>
      </c>
      <c r="I91" s="17" t="inlineStr">
        <is>
          <t>Bantam Group, Betaspring, Individual Investor, Joe Caruso, KohFounders, Sean Glass, Semyon Dukach</t>
        </is>
      </c>
      <c r="J91" s="18" t="inlineStr">
        <is>
          <t>www.crunchbutton.com</t>
        </is>
      </c>
      <c r="K91" s="19" t="inlineStr">
        <is>
          <t>happycustomers@crunchbutton.com</t>
        </is>
      </c>
      <c r="L91" s="20" t="inlineStr">
        <is>
          <t>+1 (646) 783-1444</t>
        </is>
      </c>
      <c r="M91" s="21" t="inlineStr">
        <is>
          <t>Judd Rosenblatt</t>
        </is>
      </c>
      <c r="N91" s="22" t="inlineStr">
        <is>
          <t>Chief Executive Officer &amp; Co-Founder</t>
        </is>
      </c>
      <c r="O91" s="23" t="inlineStr">
        <is>
          <t>judd.rosenblatt@crunchbutton.com</t>
        </is>
      </c>
      <c r="P91" s="24" t="inlineStr">
        <is>
          <t>+1 (646) 783-1444</t>
        </is>
      </c>
      <c r="Q91" s="25" t="n">
        <v>2011.0</v>
      </c>
      <c r="R91" s="113">
        <f>HYPERLINK("https://my.pitchbook.com?c=83340-55", "View company online")</f>
      </c>
    </row>
    <row r="92">
      <c r="A92" s="27" t="inlineStr">
        <is>
          <t>121374-82</t>
        </is>
      </c>
      <c r="B92" s="28" t="inlineStr">
        <is>
          <t>You3Dit</t>
        </is>
      </c>
      <c r="C92" s="29" t="inlineStr">
        <is>
          <t>94704</t>
        </is>
      </c>
      <c r="D92" s="30" t="inlineStr">
        <is>
          <t>Provider of a global platform of 3D designers and digital fabricators. The company's platform offers its customers personalized 3D printing and provides expert 3D designers with desktop manufacturing tools to transform ideas into reality.</t>
        </is>
      </c>
      <c r="E92" s="31" t="inlineStr">
        <is>
          <t>Social/Platform Software</t>
        </is>
      </c>
      <c r="F92" s="32" t="inlineStr">
        <is>
          <t>Berkeley, CA</t>
        </is>
      </c>
      <c r="G92" s="33" t="inlineStr">
        <is>
          <t>Privately Held (backing)</t>
        </is>
      </c>
      <c r="H92" s="34" t="inlineStr">
        <is>
          <t>Accelerator/Incubator Backed</t>
        </is>
      </c>
      <c r="I92" s="35" t="inlineStr">
        <is>
          <t>Skydeck | Berkeley</t>
        </is>
      </c>
      <c r="J92" s="36" t="inlineStr">
        <is>
          <t>www.you3dit.com</t>
        </is>
      </c>
      <c r="K92" s="37" t="inlineStr">
        <is>
          <t>info@you3dit.com</t>
        </is>
      </c>
      <c r="L92" s="38" t="inlineStr">
        <is>
          <t/>
        </is>
      </c>
      <c r="M92" s="39" t="inlineStr">
        <is>
          <t>Chris McCoy</t>
        </is>
      </c>
      <c r="N92" s="40" t="inlineStr">
        <is>
          <t>Co-Founder &amp; Chief Executive Officer</t>
        </is>
      </c>
      <c r="O92" s="41" t="inlineStr">
        <is>
          <t>chris@you3dit.com</t>
        </is>
      </c>
      <c r="P92" s="42" t="inlineStr">
        <is>
          <t/>
        </is>
      </c>
      <c r="Q92" s="43" t="n">
        <v>2013.0</v>
      </c>
      <c r="R92" s="114">
        <f>HYPERLINK("https://my.pitchbook.com?c=121374-82", "View company online")</f>
      </c>
    </row>
    <row r="93">
      <c r="A93" s="9" t="inlineStr">
        <is>
          <t>103479-49</t>
        </is>
      </c>
      <c r="B93" s="10" t="inlineStr">
        <is>
          <t>Yottio</t>
        </is>
      </c>
      <c r="C93" s="11" t="inlineStr">
        <is>
          <t/>
        </is>
      </c>
      <c r="D93" s="12" t="inlineStr">
        <is>
          <t>Developer of a live video trafficking platform. The company specializes in developing an online real-time video community that enables the fans or viewers to connect with media makers via live video.</t>
        </is>
      </c>
      <c r="E93" s="13" t="inlineStr">
        <is>
          <t>Broadcasting, Radio and Television</t>
        </is>
      </c>
      <c r="F93" s="14" t="inlineStr">
        <is>
          <t>Los Angeles, CA</t>
        </is>
      </c>
      <c r="G93" s="15" t="inlineStr">
        <is>
          <t>Privately Held (backing)</t>
        </is>
      </c>
      <c r="H93" s="16" t="inlineStr">
        <is>
          <t>Angel-Backed</t>
        </is>
      </c>
      <c r="I93" s="17" t="inlineStr">
        <is>
          <t>Christophe Louvion, Daniele Guidi, Individual Investor, JJ Sansone, Kwaai Oak, Stan Miroshnik</t>
        </is>
      </c>
      <c r="J93" s="18" t="inlineStr">
        <is>
          <t>www.yott.io</t>
        </is>
      </c>
      <c r="K93" s="19" t="inlineStr">
        <is>
          <t/>
        </is>
      </c>
      <c r="L93" s="20" t="inlineStr">
        <is>
          <t/>
        </is>
      </c>
      <c r="M93" s="21" t="inlineStr">
        <is>
          <t>Jon Lawrence</t>
        </is>
      </c>
      <c r="N93" s="22" t="inlineStr">
        <is>
          <t>Co-Founder, Chief Executive Officer, President &amp; Board Member</t>
        </is>
      </c>
      <c r="O93" s="23" t="inlineStr">
        <is>
          <t/>
        </is>
      </c>
      <c r="P93" s="24" t="inlineStr">
        <is>
          <t/>
        </is>
      </c>
      <c r="Q93" s="25" t="n">
        <v>2013.0</v>
      </c>
      <c r="R93" s="113">
        <f>HYPERLINK("https://my.pitchbook.com?c=103479-49", "View company online")</f>
      </c>
    </row>
    <row r="94">
      <c r="A94" s="27" t="inlineStr">
        <is>
          <t>154990-18</t>
        </is>
      </c>
      <c r="B94" s="28" t="inlineStr">
        <is>
          <t>Yosemite Bigwalls</t>
        </is>
      </c>
      <c r="C94" s="29" t="inlineStr">
        <is>
          <t>95383</t>
        </is>
      </c>
      <c r="D94" s="30" t="inlineStr">
        <is>
          <t>Publisher of a rock climbing guide book. The company publishes a hardbound and digital guide book for rock climbing containing content for enthusiasts.</t>
        </is>
      </c>
      <c r="E94" s="31" t="inlineStr">
        <is>
          <t>Publishing</t>
        </is>
      </c>
      <c r="F94" s="32" t="inlineStr">
        <is>
          <t>Twain Harte, CA</t>
        </is>
      </c>
      <c r="G94" s="33" t="inlineStr">
        <is>
          <t>Privately Held (backing)</t>
        </is>
      </c>
      <c r="H94" s="34" t="inlineStr">
        <is>
          <t>Angel-Backed</t>
        </is>
      </c>
      <c r="I94" s="35" t="inlineStr">
        <is>
          <t/>
        </is>
      </c>
      <c r="J94" s="36" t="inlineStr">
        <is>
          <t>www.yosemitebigwall.com</t>
        </is>
      </c>
      <c r="K94" s="37" t="inlineStr">
        <is>
          <t/>
        </is>
      </c>
      <c r="L94" s="38" t="inlineStr">
        <is>
          <t/>
        </is>
      </c>
      <c r="M94" s="39" t="inlineStr">
        <is>
          <t>Erik Sloan</t>
        </is>
      </c>
      <c r="N94" s="40" t="inlineStr">
        <is>
          <t>Founder, Author &amp; Owner</t>
        </is>
      </c>
      <c r="O94" s="41" t="inlineStr">
        <is>
          <t>erik@yosemitebigwall.com</t>
        </is>
      </c>
      <c r="P94" s="42" t="inlineStr">
        <is>
          <t/>
        </is>
      </c>
      <c r="Q94" s="43" t="n">
        <v>2008.0</v>
      </c>
      <c r="R94" s="114">
        <f>HYPERLINK("https://my.pitchbook.com?c=154990-18", "View company online")</f>
      </c>
    </row>
    <row r="95">
      <c r="A95" s="9" t="inlineStr">
        <is>
          <t>103462-75</t>
        </is>
      </c>
      <c r="B95" s="10" t="inlineStr">
        <is>
          <t>YoPro Global</t>
        </is>
      </c>
      <c r="C95" s="11" t="inlineStr">
        <is>
          <t>94107</t>
        </is>
      </c>
      <c r="D95" s="12" t="inlineStr">
        <is>
          <t>Provider of a social platform for personal and professional development of youths. The company provides a social platform and a global networking syatem for young professionals to develop personally and professionally with the help of programs, experiences and resources.</t>
        </is>
      </c>
      <c r="E95" s="13" t="inlineStr">
        <is>
          <t>Social Content</t>
        </is>
      </c>
      <c r="F95" s="14" t="inlineStr">
        <is>
          <t>San Francisco, CA</t>
        </is>
      </c>
      <c r="G95" s="15" t="inlineStr">
        <is>
          <t>Privately Held (backing)</t>
        </is>
      </c>
      <c r="H95" s="16" t="inlineStr">
        <is>
          <t>Angel-Backed</t>
        </is>
      </c>
      <c r="I95" s="17" t="inlineStr">
        <is>
          <t/>
        </is>
      </c>
      <c r="J95" s="18" t="inlineStr">
        <is>
          <t>www.yoproglobal.org</t>
        </is>
      </c>
      <c r="K95" s="19" t="inlineStr">
        <is>
          <t/>
        </is>
      </c>
      <c r="L95" s="20" t="inlineStr">
        <is>
          <t/>
        </is>
      </c>
      <c r="M95" s="21" t="inlineStr">
        <is>
          <t>Ty Richardson</t>
        </is>
      </c>
      <c r="N95" s="22" t="inlineStr">
        <is>
          <t>Co-Founder, Chief Young Professional &amp; Chief Executive Officer</t>
        </is>
      </c>
      <c r="O95" s="23" t="inlineStr">
        <is>
          <t>ty@yoproglobal.org</t>
        </is>
      </c>
      <c r="P95" s="24" t="inlineStr">
        <is>
          <t/>
        </is>
      </c>
      <c r="Q95" s="25" t="n">
        <v>2011.0</v>
      </c>
      <c r="R95" s="113">
        <f>HYPERLINK("https://my.pitchbook.com?c=103462-75", "View company online")</f>
      </c>
    </row>
    <row r="96">
      <c r="A96" s="27" t="inlineStr">
        <is>
          <t>98227-54</t>
        </is>
      </c>
      <c r="B96" s="28" t="inlineStr">
        <is>
          <t>Yoolod</t>
        </is>
      </c>
      <c r="C96" s="29" t="inlineStr">
        <is>
          <t>95113</t>
        </is>
      </c>
      <c r="D96" s="30" t="inlineStr">
        <is>
          <t>Developer and provider of an online voice control platform. The company enables users to voice control a live person which is equipped with a point of view camera and streaming live HD video of what it sees and hears.</t>
        </is>
      </c>
      <c r="E96" s="31" t="inlineStr">
        <is>
          <t>Social/Platform Software</t>
        </is>
      </c>
      <c r="F96" s="32" t="inlineStr">
        <is>
          <t>San Jose, CA</t>
        </is>
      </c>
      <c r="G96" s="33" t="inlineStr">
        <is>
          <t>Privately Held (backing)</t>
        </is>
      </c>
      <c r="H96" s="34" t="inlineStr">
        <is>
          <t>Accelerator/Incubator Backed</t>
        </is>
      </c>
      <c r="I96" s="35" t="inlineStr">
        <is>
          <t>Plug and Play Tech Center, Tech Wildcatters</t>
        </is>
      </c>
      <c r="J96" s="36" t="inlineStr">
        <is>
          <t>www.yoolod.com</t>
        </is>
      </c>
      <c r="K96" s="37" t="inlineStr">
        <is>
          <t>info@yoolod.com</t>
        </is>
      </c>
      <c r="L96" s="38" t="inlineStr">
        <is>
          <t>+1 (650) 335-5663</t>
        </is>
      </c>
      <c r="M96" s="39" t="inlineStr">
        <is>
          <t>Mirza Muftic</t>
        </is>
      </c>
      <c r="N96" s="40" t="inlineStr">
        <is>
          <t>Co-Founder, Board Member &amp; Chief Executive Officer</t>
        </is>
      </c>
      <c r="O96" s="41" t="inlineStr">
        <is>
          <t>mirza@yoolod.com</t>
        </is>
      </c>
      <c r="P96" s="42" t="inlineStr">
        <is>
          <t>+1 (650) 335-5663</t>
        </is>
      </c>
      <c r="Q96" s="43" t="n">
        <v>2013.0</v>
      </c>
      <c r="R96" s="114">
        <f>HYPERLINK("https://my.pitchbook.com?c=98227-54", "View company online")</f>
      </c>
    </row>
    <row r="97">
      <c r="A97" s="9" t="inlineStr">
        <is>
          <t>164212-75</t>
        </is>
      </c>
      <c r="B97" s="10" t="inlineStr">
        <is>
          <t>Yooli Foods</t>
        </is>
      </c>
      <c r="C97" s="11" t="inlineStr">
        <is>
          <t>94111</t>
        </is>
      </c>
      <c r="D97" s="12" t="inlineStr">
        <is>
          <t>Producer of dairy-based snacks. The company offers flavored dairy-based snacks such as cheese bars and cheese cream made from natural ingredients.</t>
        </is>
      </c>
      <c r="E97" s="13" t="inlineStr">
        <is>
          <t>Food Products</t>
        </is>
      </c>
      <c r="F97" s="14" t="inlineStr">
        <is>
          <t>San Francisco, CA</t>
        </is>
      </c>
      <c r="G97" s="15" t="inlineStr">
        <is>
          <t>Privately Held (backing)</t>
        </is>
      </c>
      <c r="H97" s="16" t="inlineStr">
        <is>
          <t>Angel-Backed</t>
        </is>
      </c>
      <c r="I97" s="17" t="inlineStr">
        <is>
          <t/>
        </is>
      </c>
      <c r="J97" s="18" t="inlineStr">
        <is>
          <t>www.yoolifoods.com</t>
        </is>
      </c>
      <c r="K97" s="19" t="inlineStr">
        <is>
          <t/>
        </is>
      </c>
      <c r="L97" s="20" t="inlineStr">
        <is>
          <t>+1 (310) 356-4613</t>
        </is>
      </c>
      <c r="M97" s="21" t="inlineStr">
        <is>
          <t>Yuliya Flynn</t>
        </is>
      </c>
      <c r="N97" s="22" t="inlineStr">
        <is>
          <t>Co-Founder, Chief Executive Officer &amp; Board Member</t>
        </is>
      </c>
      <c r="O97" s="23" t="inlineStr">
        <is>
          <t>yuliya@yoolifoods.com</t>
        </is>
      </c>
      <c r="P97" s="24" t="inlineStr">
        <is>
          <t>+1 (310) 356-4613</t>
        </is>
      </c>
      <c r="Q97" s="25" t="n">
        <v>2014.0</v>
      </c>
      <c r="R97" s="113">
        <f>HYPERLINK("https://my.pitchbook.com?c=164212-75", "View company online")</f>
      </c>
    </row>
    <row r="98">
      <c r="A98" s="27" t="inlineStr">
        <is>
          <t>172422-55</t>
        </is>
      </c>
      <c r="B98" s="28" t="inlineStr">
        <is>
          <t>YoloData</t>
        </is>
      </c>
      <c r="C98" s="86">
        <f>HYPERLINK("https://my.pitchbook.com?rrp=172422-55&amp;type=c", "This Company's information is not available to download. Need this Company? Request availability")</f>
      </c>
      <c r="D98" s="30" t="inlineStr">
        <is>
          <t/>
        </is>
      </c>
      <c r="E98" s="31" t="inlineStr">
        <is>
          <t/>
        </is>
      </c>
      <c r="F98" s="32" t="inlineStr">
        <is>
          <t/>
        </is>
      </c>
      <c r="G98" s="33" t="inlineStr">
        <is>
          <t/>
        </is>
      </c>
      <c r="H98" s="34" t="inlineStr">
        <is>
          <t/>
        </is>
      </c>
      <c r="I98" s="35" t="inlineStr">
        <is>
          <t/>
        </is>
      </c>
      <c r="J98" s="36" t="inlineStr">
        <is>
          <t/>
        </is>
      </c>
      <c r="K98" s="37" t="inlineStr">
        <is>
          <t/>
        </is>
      </c>
      <c r="L98" s="38" t="inlineStr">
        <is>
          <t/>
        </is>
      </c>
      <c r="M98" s="39" t="inlineStr">
        <is>
          <t/>
        </is>
      </c>
      <c r="N98" s="40" t="inlineStr">
        <is>
          <t/>
        </is>
      </c>
      <c r="O98" s="41" t="inlineStr">
        <is>
          <t/>
        </is>
      </c>
      <c r="P98" s="42" t="inlineStr">
        <is>
          <t/>
        </is>
      </c>
      <c r="Q98" s="43" t="inlineStr">
        <is>
          <t/>
        </is>
      </c>
      <c r="R98" s="44" t="inlineStr">
        <is>
          <t/>
        </is>
      </c>
    </row>
    <row r="99">
      <c r="A99" s="9" t="inlineStr">
        <is>
          <t>169750-90</t>
        </is>
      </c>
      <c r="B99" s="10" t="inlineStr">
        <is>
          <t>Yoke Payments</t>
        </is>
      </c>
      <c r="C99" s="11" t="inlineStr">
        <is>
          <t>90028</t>
        </is>
      </c>
      <c r="D99" s="12" t="inlineStr">
        <is>
          <t>Provider of a mobile application intended to provide self-checkout and inventory management through one payment system. The company's point of sale mobile application provides an inventory management platform enables real-time inventory tracking and customized reports in order to avoid hassle of check-out lines and costly hardware.</t>
        </is>
      </c>
      <c r="E99" s="13" t="inlineStr">
        <is>
          <t>Application Software</t>
        </is>
      </c>
      <c r="F99" s="14" t="inlineStr">
        <is>
          <t>Los Angeles, CA</t>
        </is>
      </c>
      <c r="G99" s="15" t="inlineStr">
        <is>
          <t>Privately Held (backing)</t>
        </is>
      </c>
      <c r="H99" s="16" t="inlineStr">
        <is>
          <t>Accelerator/Incubator Backed</t>
        </is>
      </c>
      <c r="I99" s="17" t="inlineStr">
        <is>
          <t>CSI Kick Start</t>
        </is>
      </c>
      <c r="J99" s="18" t="inlineStr">
        <is>
          <t>www.yokepayments.com</t>
        </is>
      </c>
      <c r="K99" s="19" t="inlineStr">
        <is>
          <t>info@yokepayments.com</t>
        </is>
      </c>
      <c r="L99" s="20" t="inlineStr">
        <is>
          <t>+1 (805) 372-1637</t>
        </is>
      </c>
      <c r="M99" s="21" t="inlineStr">
        <is>
          <t>Michael Johnson</t>
        </is>
      </c>
      <c r="N99" s="22" t="inlineStr">
        <is>
          <t>Co-Founder</t>
        </is>
      </c>
      <c r="O99" s="23" t="inlineStr">
        <is>
          <t>michael@wearednm.com</t>
        </is>
      </c>
      <c r="P99" s="24" t="inlineStr">
        <is>
          <t>+1 (805) 372-1637</t>
        </is>
      </c>
      <c r="Q99" s="25" t="n">
        <v>2014.0</v>
      </c>
      <c r="R99" s="113">
        <f>HYPERLINK("https://my.pitchbook.com?c=169750-90", "View company online")</f>
      </c>
    </row>
    <row r="100">
      <c r="A100" s="27" t="inlineStr">
        <is>
          <t>132096-61</t>
        </is>
      </c>
      <c r="B100" s="28" t="inlineStr">
        <is>
          <t>Yoderm</t>
        </is>
      </c>
      <c r="C100" s="29" t="inlineStr">
        <is>
          <t>94705</t>
        </is>
      </c>
      <c r="D100" s="30" t="inlineStr">
        <is>
          <t>Developer of an online platform for connecting patients with dermatologists. The company develops a platform that enables users to get online acne consultation from dermatologists.</t>
        </is>
      </c>
      <c r="E100" s="31" t="inlineStr">
        <is>
          <t>Application Software</t>
        </is>
      </c>
      <c r="F100" s="32" t="inlineStr">
        <is>
          <t>Berkeley, CA</t>
        </is>
      </c>
      <c r="G100" s="33" t="inlineStr">
        <is>
          <t>Privately Held (backing)</t>
        </is>
      </c>
      <c r="H100" s="34" t="inlineStr">
        <is>
          <t>Accelerator/Incubator Backed</t>
        </is>
      </c>
      <c r="I100" s="35" t="inlineStr">
        <is>
          <t>500 Startups, Barich Business Services</t>
        </is>
      </c>
      <c r="J100" s="36" t="inlineStr">
        <is>
          <t>www.yoderm.com</t>
        </is>
      </c>
      <c r="K100" s="37" t="inlineStr">
        <is>
          <t>contact@yoderm.com</t>
        </is>
      </c>
      <c r="L100" s="38" t="inlineStr">
        <is>
          <t>+1 (408) 596-3376</t>
        </is>
      </c>
      <c r="M100" s="39" t="inlineStr">
        <is>
          <t>Benjamin Holber</t>
        </is>
      </c>
      <c r="N100" s="40" t="inlineStr">
        <is>
          <t>Chief Executive Officer and Co-Founder</t>
        </is>
      </c>
      <c r="O100" s="41" t="inlineStr">
        <is>
          <t>benjamin@yoderm.com</t>
        </is>
      </c>
      <c r="P100" s="42" t="inlineStr">
        <is>
          <t>+1 (408) 596-3376</t>
        </is>
      </c>
      <c r="Q100" s="43" t="n">
        <v>2012.0</v>
      </c>
      <c r="R100" s="114">
        <f>HYPERLINK("https://my.pitchbook.com?c=132096-61", "View company online")</f>
      </c>
    </row>
    <row r="101">
      <c r="A101" s="9" t="inlineStr">
        <is>
          <t>176510-89</t>
        </is>
      </c>
      <c r="B101" s="10" t="inlineStr">
        <is>
          <t>Yobs</t>
        </is>
      </c>
      <c r="C101" s="85">
        <f>HYPERLINK("https://my.pitchbook.com?rrp=176510-89&amp;type=c", "This Company's information is not available to download. Need this Company? Request availability")</f>
      </c>
      <c r="D101" s="12" t="inlineStr">
        <is>
          <t/>
        </is>
      </c>
      <c r="E101" s="13" t="inlineStr">
        <is>
          <t/>
        </is>
      </c>
      <c r="F101" s="14" t="inlineStr">
        <is>
          <t/>
        </is>
      </c>
      <c r="G101" s="15" t="inlineStr">
        <is>
          <t/>
        </is>
      </c>
      <c r="H101" s="16" t="inlineStr">
        <is>
          <t/>
        </is>
      </c>
      <c r="I101" s="17" t="inlineStr">
        <is>
          <t/>
        </is>
      </c>
      <c r="J101" s="18" t="inlineStr">
        <is>
          <t/>
        </is>
      </c>
      <c r="K101" s="19" t="inlineStr">
        <is>
          <t/>
        </is>
      </c>
      <c r="L101" s="20" t="inlineStr">
        <is>
          <t/>
        </is>
      </c>
      <c r="M101" s="21" t="inlineStr">
        <is>
          <t/>
        </is>
      </c>
      <c r="N101" s="22" t="inlineStr">
        <is>
          <t/>
        </is>
      </c>
      <c r="O101" s="23" t="inlineStr">
        <is>
          <t/>
        </is>
      </c>
      <c r="P101" s="24" t="inlineStr">
        <is>
          <t/>
        </is>
      </c>
      <c r="Q101" s="25" t="inlineStr">
        <is>
          <t/>
        </is>
      </c>
      <c r="R101" s="26" t="inlineStr">
        <is>
          <t/>
        </is>
      </c>
    </row>
    <row r="102">
      <c r="A102" s="27" t="inlineStr">
        <is>
          <t>104297-68</t>
        </is>
      </c>
      <c r="B102" s="28" t="inlineStr">
        <is>
          <t>Y-Klub</t>
        </is>
      </c>
      <c r="C102" s="29" t="inlineStr">
        <is>
          <t>94164</t>
        </is>
      </c>
      <c r="D102" s="30" t="inlineStr">
        <is>
          <t>Developer of a web-based social networking software. The company develops an application called SmartKal for friends to share plans and find events.</t>
        </is>
      </c>
      <c r="E102" s="31" t="inlineStr">
        <is>
          <t>Application Software</t>
        </is>
      </c>
      <c r="F102" s="32" t="inlineStr">
        <is>
          <t>San Francisco, CA</t>
        </is>
      </c>
      <c r="G102" s="33" t="inlineStr">
        <is>
          <t>Privately Held (backing)</t>
        </is>
      </c>
      <c r="H102" s="34" t="inlineStr">
        <is>
          <t>Angel-Backed</t>
        </is>
      </c>
      <c r="I102" s="35" t="inlineStr">
        <is>
          <t/>
        </is>
      </c>
      <c r="J102" s="36" t="inlineStr">
        <is>
          <t>www.y-klub.com</t>
        </is>
      </c>
      <c r="K102" s="37" t="inlineStr">
        <is>
          <t>support@y-klub.com</t>
        </is>
      </c>
      <c r="L102" s="38" t="inlineStr">
        <is>
          <t>+1 (415) 800-3621</t>
        </is>
      </c>
      <c r="M102" s="39" t="inlineStr">
        <is>
          <t>Riz Alani</t>
        </is>
      </c>
      <c r="N102" s="40" t="inlineStr">
        <is>
          <t>Co-Founder</t>
        </is>
      </c>
      <c r="O102" s="41" t="inlineStr">
        <is>
          <t>riz.alani@y-klub.com</t>
        </is>
      </c>
      <c r="P102" s="42" t="inlineStr">
        <is>
          <t>+1 (415) 800-3621</t>
        </is>
      </c>
      <c r="Q102" s="43" t="n">
        <v>2010.0</v>
      </c>
      <c r="R102" s="114">
        <f>HYPERLINK("https://my.pitchbook.com?c=104297-68", "View company online")</f>
      </c>
    </row>
    <row r="103">
      <c r="A103" s="9" t="inlineStr">
        <is>
          <t>168831-01</t>
        </is>
      </c>
      <c r="B103" s="10" t="inlineStr">
        <is>
          <t>YiTuuX</t>
        </is>
      </c>
      <c r="C103" s="11" t="inlineStr">
        <is>
          <t/>
        </is>
      </c>
      <c r="D103" s="12" t="inlineStr">
        <is>
          <t>Developer of a medical image recognition tool. The company develops a cloud-based tool which uses machine learning and artificial intelligence to facilitate diagnosis and medical image recognition.</t>
        </is>
      </c>
      <c r="E103" s="13" t="inlineStr">
        <is>
          <t>Other Healthcare Technology Systems</t>
        </is>
      </c>
      <c r="F103" s="14" t="inlineStr">
        <is>
          <t>Berkeley, CA</t>
        </is>
      </c>
      <c r="G103" s="15" t="inlineStr">
        <is>
          <t>Privately Held (backing)</t>
        </is>
      </c>
      <c r="H103" s="16" t="inlineStr">
        <is>
          <t>Accelerator/Incubator Backed</t>
        </is>
      </c>
      <c r="I103" s="17" t="inlineStr">
        <is>
          <t>Skydeck | Berkeley</t>
        </is>
      </c>
      <c r="J103" s="18" t="inlineStr">
        <is>
          <t>www.yituux.com</t>
        </is>
      </c>
      <c r="K103" s="19" t="inlineStr">
        <is>
          <t/>
        </is>
      </c>
      <c r="L103" s="20" t="inlineStr">
        <is>
          <t/>
        </is>
      </c>
      <c r="M103" s="21" t="inlineStr">
        <is>
          <t>Jason Chang</t>
        </is>
      </c>
      <c r="N103" s="22" t="inlineStr">
        <is>
          <t>Founder</t>
        </is>
      </c>
      <c r="O103" s="23" t="inlineStr">
        <is>
          <t>jason.chang@yituux.com</t>
        </is>
      </c>
      <c r="P103" s="24" t="inlineStr">
        <is>
          <t/>
        </is>
      </c>
      <c r="Q103" s="25" t="inlineStr">
        <is>
          <t/>
        </is>
      </c>
      <c r="R103" s="113">
        <f>HYPERLINK("https://my.pitchbook.com?c=168831-01", "View company online")</f>
      </c>
    </row>
    <row r="104">
      <c r="A104" s="27" t="inlineStr">
        <is>
          <t>104775-94</t>
        </is>
      </c>
      <c r="B104" s="28" t="inlineStr">
        <is>
          <t>Yiip</t>
        </is>
      </c>
      <c r="C104" s="29" t="inlineStr">
        <is>
          <t>94105</t>
        </is>
      </c>
      <c r="D104" s="30" t="inlineStr">
        <is>
          <t>Provider of a real-time messaging platform. The company provides a platform which offers real-time voice-messaging through push-to-talk model which is also available as an API/SDK to integrate into applications.</t>
        </is>
      </c>
      <c r="E104" s="31" t="inlineStr">
        <is>
          <t>Communication Software</t>
        </is>
      </c>
      <c r="F104" s="32" t="inlineStr">
        <is>
          <t>San Francisco, CA</t>
        </is>
      </c>
      <c r="G104" s="33" t="inlineStr">
        <is>
          <t>Privately Held (backing)</t>
        </is>
      </c>
      <c r="H104" s="34" t="inlineStr">
        <is>
          <t>Angel-Backed</t>
        </is>
      </c>
      <c r="I104" s="35" t="inlineStr">
        <is>
          <t/>
        </is>
      </c>
      <c r="J104" s="36" t="inlineStr">
        <is>
          <t>www.voicelayer.io</t>
        </is>
      </c>
      <c r="K104" s="37" t="inlineStr">
        <is>
          <t>contact@voicelayer.io</t>
        </is>
      </c>
      <c r="L104" s="38" t="inlineStr">
        <is>
          <t>+1 (415) 633-6457</t>
        </is>
      </c>
      <c r="M104" s="39" t="inlineStr">
        <is>
          <t>Taylor Bollman</t>
        </is>
      </c>
      <c r="N104" s="40" t="inlineStr">
        <is>
          <t>Co-Founder &amp; Chief Executive Officer</t>
        </is>
      </c>
      <c r="O104" s="41" t="inlineStr">
        <is>
          <t>taylor@voicelayer.io</t>
        </is>
      </c>
      <c r="P104" s="42" t="inlineStr">
        <is>
          <t>+1 (415) 633-6457</t>
        </is>
      </c>
      <c r="Q104" s="43" t="n">
        <v>2013.0</v>
      </c>
      <c r="R104" s="114">
        <f>HYPERLINK("https://my.pitchbook.com?c=104775-94", "View company online")</f>
      </c>
    </row>
    <row r="105">
      <c r="A105" s="9" t="inlineStr">
        <is>
          <t>58128-40</t>
        </is>
      </c>
      <c r="B105" s="10" t="inlineStr">
        <is>
          <t>Yidio</t>
        </is>
      </c>
      <c r="C105" s="11" t="inlineStr">
        <is>
          <t>94105</t>
        </is>
      </c>
      <c r="D105" s="12" t="inlineStr">
        <is>
          <t>Developer of a cross platform search and discovery application for TV Shows &amp; Movies. The company's application makes it easy to search, discover, and watch more than 1 million movies and TV shows across every content provider including Hulu, Amazon, iTunes, Netflix, and many more.</t>
        </is>
      </c>
      <c r="E105" s="13" t="inlineStr">
        <is>
          <t>Application Software</t>
        </is>
      </c>
      <c r="F105" s="14" t="inlineStr">
        <is>
          <t>San Francisco, CA</t>
        </is>
      </c>
      <c r="G105" s="15" t="inlineStr">
        <is>
          <t>Privately Held (backing)</t>
        </is>
      </c>
      <c r="H105" s="16" t="inlineStr">
        <is>
          <t>Angel-Backed</t>
        </is>
      </c>
      <c r="I105" s="17" t="inlineStr">
        <is>
          <t>Alan Warms, Bill Luby, Jamie Crouthamel, Jim Collis, Lon Chow</t>
        </is>
      </c>
      <c r="J105" s="18" t="inlineStr">
        <is>
          <t>www.yidio.com</t>
        </is>
      </c>
      <c r="K105" s="19" t="inlineStr">
        <is>
          <t/>
        </is>
      </c>
      <c r="L105" s="20" t="inlineStr">
        <is>
          <t/>
        </is>
      </c>
      <c r="M105" s="21" t="inlineStr">
        <is>
          <t>John McCaw</t>
        </is>
      </c>
      <c r="N105" s="22" t="inlineStr">
        <is>
          <t>Chief Revenue Officer</t>
        </is>
      </c>
      <c r="O105" s="23" t="inlineStr">
        <is>
          <t>john@yidio.com</t>
        </is>
      </c>
      <c r="P105" s="24" t="inlineStr">
        <is>
          <t/>
        </is>
      </c>
      <c r="Q105" s="25" t="n">
        <v>2008.0</v>
      </c>
      <c r="R105" s="113">
        <f>HYPERLINK("https://my.pitchbook.com?c=58128-40", "View company online")</f>
      </c>
    </row>
    <row r="106">
      <c r="A106" s="27" t="inlineStr">
        <is>
          <t>156306-07</t>
        </is>
      </c>
      <c r="B106" s="28" t="inlineStr">
        <is>
          <t>YFret</t>
        </is>
      </c>
      <c r="C106" s="29" t="inlineStr">
        <is>
          <t>94306</t>
        </is>
      </c>
      <c r="D106" s="30" t="inlineStr">
        <is>
          <t>Developer of an online content recommendation platform. The company's platform auto generates content across Web, mobile application and emails and also allows online businesses to send relevant content to their audience.</t>
        </is>
      </c>
      <c r="E106" s="31" t="inlineStr">
        <is>
          <t>Social Content</t>
        </is>
      </c>
      <c r="F106" s="32" t="inlineStr">
        <is>
          <t>Palo Alto, CA</t>
        </is>
      </c>
      <c r="G106" s="33" t="inlineStr">
        <is>
          <t>Privately Held (backing)</t>
        </is>
      </c>
      <c r="H106" s="34" t="inlineStr">
        <is>
          <t>Angel-Backed</t>
        </is>
      </c>
      <c r="I106" s="35" t="inlineStr">
        <is>
          <t>John Cook</t>
        </is>
      </c>
      <c r="J106" s="36" t="inlineStr">
        <is>
          <t>www.yfret.com</t>
        </is>
      </c>
      <c r="K106" s="37" t="inlineStr">
        <is>
          <t>ping@yfret.com</t>
        </is>
      </c>
      <c r="L106" s="38" t="inlineStr">
        <is>
          <t>+1 (650) 868-0332</t>
        </is>
      </c>
      <c r="M106" s="39" t="inlineStr">
        <is>
          <t>Anurag Pal</t>
        </is>
      </c>
      <c r="N106" s="40" t="inlineStr">
        <is>
          <t>Co-Chief Executive Officer, Chief Financial Officer, Secretary and Board Member</t>
        </is>
      </c>
      <c r="O106" s="41" t="inlineStr">
        <is>
          <t>anurag@yfret.com</t>
        </is>
      </c>
      <c r="P106" s="42" t="inlineStr">
        <is>
          <t>+1 (650) 868-0332</t>
        </is>
      </c>
      <c r="Q106" s="43" t="n">
        <v>2015.0</v>
      </c>
      <c r="R106" s="114">
        <f>HYPERLINK("https://my.pitchbook.com?c=156306-07", "View company online")</f>
      </c>
    </row>
    <row r="107">
      <c r="A107" s="9" t="inlineStr">
        <is>
          <t>103443-49</t>
        </is>
      </c>
      <c r="B107" s="10" t="inlineStr">
        <is>
          <t>Yeti Data</t>
        </is>
      </c>
      <c r="C107" s="11" t="inlineStr">
        <is>
          <t>94301</t>
        </is>
      </c>
      <c r="D107" s="12" t="inlineStr">
        <is>
          <t>Developer of an online platform for marketing analytics services. The company provides attribution-based marketing analytics services to business entities dealing with large amounts of data to understand their multi-channel and multi-touch marketing campaigns.</t>
        </is>
      </c>
      <c r="E107" s="13" t="inlineStr">
        <is>
          <t>Social/Platform Software</t>
        </is>
      </c>
      <c r="F107" s="14" t="inlineStr">
        <is>
          <t>Palo Alto, CA</t>
        </is>
      </c>
      <c r="G107" s="15" t="inlineStr">
        <is>
          <t>Privately Held (backing)</t>
        </is>
      </c>
      <c r="H107" s="16" t="inlineStr">
        <is>
          <t>Angel-Backed</t>
        </is>
      </c>
      <c r="I107" s="17" t="inlineStr">
        <is>
          <t>Kirenaga Partners, Raj Sandhu</t>
        </is>
      </c>
      <c r="J107" s="18" t="inlineStr">
        <is>
          <t>www.yetidata.com</t>
        </is>
      </c>
      <c r="K107" s="19" t="inlineStr">
        <is>
          <t/>
        </is>
      </c>
      <c r="L107" s="20" t="inlineStr">
        <is>
          <t>+1 (415) 215-5444</t>
        </is>
      </c>
      <c r="M107" s="21" t="inlineStr">
        <is>
          <t>Victor Szczerba</t>
        </is>
      </c>
      <c r="N107" s="22" t="inlineStr">
        <is>
          <t>Co-Founder &amp; Chief Executive Officer</t>
        </is>
      </c>
      <c r="O107" s="23" t="inlineStr">
        <is>
          <t>victor@yetidata.com</t>
        </is>
      </c>
      <c r="P107" s="24" t="inlineStr">
        <is>
          <t>+1 (415) 215-5444</t>
        </is>
      </c>
      <c r="Q107" s="25" t="n">
        <v>2013.0</v>
      </c>
      <c r="R107" s="113">
        <f>HYPERLINK("https://my.pitchbook.com?c=103443-49", "View company online")</f>
      </c>
    </row>
    <row r="108">
      <c r="A108" s="27" t="inlineStr">
        <is>
          <t>108575-02</t>
        </is>
      </c>
      <c r="B108" s="28" t="inlineStr">
        <is>
          <t>Yes Man Watches</t>
        </is>
      </c>
      <c r="C108" s="29" t="inlineStr">
        <is>
          <t/>
        </is>
      </c>
      <c r="D108" s="30" t="inlineStr">
        <is>
          <t>Manufacturer of watches. The company is specialized in the manufacture and sales of watches and sunglasses in California.</t>
        </is>
      </c>
      <c r="E108" s="31" t="inlineStr">
        <is>
          <t>Accessories</t>
        </is>
      </c>
      <c r="F108" s="32" t="inlineStr">
        <is>
          <t>San Diego, CA</t>
        </is>
      </c>
      <c r="G108" s="33" t="inlineStr">
        <is>
          <t>Privately Held (backing)</t>
        </is>
      </c>
      <c r="H108" s="34" t="inlineStr">
        <is>
          <t>Angel-Backed</t>
        </is>
      </c>
      <c r="I108" s="35" t="inlineStr">
        <is>
          <t/>
        </is>
      </c>
      <c r="J108" s="36" t="inlineStr">
        <is>
          <t>www.beayesman.com</t>
        </is>
      </c>
      <c r="K108" s="37" t="inlineStr">
        <is>
          <t>info@beayesman.com</t>
        </is>
      </c>
      <c r="L108" s="38" t="inlineStr">
        <is>
          <t/>
        </is>
      </c>
      <c r="M108" s="39" t="inlineStr">
        <is>
          <t>Nathan Resnick</t>
        </is>
      </c>
      <c r="N108" s="40" t="inlineStr">
        <is>
          <t>Chief Executive Officer &amp; Founder</t>
        </is>
      </c>
      <c r="O108" s="41" t="inlineStr">
        <is>
          <t>nathan@beayesman.com</t>
        </is>
      </c>
      <c r="P108" s="42" t="inlineStr">
        <is>
          <t/>
        </is>
      </c>
      <c r="Q108" s="43" t="n">
        <v>2013.0</v>
      </c>
      <c r="R108" s="114">
        <f>HYPERLINK("https://my.pitchbook.com?c=108575-02", "View company online")</f>
      </c>
    </row>
    <row r="109">
      <c r="A109" s="9" t="inlineStr">
        <is>
          <t>103430-35</t>
        </is>
      </c>
      <c r="B109" s="10" t="inlineStr">
        <is>
          <t>Yes I Do</t>
        </is>
      </c>
      <c r="C109" s="11" t="inlineStr">
        <is>
          <t>90035</t>
        </is>
      </c>
      <c r="D109" s="12" t="inlineStr">
        <is>
          <t>Provider of an online recruitment platform. The company helps in finding reviews and proposals on people, employers want to work with.</t>
        </is>
      </c>
      <c r="E109" s="13" t="inlineStr">
        <is>
          <t>Human Capital Services</t>
        </is>
      </c>
      <c r="F109" s="14" t="inlineStr">
        <is>
          <t>Los Angeles, CA</t>
        </is>
      </c>
      <c r="G109" s="15" t="inlineStr">
        <is>
          <t>Privately Held (backing)</t>
        </is>
      </c>
      <c r="H109" s="16" t="inlineStr">
        <is>
          <t>Angel-Backed</t>
        </is>
      </c>
      <c r="I109" s="17" t="inlineStr">
        <is>
          <t/>
        </is>
      </c>
      <c r="J109" s="18" t="inlineStr">
        <is>
          <t>www.yescrew.com</t>
        </is>
      </c>
      <c r="K109" s="19" t="inlineStr">
        <is>
          <t>info@yescrew.com</t>
        </is>
      </c>
      <c r="L109" s="20" t="inlineStr">
        <is>
          <t/>
        </is>
      </c>
      <c r="M109" s="21" t="inlineStr">
        <is>
          <t>Michael Perlmutter</t>
        </is>
      </c>
      <c r="N109" s="22" t="inlineStr">
        <is>
          <t>Founder &amp; Chief Executive Officer</t>
        </is>
      </c>
      <c r="O109" s="23" t="inlineStr">
        <is>
          <t>michael@yescrew.com</t>
        </is>
      </c>
      <c r="P109" s="24" t="inlineStr">
        <is>
          <t/>
        </is>
      </c>
      <c r="Q109" s="25" t="n">
        <v>2013.0</v>
      </c>
      <c r="R109" s="113">
        <f>HYPERLINK("https://my.pitchbook.com?c=103430-35", "View company online")</f>
      </c>
    </row>
    <row r="110">
      <c r="A110" s="27" t="inlineStr">
        <is>
          <t>163667-71</t>
        </is>
      </c>
      <c r="B110" s="28" t="inlineStr">
        <is>
          <t>Yepse</t>
        </is>
      </c>
      <c r="C110" s="29" t="inlineStr">
        <is>
          <t>94133</t>
        </is>
      </c>
      <c r="D110" s="30" t="inlineStr">
        <is>
          <t>Provider of a content advertising and marketing platform. The company's platform enables content promotion, audience building as well as advertising rights trading.</t>
        </is>
      </c>
      <c r="E110" s="31" t="inlineStr">
        <is>
          <t>Media and Information Services (B2B)</t>
        </is>
      </c>
      <c r="F110" s="32" t="inlineStr">
        <is>
          <t>San Francisco, CA</t>
        </is>
      </c>
      <c r="G110" s="33" t="inlineStr">
        <is>
          <t>Privately Held (backing)</t>
        </is>
      </c>
      <c r="H110" s="34" t="inlineStr">
        <is>
          <t>Accelerator/Incubator Backed</t>
        </is>
      </c>
      <c r="I110" s="35" t="inlineStr">
        <is>
          <t>Faster Capital</t>
        </is>
      </c>
      <c r="J110" s="36" t="inlineStr">
        <is>
          <t>www.yepse.com</t>
        </is>
      </c>
      <c r="K110" s="37" t="inlineStr">
        <is>
          <t/>
        </is>
      </c>
      <c r="L110" s="38" t="inlineStr">
        <is>
          <t/>
        </is>
      </c>
      <c r="M110" s="39" t="inlineStr">
        <is>
          <t>Georgi Talev</t>
        </is>
      </c>
      <c r="N110" s="40" t="inlineStr">
        <is>
          <t>Co-Founder &amp; Chief Technology Officer</t>
        </is>
      </c>
      <c r="O110" s="41" t="inlineStr">
        <is>
          <t>g.talev@yepse.com</t>
        </is>
      </c>
      <c r="P110" s="42" t="inlineStr">
        <is>
          <t/>
        </is>
      </c>
      <c r="Q110" s="43" t="n">
        <v>2013.0</v>
      </c>
      <c r="R110" s="114">
        <f>HYPERLINK("https://my.pitchbook.com?c=163667-71", "View company online")</f>
      </c>
    </row>
    <row r="111">
      <c r="A111" s="9" t="inlineStr">
        <is>
          <t>180414-64</t>
        </is>
      </c>
      <c r="B111" s="10" t="inlineStr">
        <is>
          <t>Yellowfinch</t>
        </is>
      </c>
      <c r="C111" s="85">
        <f>HYPERLINK("https://my.pitchbook.com?rrp=180414-64&amp;type=c", "This Company's information is not available to download. Need this Company? Request availability")</f>
      </c>
      <c r="D111" s="12" t="inlineStr">
        <is>
          <t/>
        </is>
      </c>
      <c r="E111" s="13" t="inlineStr">
        <is>
          <t/>
        </is>
      </c>
      <c r="F111" s="14" t="inlineStr">
        <is>
          <t/>
        </is>
      </c>
      <c r="G111" s="15" t="inlineStr">
        <is>
          <t/>
        </is>
      </c>
      <c r="H111" s="16" t="inlineStr">
        <is>
          <t/>
        </is>
      </c>
      <c r="I111" s="17" t="inlineStr">
        <is>
          <t/>
        </is>
      </c>
      <c r="J111" s="18" t="inlineStr">
        <is>
          <t/>
        </is>
      </c>
      <c r="K111" s="19" t="inlineStr">
        <is>
          <t/>
        </is>
      </c>
      <c r="L111" s="20" t="inlineStr">
        <is>
          <t/>
        </is>
      </c>
      <c r="M111" s="21" t="inlineStr">
        <is>
          <t/>
        </is>
      </c>
      <c r="N111" s="22" t="inlineStr">
        <is>
          <t/>
        </is>
      </c>
      <c r="O111" s="23" t="inlineStr">
        <is>
          <t/>
        </is>
      </c>
      <c r="P111" s="24" t="inlineStr">
        <is>
          <t/>
        </is>
      </c>
      <c r="Q111" s="25" t="inlineStr">
        <is>
          <t/>
        </is>
      </c>
      <c r="R111" s="26" t="inlineStr">
        <is>
          <t/>
        </is>
      </c>
    </row>
    <row r="112">
      <c r="A112" s="27" t="inlineStr">
        <is>
          <t>163668-43</t>
        </is>
      </c>
      <c r="B112" s="28" t="inlineStr">
        <is>
          <t>YelliGo</t>
        </is>
      </c>
      <c r="C112" s="29" t="inlineStr">
        <is>
          <t>94566</t>
        </is>
      </c>
      <c r="D112" s="30" t="inlineStr">
        <is>
          <t>Developer of an intra-team interacting application. The company develops a centralized application that enables team members to assign, monitor and communicate work plans and activity reports among themselves using a common interface that can be accessed from anywhere.</t>
        </is>
      </c>
      <c r="E112" s="31" t="inlineStr">
        <is>
          <t>Application Software</t>
        </is>
      </c>
      <c r="F112" s="32" t="inlineStr">
        <is>
          <t>Pleasanton, CA</t>
        </is>
      </c>
      <c r="G112" s="33" t="inlineStr">
        <is>
          <t>Privately Held (backing)</t>
        </is>
      </c>
      <c r="H112" s="34" t="inlineStr">
        <is>
          <t>Accelerator/Incubator Backed</t>
        </is>
      </c>
      <c r="I112" s="35" t="inlineStr">
        <is>
          <t>Faster Capital</t>
        </is>
      </c>
      <c r="J112" s="36" t="inlineStr">
        <is>
          <t>www.yelligo.com</t>
        </is>
      </c>
      <c r="K112" s="37" t="inlineStr">
        <is>
          <t>yelligo@goalsr.com</t>
        </is>
      </c>
      <c r="L112" s="38" t="inlineStr">
        <is>
          <t>+1 (650) 453-5844</t>
        </is>
      </c>
      <c r="M112" s="39" t="inlineStr">
        <is>
          <t>Vidyadhar Handragal</t>
        </is>
      </c>
      <c r="N112" s="40" t="inlineStr">
        <is>
          <t>Co-Founder, President &amp; Chief Executive Officer</t>
        </is>
      </c>
      <c r="O112" s="41" t="inlineStr">
        <is>
          <t>vhandragal@yelligo.com</t>
        </is>
      </c>
      <c r="P112" s="42" t="inlineStr">
        <is>
          <t>+1 (650) 453-5844</t>
        </is>
      </c>
      <c r="Q112" s="43" t="n">
        <v>2015.0</v>
      </c>
      <c r="R112" s="114">
        <f>HYPERLINK("https://my.pitchbook.com?c=163668-43", "View company online")</f>
      </c>
    </row>
    <row r="113">
      <c r="A113" s="9" t="inlineStr">
        <is>
          <t>154370-98</t>
        </is>
      </c>
      <c r="B113" s="10" t="inlineStr">
        <is>
          <t>YayPay</t>
        </is>
      </c>
      <c r="C113" s="11" t="inlineStr">
        <is>
          <t>94104</t>
        </is>
      </c>
      <c r="D113" s="12" t="inlineStr">
        <is>
          <t>Developer of an accounts receivables management software. The company offers an accounts receivable software that automates payment work flows for invoice collection process.</t>
        </is>
      </c>
      <c r="E113" s="13" t="inlineStr">
        <is>
          <t>Financial Software</t>
        </is>
      </c>
      <c r="F113" s="14" t="inlineStr">
        <is>
          <t>San Francisco, CA</t>
        </is>
      </c>
      <c r="G113" s="15" t="inlineStr">
        <is>
          <t>Privately Held (backing)</t>
        </is>
      </c>
      <c r="H113" s="16" t="inlineStr">
        <is>
          <t>Accelerator/Incubator Backed</t>
        </is>
      </c>
      <c r="I113" s="17" t="inlineStr">
        <is>
          <t>500 Startups, Right Side Capital Management, Techstars, Zelkova Ventures</t>
        </is>
      </c>
      <c r="J113" s="18" t="inlineStr">
        <is>
          <t>www.yaypay.com</t>
        </is>
      </c>
      <c r="K113" s="19" t="inlineStr">
        <is>
          <t/>
        </is>
      </c>
      <c r="L113" s="20" t="inlineStr">
        <is>
          <t>+1 (917) 675-3043</t>
        </is>
      </c>
      <c r="M113" s="21" t="inlineStr">
        <is>
          <t>Saul Frank</t>
        </is>
      </c>
      <c r="N113" s="22" t="inlineStr">
        <is>
          <t>Co-Founder &amp; President</t>
        </is>
      </c>
      <c r="O113" s="23" t="inlineStr">
        <is>
          <t>saul@yaypay.com</t>
        </is>
      </c>
      <c r="P113" s="24" t="inlineStr">
        <is>
          <t>+1 (917) 675-3043</t>
        </is>
      </c>
      <c r="Q113" s="25" t="n">
        <v>2015.0</v>
      </c>
      <c r="R113" s="113">
        <f>HYPERLINK("https://my.pitchbook.com?c=154370-98", "View company online")</f>
      </c>
    </row>
    <row r="114">
      <c r="A114" s="27" t="inlineStr">
        <is>
          <t>103695-13</t>
        </is>
      </c>
      <c r="B114" s="28" t="inlineStr">
        <is>
          <t>Yaware</t>
        </is>
      </c>
      <c r="C114" s="86">
        <f>HYPERLINK("https://my.pitchbook.com?rrp=103695-13&amp;type=c", "This Company's information is not available to download. Need this Company? Request availability")</f>
      </c>
      <c r="D114" s="30" t="inlineStr">
        <is>
          <t/>
        </is>
      </c>
      <c r="E114" s="31" t="inlineStr">
        <is>
          <t/>
        </is>
      </c>
      <c r="F114" s="32" t="inlineStr">
        <is>
          <t/>
        </is>
      </c>
      <c r="G114" s="33" t="inlineStr">
        <is>
          <t/>
        </is>
      </c>
      <c r="H114" s="34" t="inlineStr">
        <is>
          <t/>
        </is>
      </c>
      <c r="I114" s="35" t="inlineStr">
        <is>
          <t/>
        </is>
      </c>
      <c r="J114" s="36" t="inlineStr">
        <is>
          <t/>
        </is>
      </c>
      <c r="K114" s="37" t="inlineStr">
        <is>
          <t/>
        </is>
      </c>
      <c r="L114" s="38" t="inlineStr">
        <is>
          <t/>
        </is>
      </c>
      <c r="M114" s="39" t="inlineStr">
        <is>
          <t/>
        </is>
      </c>
      <c r="N114" s="40" t="inlineStr">
        <is>
          <t/>
        </is>
      </c>
      <c r="O114" s="41" t="inlineStr">
        <is>
          <t/>
        </is>
      </c>
      <c r="P114" s="42" t="inlineStr">
        <is>
          <t/>
        </is>
      </c>
      <c r="Q114" s="43" t="inlineStr">
        <is>
          <t/>
        </is>
      </c>
      <c r="R114" s="44" t="inlineStr">
        <is>
          <t/>
        </is>
      </c>
    </row>
    <row r="115">
      <c r="A115" s="9" t="inlineStr">
        <is>
          <t>104513-14</t>
        </is>
      </c>
      <c r="B115" s="10" t="inlineStr">
        <is>
          <t>Yattos</t>
        </is>
      </c>
      <c r="C115" s="11" t="inlineStr">
        <is>
          <t>94110</t>
        </is>
      </c>
      <c r="D115" s="12" t="inlineStr">
        <is>
          <t>Provider of an online social funding platform. The company enables users to organize social funding circles using their social networking accounts.</t>
        </is>
      </c>
      <c r="E115" s="13" t="inlineStr">
        <is>
          <t>Other Financial Services</t>
        </is>
      </c>
      <c r="F115" s="14" t="inlineStr">
        <is>
          <t>San Francisco, CA</t>
        </is>
      </c>
      <c r="G115" s="15" t="inlineStr">
        <is>
          <t>Privately Held (backing)</t>
        </is>
      </c>
      <c r="H115" s="16" t="inlineStr">
        <is>
          <t>Angel-Backed</t>
        </is>
      </c>
      <c r="I115" s="17" t="inlineStr">
        <is>
          <t/>
        </is>
      </c>
      <c r="J115" s="18" t="inlineStr">
        <is>
          <t>www.yattos.com</t>
        </is>
      </c>
      <c r="K115" s="19" t="inlineStr">
        <is>
          <t>support@yattos.com</t>
        </is>
      </c>
      <c r="L115" s="20" t="inlineStr">
        <is>
          <t/>
        </is>
      </c>
      <c r="M115" s="21" t="inlineStr">
        <is>
          <t/>
        </is>
      </c>
      <c r="N115" s="22" t="inlineStr">
        <is>
          <t/>
        </is>
      </c>
      <c r="O115" s="23" t="inlineStr">
        <is>
          <t/>
        </is>
      </c>
      <c r="P115" s="24" t="inlineStr">
        <is>
          <t/>
        </is>
      </c>
      <c r="Q115" s="25" t="n">
        <v>2012.0</v>
      </c>
      <c r="R115" s="113">
        <f>HYPERLINK("https://my.pitchbook.com?c=104513-14", "View company online")</f>
      </c>
    </row>
    <row r="116">
      <c r="A116" s="27" t="inlineStr">
        <is>
          <t>115019-65</t>
        </is>
      </c>
      <c r="B116" s="28" t="inlineStr">
        <is>
          <t>Yatragenie Services</t>
        </is>
      </c>
      <c r="C116" s="29" t="inlineStr">
        <is>
          <t>560034</t>
        </is>
      </c>
      <c r="D116" s="30" t="inlineStr">
        <is>
          <t>Operator of an online travel portal. The company provides bus and radio taxi booking services for traveling.</t>
        </is>
      </c>
      <c r="E116" s="31" t="inlineStr">
        <is>
          <t>Other Restaurants, Hotels and Leisure</t>
        </is>
      </c>
      <c r="F116" s="32" t="inlineStr">
        <is>
          <t>Bangalore, India</t>
        </is>
      </c>
      <c r="G116" s="33" t="inlineStr">
        <is>
          <t>Privately Held (backing)</t>
        </is>
      </c>
      <c r="H116" s="34" t="inlineStr">
        <is>
          <t>Angel-Backed</t>
        </is>
      </c>
      <c r="I116" s="35" t="inlineStr">
        <is>
          <t>Ash Bhardwaj</t>
        </is>
      </c>
      <c r="J116" s="36" t="inlineStr">
        <is>
          <t>www.yatragenie.com</t>
        </is>
      </c>
      <c r="K116" s="37" t="inlineStr">
        <is>
          <t>support@yatragenie.com</t>
        </is>
      </c>
      <c r="L116" s="38" t="inlineStr">
        <is>
          <t>+(1860) 425-1234</t>
        </is>
      </c>
      <c r="M116" s="39" t="inlineStr">
        <is>
          <t>Renil Komitla</t>
        </is>
      </c>
      <c r="N116" s="40" t="inlineStr">
        <is>
          <t>Founder, President and Chief Executive Officer</t>
        </is>
      </c>
      <c r="O116" s="41" t="inlineStr">
        <is>
          <t/>
        </is>
      </c>
      <c r="P116" s="42" t="inlineStr">
        <is>
          <t>+(1860) 425-1234</t>
        </is>
      </c>
      <c r="Q116" s="43" t="n">
        <v>2013.0</v>
      </c>
      <c r="R116" s="114">
        <f>HYPERLINK("https://my.pitchbook.com?c=115019-65", "View company online")</f>
      </c>
    </row>
    <row r="117">
      <c r="A117" s="9" t="inlineStr">
        <is>
          <t>181828-81</t>
        </is>
      </c>
      <c r="B117" s="10" t="inlineStr">
        <is>
          <t>Yassets</t>
        </is>
      </c>
      <c r="C117" s="85">
        <f>HYPERLINK("https://my.pitchbook.com?rrp=181828-81&amp;type=c", "This Company's information is not available to download. Need this Company? Request availability")</f>
      </c>
      <c r="D117" s="12" t="inlineStr">
        <is>
          <t/>
        </is>
      </c>
      <c r="E117" s="13" t="inlineStr">
        <is>
          <t/>
        </is>
      </c>
      <c r="F117" s="14" t="inlineStr">
        <is>
          <t/>
        </is>
      </c>
      <c r="G117" s="15" t="inlineStr">
        <is>
          <t/>
        </is>
      </c>
      <c r="H117" s="16" t="inlineStr">
        <is>
          <t/>
        </is>
      </c>
      <c r="I117" s="17" t="inlineStr">
        <is>
          <t/>
        </is>
      </c>
      <c r="J117" s="18" t="inlineStr">
        <is>
          <t/>
        </is>
      </c>
      <c r="K117" s="19" t="inlineStr">
        <is>
          <t/>
        </is>
      </c>
      <c r="L117" s="20" t="inlineStr">
        <is>
          <t/>
        </is>
      </c>
      <c r="M117" s="21" t="inlineStr">
        <is>
          <t/>
        </is>
      </c>
      <c r="N117" s="22" t="inlineStr">
        <is>
          <t/>
        </is>
      </c>
      <c r="O117" s="23" t="inlineStr">
        <is>
          <t/>
        </is>
      </c>
      <c r="P117" s="24" t="inlineStr">
        <is>
          <t/>
        </is>
      </c>
      <c r="Q117" s="25" t="inlineStr">
        <is>
          <t/>
        </is>
      </c>
      <c r="R117" s="26" t="inlineStr">
        <is>
          <t/>
        </is>
      </c>
    </row>
    <row r="118">
      <c r="A118" s="27" t="inlineStr">
        <is>
          <t>115464-61</t>
        </is>
      </c>
      <c r="B118" s="28" t="inlineStr">
        <is>
          <t>Yardbook</t>
        </is>
      </c>
      <c r="C118" s="29" t="inlineStr">
        <is>
          <t>94403</t>
        </is>
      </c>
      <c r="D118" s="30" t="inlineStr">
        <is>
          <t>Provider of business management software. The company provides a cloud based business application for landscapers and lawn care businesses.</t>
        </is>
      </c>
      <c r="E118" s="31" t="inlineStr">
        <is>
          <t>Business/Productivity Software</t>
        </is>
      </c>
      <c r="F118" s="32" t="inlineStr">
        <is>
          <t>San Mateo, CA</t>
        </is>
      </c>
      <c r="G118" s="33" t="inlineStr">
        <is>
          <t>Privately Held (backing)</t>
        </is>
      </c>
      <c r="H118" s="34" t="inlineStr">
        <is>
          <t>Accelerator/Incubator Backed</t>
        </is>
      </c>
      <c r="I118" s="35" t="inlineStr">
        <is>
          <t>Oriza Ventures, Tsingyuan Ventures, Y Combinator</t>
        </is>
      </c>
      <c r="J118" s="36" t="inlineStr">
        <is>
          <t>www.yardbook.com</t>
        </is>
      </c>
      <c r="K118" s="37" t="inlineStr">
        <is>
          <t>info@yardbook.com</t>
        </is>
      </c>
      <c r="L118" s="38" t="inlineStr">
        <is>
          <t/>
        </is>
      </c>
      <c r="M118" s="39" t="inlineStr">
        <is>
          <t>Mark Ke</t>
        </is>
      </c>
      <c r="N118" s="40" t="inlineStr">
        <is>
          <t>Co-Founder</t>
        </is>
      </c>
      <c r="O118" s="41" t="inlineStr">
        <is>
          <t>mark@yardbook.com</t>
        </is>
      </c>
      <c r="P118" s="42" t="inlineStr">
        <is>
          <t/>
        </is>
      </c>
      <c r="Q118" s="43" t="n">
        <v>2013.0</v>
      </c>
      <c r="R118" s="114">
        <f>HYPERLINK("https://my.pitchbook.com?c=115464-61", "View company online")</f>
      </c>
    </row>
    <row r="119">
      <c r="A119" s="9" t="inlineStr">
        <is>
          <t>108413-47</t>
        </is>
      </c>
      <c r="B119" s="10" t="inlineStr">
        <is>
          <t>Yardarm Technologies</t>
        </is>
      </c>
      <c r="C119" s="11" t="inlineStr">
        <is>
          <t>95010</t>
        </is>
      </c>
      <c r="D119" s="12" t="inlineStr">
        <is>
          <t>Developer of wireless firearm technologies. The company develops sensors which tracks the location, movement, holstering as well as discharge and direction of fire of weapons and allows wireless reporting of these information to the relevant departments.</t>
        </is>
      </c>
      <c r="E119" s="13" t="inlineStr">
        <is>
          <t>Other Commercial Products</t>
        </is>
      </c>
      <c r="F119" s="14" t="inlineStr">
        <is>
          <t>Capitola, CA</t>
        </is>
      </c>
      <c r="G119" s="15" t="inlineStr">
        <is>
          <t>Privately Held (backing)</t>
        </is>
      </c>
      <c r="H119" s="16" t="inlineStr">
        <is>
          <t>Angel-Backed</t>
        </is>
      </c>
      <c r="I119" s="17" t="inlineStr">
        <is>
          <t>Paul Hammond</t>
        </is>
      </c>
      <c r="J119" s="18" t="inlineStr">
        <is>
          <t>www.yardarmtech.com</t>
        </is>
      </c>
      <c r="K119" s="19" t="inlineStr">
        <is>
          <t>info@yardarmtech.com</t>
        </is>
      </c>
      <c r="L119" s="20" t="inlineStr">
        <is>
          <t>+1 (831) 475-1999</t>
        </is>
      </c>
      <c r="M119" s="21" t="inlineStr">
        <is>
          <t>Robert Stewart</t>
        </is>
      </c>
      <c r="N119" s="22" t="inlineStr">
        <is>
          <t>Co-Founder &amp; Chief Executive Officer</t>
        </is>
      </c>
      <c r="O119" s="23" t="inlineStr">
        <is>
          <t>rstewart@yardarmtech.com</t>
        </is>
      </c>
      <c r="P119" s="24" t="inlineStr">
        <is>
          <t>+1 (831) 475-1999</t>
        </is>
      </c>
      <c r="Q119" s="25" t="n">
        <v>2007.0</v>
      </c>
      <c r="R119" s="113">
        <f>HYPERLINK("https://my.pitchbook.com?c=108413-47", "View company online")</f>
      </c>
    </row>
    <row r="120">
      <c r="A120" s="27" t="inlineStr">
        <is>
          <t>109612-00</t>
        </is>
      </c>
      <c r="B120" s="28" t="inlineStr">
        <is>
          <t>Yappee</t>
        </is>
      </c>
      <c r="C120" s="29" t="inlineStr">
        <is>
          <t/>
        </is>
      </c>
      <c r="D120" s="30" t="inlineStr">
        <is>
          <t>Provider of a marketing and discovery platform. The company's platform lets users find new businesses recommended by the people they know and also helps businesses find new customers.</t>
        </is>
      </c>
      <c r="E120" s="31" t="inlineStr">
        <is>
          <t>Other Commercial Services</t>
        </is>
      </c>
      <c r="F120" s="32" t="inlineStr">
        <is>
          <t>San Diego, CA</t>
        </is>
      </c>
      <c r="G120" s="33" t="inlineStr">
        <is>
          <t>Privately Held (backing)</t>
        </is>
      </c>
      <c r="H120" s="34" t="inlineStr">
        <is>
          <t>Angel-Backed</t>
        </is>
      </c>
      <c r="I120" s="35" t="inlineStr">
        <is>
          <t/>
        </is>
      </c>
      <c r="J120" s="36" t="inlineStr">
        <is>
          <t>www.yappee.com</t>
        </is>
      </c>
      <c r="K120" s="37" t="inlineStr">
        <is>
          <t/>
        </is>
      </c>
      <c r="L120" s="38" t="inlineStr">
        <is>
          <t/>
        </is>
      </c>
      <c r="M120" s="39" t="inlineStr">
        <is>
          <t>Scott Mackley</t>
        </is>
      </c>
      <c r="N120" s="40" t="inlineStr">
        <is>
          <t>Co-Founder &amp; Chief Executive Officer</t>
        </is>
      </c>
      <c r="O120" s="41" t="inlineStr">
        <is>
          <t>scott@yappee.com</t>
        </is>
      </c>
      <c r="P120" s="42" t="inlineStr">
        <is>
          <t/>
        </is>
      </c>
      <c r="Q120" s="43" t="n">
        <v>2014.0</v>
      </c>
      <c r="R120" s="114">
        <f>HYPERLINK("https://my.pitchbook.com?c=109612-00", "View company online")</f>
      </c>
    </row>
    <row r="121">
      <c r="A121" s="9" t="inlineStr">
        <is>
          <t>118105-93</t>
        </is>
      </c>
      <c r="B121" s="10" t="inlineStr">
        <is>
          <t>Yacht Club Games</t>
        </is>
      </c>
      <c r="C121" s="11" t="inlineStr">
        <is>
          <t>90292</t>
        </is>
      </c>
      <c r="D121" s="12" t="inlineStr">
        <is>
          <t>Operator of a gaming studio created to design and publish video games. The company specializes in designing and publishing single and multi-user adventurous video games that can be played online or downloaded via phone or laptops, enabling users to enjoy games in 2D and 3D immersive environments.</t>
        </is>
      </c>
      <c r="E121" s="13" t="inlineStr">
        <is>
          <t>Entertainment Software</t>
        </is>
      </c>
      <c r="F121" s="14" t="inlineStr">
        <is>
          <t>Marina Del Rey, CA</t>
        </is>
      </c>
      <c r="G121" s="15" t="inlineStr">
        <is>
          <t>Privately Held (backing)</t>
        </is>
      </c>
      <c r="H121" s="16" t="inlineStr">
        <is>
          <t>Angel-Backed</t>
        </is>
      </c>
      <c r="I121" s="17" t="inlineStr">
        <is>
          <t/>
        </is>
      </c>
      <c r="J121" s="18" t="inlineStr">
        <is>
          <t>www.yachtclubgames.com</t>
        </is>
      </c>
      <c r="K121" s="19" t="inlineStr">
        <is>
          <t>media@yachtclubgames.com</t>
        </is>
      </c>
      <c r="L121" s="20" t="inlineStr">
        <is>
          <t/>
        </is>
      </c>
      <c r="M121" s="21" t="inlineStr">
        <is>
          <t>Sean Velasco</t>
        </is>
      </c>
      <c r="N121" s="22" t="inlineStr">
        <is>
          <t>Co-Founder, Chief Executive Officer &amp; Creative Director</t>
        </is>
      </c>
      <c r="O121" s="23" t="inlineStr">
        <is>
          <t>sean@yachtclubgames.com</t>
        </is>
      </c>
      <c r="P121" s="24" t="inlineStr">
        <is>
          <t/>
        </is>
      </c>
      <c r="Q121" s="25" t="n">
        <v>2011.0</v>
      </c>
      <c r="R121" s="113">
        <f>HYPERLINK("https://my.pitchbook.com?c=118105-93", "View company online")</f>
      </c>
    </row>
    <row r="122">
      <c r="A122" s="27" t="inlineStr">
        <is>
          <t>125616-34</t>
        </is>
      </c>
      <c r="B122" s="28" t="inlineStr">
        <is>
          <t>X-Zell</t>
        </is>
      </c>
      <c r="C122" s="29" t="inlineStr">
        <is>
          <t/>
        </is>
      </c>
      <c r="D122" s="30" t="inlineStr">
        <is>
          <t>Developer of a testing tool for cancer cells. The company removes health cells from a standard blood sample and then visualizes leftover circulating cancer cells on laboratory slides, seamlessly integrating into routine laboratory workflows.</t>
        </is>
      </c>
      <c r="E122" s="31" t="inlineStr">
        <is>
          <t>Decision/Risk Analysis</t>
        </is>
      </c>
      <c r="F122" s="32" t="inlineStr">
        <is>
          <t>Mountain View, CA</t>
        </is>
      </c>
      <c r="G122" s="33" t="inlineStr">
        <is>
          <t>Privately Held (backing)</t>
        </is>
      </c>
      <c r="H122" s="34" t="inlineStr">
        <is>
          <t>Accelerator/Incubator Backed</t>
        </is>
      </c>
      <c r="I122" s="35" t="inlineStr">
        <is>
          <t>Paul Buchheit, Y Combinator</t>
        </is>
      </c>
      <c r="J122" s="36" t="inlineStr">
        <is>
          <t>www.x-zell.com</t>
        </is>
      </c>
      <c r="K122" s="37" t="inlineStr">
        <is>
          <t/>
        </is>
      </c>
      <c r="L122" s="38" t="inlineStr">
        <is>
          <t/>
        </is>
      </c>
      <c r="M122" s="39" t="inlineStr">
        <is>
          <t>Sebastian Chakrit Punyaratabandhu Bhakdi</t>
        </is>
      </c>
      <c r="N122" s="40" t="inlineStr">
        <is>
          <t>Founder &amp; Chief Executive Officer</t>
        </is>
      </c>
      <c r="O122" s="41" t="inlineStr">
        <is>
          <t>sbhakdi@x-zell.com</t>
        </is>
      </c>
      <c r="P122" s="42" t="inlineStr">
        <is>
          <t/>
        </is>
      </c>
      <c r="Q122" s="43" t="n">
        <v>2015.0</v>
      </c>
      <c r="R122" s="114">
        <f>HYPERLINK("https://my.pitchbook.com?c=125616-34", "View company online")</f>
      </c>
    </row>
    <row r="123">
      <c r="A123" s="9" t="inlineStr">
        <is>
          <t>127243-18</t>
        </is>
      </c>
      <c r="B123" s="10" t="inlineStr">
        <is>
          <t>XYZZY Studios</t>
        </is>
      </c>
      <c r="C123" s="11" t="inlineStr">
        <is>
          <t>95928</t>
        </is>
      </c>
      <c r="D123" s="12" t="inlineStr">
        <is>
          <t>Operator of a game development studio. The company operates an independent game development studio developing mobile games for all audiences.</t>
        </is>
      </c>
      <c r="E123" s="13" t="inlineStr">
        <is>
          <t>Entertainment Software</t>
        </is>
      </c>
      <c r="F123" s="14" t="inlineStr">
        <is>
          <t>Chico, CA</t>
        </is>
      </c>
      <c r="G123" s="15" t="inlineStr">
        <is>
          <t>Privately Held (backing)</t>
        </is>
      </c>
      <c r="H123" s="16" t="inlineStr">
        <is>
          <t>Accelerator/Incubator Backed</t>
        </is>
      </c>
      <c r="I123" s="17" t="inlineStr">
        <is>
          <t>Chicostart</t>
        </is>
      </c>
      <c r="J123" s="18" t="inlineStr">
        <is>
          <t>www.xyzzystudios.com</t>
        </is>
      </c>
      <c r="K123" s="19" t="inlineStr">
        <is>
          <t/>
        </is>
      </c>
      <c r="L123" s="20" t="inlineStr">
        <is>
          <t/>
        </is>
      </c>
      <c r="M123" s="21" t="inlineStr">
        <is>
          <t/>
        </is>
      </c>
      <c r="N123" s="22" t="inlineStr">
        <is>
          <t/>
        </is>
      </c>
      <c r="O123" s="23" t="inlineStr">
        <is>
          <t/>
        </is>
      </c>
      <c r="P123" s="24" t="inlineStr">
        <is>
          <t/>
        </is>
      </c>
      <c r="Q123" s="25" t="n">
        <v>2015.0</v>
      </c>
      <c r="R123" s="113">
        <f>HYPERLINK("https://my.pitchbook.com?c=127243-18", "View company online")</f>
      </c>
    </row>
    <row r="124">
      <c r="A124" s="27" t="inlineStr">
        <is>
          <t>107519-32</t>
        </is>
      </c>
      <c r="B124" s="28" t="inlineStr">
        <is>
          <t>Xycrobe Therapeutics</t>
        </is>
      </c>
      <c r="C124" s="29" t="inlineStr">
        <is>
          <t>92121</t>
        </is>
      </c>
      <c r="D124" s="30" t="inlineStr">
        <is>
          <t>Provider of biotechnological services in California. The company uses data generated from human microbiome to develop therapies for clinical applications.</t>
        </is>
      </c>
      <c r="E124" s="31" t="inlineStr">
        <is>
          <t>Biotechnology</t>
        </is>
      </c>
      <c r="F124" s="32" t="inlineStr">
        <is>
          <t>San Diego, CA</t>
        </is>
      </c>
      <c r="G124" s="33" t="inlineStr">
        <is>
          <t>Privately Held (backing)</t>
        </is>
      </c>
      <c r="H124" s="34" t="inlineStr">
        <is>
          <t>Accelerator/Incubator Backed</t>
        </is>
      </c>
      <c r="I124" s="35" t="inlineStr">
        <is>
          <t>JLabs</t>
        </is>
      </c>
      <c r="J124" s="36" t="inlineStr">
        <is>
          <t>www.xycrobe.com</t>
        </is>
      </c>
      <c r="K124" s="37" t="inlineStr">
        <is>
          <t>info@xycrobe.com</t>
        </is>
      </c>
      <c r="L124" s="38" t="inlineStr">
        <is>
          <t>+1 (858) 242-1529</t>
        </is>
      </c>
      <c r="M124" s="39" t="inlineStr">
        <is>
          <t>Thomas Hitchcock</t>
        </is>
      </c>
      <c r="N124" s="40" t="inlineStr">
        <is>
          <t>Founder, Chief Executive Officer and Board Member</t>
        </is>
      </c>
      <c r="O124" s="41" t="inlineStr">
        <is>
          <t/>
        </is>
      </c>
      <c r="P124" s="42" t="inlineStr">
        <is>
          <t>+1 (858) 242-1529</t>
        </is>
      </c>
      <c r="Q124" s="43" t="n">
        <v>2014.0</v>
      </c>
      <c r="R124" s="114">
        <f>HYPERLINK("https://my.pitchbook.com?c=107519-32", "View company online")</f>
      </c>
    </row>
    <row r="125">
      <c r="A125" s="9" t="inlineStr">
        <is>
          <t>167300-47</t>
        </is>
      </c>
      <c r="B125" s="10" t="inlineStr">
        <is>
          <t>XY Findables</t>
        </is>
      </c>
      <c r="C125" s="11" t="inlineStr">
        <is>
          <t>92101</t>
        </is>
      </c>
      <c r="D125" s="12" t="inlineStr">
        <is>
          <t>Provider of a bluetooth powered item finder. The company offers a tracking tag to its users, which is to be attached with any product, enabling users to track the device or item when misplaced.</t>
        </is>
      </c>
      <c r="E125" s="13" t="inlineStr">
        <is>
          <t>Electronics (B2C)</t>
        </is>
      </c>
      <c r="F125" s="14" t="inlineStr">
        <is>
          <t>San Diego, CA</t>
        </is>
      </c>
      <c r="G125" s="15" t="inlineStr">
        <is>
          <t>Privately Held (backing)</t>
        </is>
      </c>
      <c r="H125" s="16" t="inlineStr">
        <is>
          <t>Angel-Backed</t>
        </is>
      </c>
      <c r="I125" s="17" t="inlineStr">
        <is>
          <t/>
        </is>
      </c>
      <c r="J125" s="18" t="inlineStr">
        <is>
          <t>www.xyfindables.com</t>
        </is>
      </c>
      <c r="K125" s="19" t="inlineStr">
        <is>
          <t>terms@xyfindit.com</t>
        </is>
      </c>
      <c r="L125" s="20" t="inlineStr">
        <is>
          <t/>
        </is>
      </c>
      <c r="M125" s="21" t="inlineStr">
        <is>
          <t>Arie Trouw</t>
        </is>
      </c>
      <c r="N125" s="22" t="inlineStr">
        <is>
          <t>Founder, Chief Executive Officer &amp; Head of Product Development</t>
        </is>
      </c>
      <c r="O125" s="23" t="inlineStr">
        <is>
          <t>arie.trouw@xyfindit.com</t>
        </is>
      </c>
      <c r="P125" s="24" t="inlineStr">
        <is>
          <t/>
        </is>
      </c>
      <c r="Q125" s="25" t="n">
        <v>2012.0</v>
      </c>
      <c r="R125" s="113">
        <f>HYPERLINK("https://my.pitchbook.com?c=167300-47", "View company online")</f>
      </c>
    </row>
    <row r="126">
      <c r="A126" s="27" t="inlineStr">
        <is>
          <t>54446-77</t>
        </is>
      </c>
      <c r="B126" s="28" t="inlineStr">
        <is>
          <t>Xulu Entertainment</t>
        </is>
      </c>
      <c r="C126" s="29" t="inlineStr">
        <is>
          <t>95035</t>
        </is>
      </c>
      <c r="D126" s="30" t="inlineStr">
        <is>
          <t>Provider of an online casual gaming and virtual world platform. The company provides platforms and tools to its client to build and share online destination for gaming activities and social hangouts.</t>
        </is>
      </c>
      <c r="E126" s="31" t="inlineStr">
        <is>
          <t>Entertainment Software</t>
        </is>
      </c>
      <c r="F126" s="32" t="inlineStr">
        <is>
          <t>Milpitas, CA</t>
        </is>
      </c>
      <c r="G126" s="33" t="inlineStr">
        <is>
          <t>Privately Held (backing)</t>
        </is>
      </c>
      <c r="H126" s="34" t="inlineStr">
        <is>
          <t>Angel-Backed</t>
        </is>
      </c>
      <c r="I126" s="35" t="inlineStr">
        <is>
          <t>Band of Angels</t>
        </is>
      </c>
      <c r="J126" s="36" t="inlineStr">
        <is>
          <t>www.xulu.com</t>
        </is>
      </c>
      <c r="K126" s="37" t="inlineStr">
        <is>
          <t/>
        </is>
      </c>
      <c r="L126" s="38" t="inlineStr">
        <is>
          <t>+1 (415) 365-6901</t>
        </is>
      </c>
      <c r="M126" s="39" t="inlineStr">
        <is>
          <t>Nanci Solomon</t>
        </is>
      </c>
      <c r="N126" s="40" t="inlineStr">
        <is>
          <t>Chief Executive Officer</t>
        </is>
      </c>
      <c r="O126" s="41" t="inlineStr">
        <is>
          <t>nanci@xulu.com</t>
        </is>
      </c>
      <c r="P126" s="42" t="inlineStr">
        <is>
          <t>+1 (415) 365-6901</t>
        </is>
      </c>
      <c r="Q126" s="43" t="n">
        <v>1995.0</v>
      </c>
      <c r="R126" s="114">
        <f>HYPERLINK("https://my.pitchbook.com?c=54446-77", "View company online")</f>
      </c>
    </row>
    <row r="127">
      <c r="A127" s="9" t="inlineStr">
        <is>
          <t>120001-78</t>
        </is>
      </c>
      <c r="B127" s="10" t="inlineStr">
        <is>
          <t>Xudera</t>
        </is>
      </c>
      <c r="C127" s="11" t="inlineStr">
        <is>
          <t>95054</t>
        </is>
      </c>
      <c r="D127" s="12" t="inlineStr">
        <is>
          <t>Developer and provider of a digital travel guide. The company offers an application for business and leisure travelers that enables them to find information about restaurants, local events, places, clubs and other travel and tour recommendations.</t>
        </is>
      </c>
      <c r="E127" s="13" t="inlineStr">
        <is>
          <t>Information Services (B2C)</t>
        </is>
      </c>
      <c r="F127" s="14" t="inlineStr">
        <is>
          <t>Santa Clara, CA</t>
        </is>
      </c>
      <c r="G127" s="15" t="inlineStr">
        <is>
          <t>Privately Held (backing)</t>
        </is>
      </c>
      <c r="H127" s="16" t="inlineStr">
        <is>
          <t>Angel-Backed</t>
        </is>
      </c>
      <c r="I127" s="17" t="inlineStr">
        <is>
          <t/>
        </is>
      </c>
      <c r="J127" s="18" t="inlineStr">
        <is>
          <t>www.xudera.com</t>
        </is>
      </c>
      <c r="K127" s="19" t="inlineStr">
        <is>
          <t>info@xudera.com</t>
        </is>
      </c>
      <c r="L127" s="20" t="inlineStr">
        <is>
          <t>+1 (408) 890-7345</t>
        </is>
      </c>
      <c r="M127" s="21" t="inlineStr">
        <is>
          <t>Greg Getten</t>
        </is>
      </c>
      <c r="N127" s="22" t="inlineStr">
        <is>
          <t>Co-Founder, Chairman &amp; Co-Chief Executive Officer</t>
        </is>
      </c>
      <c r="O127" s="23" t="inlineStr">
        <is>
          <t>greg@xudera.com</t>
        </is>
      </c>
      <c r="P127" s="24" t="inlineStr">
        <is>
          <t>+1 (408) 890-7345</t>
        </is>
      </c>
      <c r="Q127" s="25" t="n">
        <v>2015.0</v>
      </c>
      <c r="R127" s="113">
        <f>HYPERLINK("https://my.pitchbook.com?c=120001-78", "View company online")</f>
      </c>
    </row>
    <row r="128">
      <c r="A128" s="27" t="inlineStr">
        <is>
          <t>173056-96</t>
        </is>
      </c>
      <c r="B128" s="28" t="inlineStr">
        <is>
          <t>XTND</t>
        </is>
      </c>
      <c r="C128" s="86">
        <f>HYPERLINK("https://my.pitchbook.com?rrp=173056-96&amp;type=c", "This Company's information is not available to download. Need this Company? Request availability")</f>
      </c>
      <c r="D128" s="30" t="inlineStr">
        <is>
          <t/>
        </is>
      </c>
      <c r="E128" s="31" t="inlineStr">
        <is>
          <t/>
        </is>
      </c>
      <c r="F128" s="32" t="inlineStr">
        <is>
          <t/>
        </is>
      </c>
      <c r="G128" s="33" t="inlineStr">
        <is>
          <t/>
        </is>
      </c>
      <c r="H128" s="34" t="inlineStr">
        <is>
          <t/>
        </is>
      </c>
      <c r="I128" s="35" t="inlineStr">
        <is>
          <t/>
        </is>
      </c>
      <c r="J128" s="36" t="inlineStr">
        <is>
          <t/>
        </is>
      </c>
      <c r="K128" s="37" t="inlineStr">
        <is>
          <t/>
        </is>
      </c>
      <c r="L128" s="38" t="inlineStr">
        <is>
          <t/>
        </is>
      </c>
      <c r="M128" s="39" t="inlineStr">
        <is>
          <t/>
        </is>
      </c>
      <c r="N128" s="40" t="inlineStr">
        <is>
          <t/>
        </is>
      </c>
      <c r="O128" s="41" t="inlineStr">
        <is>
          <t/>
        </is>
      </c>
      <c r="P128" s="42" t="inlineStr">
        <is>
          <t/>
        </is>
      </c>
      <c r="Q128" s="43" t="inlineStr">
        <is>
          <t/>
        </is>
      </c>
      <c r="R128" s="44" t="inlineStr">
        <is>
          <t/>
        </is>
      </c>
    </row>
    <row r="129">
      <c r="A129" s="9" t="inlineStr">
        <is>
          <t>125517-07</t>
        </is>
      </c>
      <c r="B129" s="10" t="inlineStr">
        <is>
          <t>X-Therma</t>
        </is>
      </c>
      <c r="C129" s="11" t="inlineStr">
        <is>
          <t>94590</t>
        </is>
      </c>
      <c r="D129" s="12" t="inlineStr">
        <is>
          <t>Developer of bio materials for medical and industrial applications. The company develops bio materials using Biomimetic Nanoscience to deliver effective and non-toxic cryoprotective agents (CPAs) for advanced organ and tissue preservation media .</t>
        </is>
      </c>
      <c r="E129" s="13" t="inlineStr">
        <is>
          <t>Biotechnology</t>
        </is>
      </c>
      <c r="F129" s="14" t="inlineStr">
        <is>
          <t>Vallejo, CA</t>
        </is>
      </c>
      <c r="G129" s="15" t="inlineStr">
        <is>
          <t>Privately Held (backing)</t>
        </is>
      </c>
      <c r="H129" s="16" t="inlineStr">
        <is>
          <t>Angel-Backed</t>
        </is>
      </c>
      <c r="I129" s="17" t="inlineStr">
        <is>
          <t/>
        </is>
      </c>
      <c r="J129" s="18" t="inlineStr">
        <is>
          <t>www.x-therma.com</t>
        </is>
      </c>
      <c r="K129" s="19" t="inlineStr">
        <is>
          <t>info@x-therma.com</t>
        </is>
      </c>
      <c r="L129" s="20" t="inlineStr">
        <is>
          <t>+1 (716) 861-1508</t>
        </is>
      </c>
      <c r="M129" s="21" t="inlineStr">
        <is>
          <t>Xiaoxi Wei</t>
        </is>
      </c>
      <c r="N129" s="22" t="inlineStr">
        <is>
          <t>Founder &amp; Chief Executive Officer</t>
        </is>
      </c>
      <c r="O129" s="23" t="inlineStr">
        <is>
          <t/>
        </is>
      </c>
      <c r="P129" s="24" t="inlineStr">
        <is>
          <t>+1 (716) 861-1508</t>
        </is>
      </c>
      <c r="Q129" s="25" t="n">
        <v>2014.0</v>
      </c>
      <c r="R129" s="113">
        <f>HYPERLINK("https://my.pitchbook.com?c=125517-07", "View company online")</f>
      </c>
    </row>
    <row r="130">
      <c r="A130" s="27" t="inlineStr">
        <is>
          <t>113901-40</t>
        </is>
      </c>
      <c r="B130" s="28" t="inlineStr">
        <is>
          <t>Xspaced</t>
        </is>
      </c>
      <c r="C130" s="86">
        <f>HYPERLINK("https://my.pitchbook.com?rrp=113901-40&amp;type=c", "This Company's information is not available to download. Need this Company? Request availability")</f>
      </c>
      <c r="D130" s="30" t="inlineStr">
        <is>
          <t/>
        </is>
      </c>
      <c r="E130" s="31" t="inlineStr">
        <is>
          <t/>
        </is>
      </c>
      <c r="F130" s="32" t="inlineStr">
        <is>
          <t/>
        </is>
      </c>
      <c r="G130" s="33" t="inlineStr">
        <is>
          <t/>
        </is>
      </c>
      <c r="H130" s="34" t="inlineStr">
        <is>
          <t/>
        </is>
      </c>
      <c r="I130" s="35" t="inlineStr">
        <is>
          <t/>
        </is>
      </c>
      <c r="J130" s="36" t="inlineStr">
        <is>
          <t/>
        </is>
      </c>
      <c r="K130" s="37" t="inlineStr">
        <is>
          <t/>
        </is>
      </c>
      <c r="L130" s="38" t="inlineStr">
        <is>
          <t/>
        </is>
      </c>
      <c r="M130" s="39" t="inlineStr">
        <is>
          <t/>
        </is>
      </c>
      <c r="N130" s="40" t="inlineStr">
        <is>
          <t/>
        </is>
      </c>
      <c r="O130" s="41" t="inlineStr">
        <is>
          <t/>
        </is>
      </c>
      <c r="P130" s="42" t="inlineStr">
        <is>
          <t/>
        </is>
      </c>
      <c r="Q130" s="43" t="inlineStr">
        <is>
          <t/>
        </is>
      </c>
      <c r="R130" s="44" t="inlineStr">
        <is>
          <t/>
        </is>
      </c>
    </row>
    <row r="131">
      <c r="A131" s="9" t="inlineStr">
        <is>
          <t>102824-29</t>
        </is>
      </c>
      <c r="B131" s="10" t="inlineStr">
        <is>
          <t>X-Scan Imaging</t>
        </is>
      </c>
      <c r="C131" s="11" t="inlineStr">
        <is>
          <t>95134</t>
        </is>
      </c>
      <c r="D131" s="12" t="inlineStr">
        <is>
          <t>Provider of X-ray imaging services. The company engages in making and distribution of CMOS linear photo-diode arrays and line-scan cameras for visible and X-ray imaging applications.</t>
        </is>
      </c>
      <c r="E131" s="13" t="inlineStr">
        <is>
          <t>Other Healthcare Technology Systems</t>
        </is>
      </c>
      <c r="F131" s="14" t="inlineStr">
        <is>
          <t>San Jose, CA</t>
        </is>
      </c>
      <c r="G131" s="15" t="inlineStr">
        <is>
          <t>Privately Held (backing)</t>
        </is>
      </c>
      <c r="H131" s="16" t="inlineStr">
        <is>
          <t>Angel-Backed</t>
        </is>
      </c>
      <c r="I131" s="17" t="inlineStr">
        <is>
          <t/>
        </is>
      </c>
      <c r="J131" s="18" t="inlineStr">
        <is>
          <t>www.x-scanimaging.com</t>
        </is>
      </c>
      <c r="K131" s="19" t="inlineStr">
        <is>
          <t/>
        </is>
      </c>
      <c r="L131" s="20" t="inlineStr">
        <is>
          <t>+1 (408) 432-9888</t>
        </is>
      </c>
      <c r="M131" s="21" t="inlineStr">
        <is>
          <t>Hsin-Fu Tseng</t>
        </is>
      </c>
      <c r="N131" s="22" t="inlineStr">
        <is>
          <t>Founder &amp; Chairman</t>
        </is>
      </c>
      <c r="O131" s="23" t="inlineStr">
        <is>
          <t/>
        </is>
      </c>
      <c r="P131" s="24" t="inlineStr">
        <is>
          <t>+1 (408) 432-9888</t>
        </is>
      </c>
      <c r="Q131" s="25" t="n">
        <v>2006.0</v>
      </c>
      <c r="R131" s="113">
        <f>HYPERLINK("https://my.pitchbook.com?c=102824-29", "View company online")</f>
      </c>
    </row>
    <row r="132">
      <c r="A132" s="27" t="inlineStr">
        <is>
          <t>128237-50</t>
        </is>
      </c>
      <c r="B132" s="28" t="inlineStr">
        <is>
          <t>xPressTap</t>
        </is>
      </c>
      <c r="C132" s="29" t="inlineStr">
        <is>
          <t>95123</t>
        </is>
      </c>
      <c r="D132" s="30" t="inlineStr">
        <is>
          <t>Provider of an online payment platform. The company provides a platform which allows users to make faster payments using their NFC enabled phones and contactless payment cards.</t>
        </is>
      </c>
      <c r="E132" s="31" t="inlineStr">
        <is>
          <t>Application Software</t>
        </is>
      </c>
      <c r="F132" s="32" t="inlineStr">
        <is>
          <t>San Jose, CA</t>
        </is>
      </c>
      <c r="G132" s="33" t="inlineStr">
        <is>
          <t>Privately Held (backing)</t>
        </is>
      </c>
      <c r="H132" s="34" t="inlineStr">
        <is>
          <t>Accelerator/Incubator Backed</t>
        </is>
      </c>
      <c r="I132" s="35" t="inlineStr">
        <is>
          <t>Brent Jones, John Faylor, Mark Adams, Plug and Play Tech Center, Tommy Vardell</t>
        </is>
      </c>
      <c r="J132" s="36" t="inlineStr">
        <is>
          <t>beta.xpresstap.com</t>
        </is>
      </c>
      <c r="K132" s="37" t="inlineStr">
        <is>
          <t/>
        </is>
      </c>
      <c r="L132" s="38" t="inlineStr">
        <is>
          <t/>
        </is>
      </c>
      <c r="M132" s="39" t="inlineStr">
        <is>
          <t>Mark Snycerski</t>
        </is>
      </c>
      <c r="N132" s="40" t="inlineStr">
        <is>
          <t>Co-Founder &amp; Chief Technology Officer</t>
        </is>
      </c>
      <c r="O132" s="41" t="inlineStr">
        <is>
          <t>mark_snycerski@xpresstap.com</t>
        </is>
      </c>
      <c r="P132" s="42" t="inlineStr">
        <is>
          <t/>
        </is>
      </c>
      <c r="Q132" s="43" t="n">
        <v>2014.0</v>
      </c>
      <c r="R132" s="114">
        <f>HYPERLINK("https://my.pitchbook.com?c=128237-50", "View company online")</f>
      </c>
    </row>
    <row r="133">
      <c r="A133" s="9" t="inlineStr">
        <is>
          <t>171410-50</t>
        </is>
      </c>
      <c r="B133" s="10" t="inlineStr">
        <is>
          <t>Xpresso</t>
        </is>
      </c>
      <c r="C133" s="85">
        <f>HYPERLINK("https://my.pitchbook.com?rrp=171410-50&amp;type=c", "This Company's information is not available to download. Need this Company? Request availability")</f>
      </c>
      <c r="D133" s="12" t="inlineStr">
        <is>
          <t/>
        </is>
      </c>
      <c r="E133" s="13" t="inlineStr">
        <is>
          <t/>
        </is>
      </c>
      <c r="F133" s="14" t="inlineStr">
        <is>
          <t/>
        </is>
      </c>
      <c r="G133" s="15" t="inlineStr">
        <is>
          <t/>
        </is>
      </c>
      <c r="H133" s="16" t="inlineStr">
        <is>
          <t/>
        </is>
      </c>
      <c r="I133" s="17" t="inlineStr">
        <is>
          <t/>
        </is>
      </c>
      <c r="J133" s="18" t="inlineStr">
        <is>
          <t/>
        </is>
      </c>
      <c r="K133" s="19" t="inlineStr">
        <is>
          <t/>
        </is>
      </c>
      <c r="L133" s="20" t="inlineStr">
        <is>
          <t/>
        </is>
      </c>
      <c r="M133" s="21" t="inlineStr">
        <is>
          <t/>
        </is>
      </c>
      <c r="N133" s="22" t="inlineStr">
        <is>
          <t/>
        </is>
      </c>
      <c r="O133" s="23" t="inlineStr">
        <is>
          <t/>
        </is>
      </c>
      <c r="P133" s="24" t="inlineStr">
        <is>
          <t/>
        </is>
      </c>
      <c r="Q133" s="25" t="inlineStr">
        <is>
          <t/>
        </is>
      </c>
      <c r="R133" s="26" t="inlineStr">
        <is>
          <t/>
        </is>
      </c>
    </row>
    <row r="134">
      <c r="A134" s="27" t="inlineStr">
        <is>
          <t>173000-44</t>
        </is>
      </c>
      <c r="B134" s="28" t="inlineStr">
        <is>
          <t>XpressMail</t>
        </is>
      </c>
      <c r="C134" s="29" t="inlineStr">
        <is>
          <t>94085</t>
        </is>
      </c>
      <c r="D134" s="30" t="inlineStr">
        <is>
          <t>Developer of a video messaging platform designed to provide personalized video messaging services. The company provides a video messaging platform that is designed for enterprises and businesses to send unlimited video based messages, enabling them to improve business communication, strengthen employee engagement and enhance support.</t>
        </is>
      </c>
      <c r="E134" s="31" t="inlineStr">
        <is>
          <t>Application Software</t>
        </is>
      </c>
      <c r="F134" s="32" t="inlineStr">
        <is>
          <t>Sunnyvale, CA</t>
        </is>
      </c>
      <c r="G134" s="33" t="inlineStr">
        <is>
          <t>Privately Held (backing)</t>
        </is>
      </c>
      <c r="H134" s="34" t="inlineStr">
        <is>
          <t>Accelerator/Incubator Backed</t>
        </is>
      </c>
      <c r="I134" s="35" t="inlineStr">
        <is>
          <t>Z Nation Lab</t>
        </is>
      </c>
      <c r="J134" s="36" t="inlineStr">
        <is>
          <t>www.xpressmail.io</t>
        </is>
      </c>
      <c r="K134" s="37" t="inlineStr">
        <is>
          <t/>
        </is>
      </c>
      <c r="L134" s="38" t="inlineStr">
        <is>
          <t>+1 (415) 570-8910</t>
        </is>
      </c>
      <c r="M134" s="39" t="inlineStr">
        <is>
          <t>Ram Chellamuthu</t>
        </is>
      </c>
      <c r="N134" s="40" t="inlineStr">
        <is>
          <t>Founder &amp; Chief Executive Officer</t>
        </is>
      </c>
      <c r="O134" s="41" t="inlineStr">
        <is>
          <t>ram@xpressmail.io</t>
        </is>
      </c>
      <c r="P134" s="42" t="inlineStr">
        <is>
          <t>+1 (415) 570-8910</t>
        </is>
      </c>
      <c r="Q134" s="43" t="n">
        <v>2014.0</v>
      </c>
      <c r="R134" s="114">
        <f>HYPERLINK("https://my.pitchbook.com?c=173000-44", "View company online")</f>
      </c>
    </row>
    <row r="135">
      <c r="A135" s="9" t="inlineStr">
        <is>
          <t>113363-83</t>
        </is>
      </c>
      <c r="B135" s="10" t="inlineStr">
        <is>
          <t>Xplicit Computing</t>
        </is>
      </c>
      <c r="C135" s="85">
        <f>HYPERLINK("https://my.pitchbook.com?rrp=113363-83&amp;type=c", "This Company's information is not available to download. Need this Company? Request availability")</f>
      </c>
      <c r="D135" s="12" t="inlineStr">
        <is>
          <t/>
        </is>
      </c>
      <c r="E135" s="13" t="inlineStr">
        <is>
          <t/>
        </is>
      </c>
      <c r="F135" s="14" t="inlineStr">
        <is>
          <t/>
        </is>
      </c>
      <c r="G135" s="15" t="inlineStr">
        <is>
          <t/>
        </is>
      </c>
      <c r="H135" s="16" t="inlineStr">
        <is>
          <t/>
        </is>
      </c>
      <c r="I135" s="17" t="inlineStr">
        <is>
          <t/>
        </is>
      </c>
      <c r="J135" s="18" t="inlineStr">
        <is>
          <t/>
        </is>
      </c>
      <c r="K135" s="19" t="inlineStr">
        <is>
          <t/>
        </is>
      </c>
      <c r="L135" s="20" t="inlineStr">
        <is>
          <t/>
        </is>
      </c>
      <c r="M135" s="21" t="inlineStr">
        <is>
          <t/>
        </is>
      </c>
      <c r="N135" s="22" t="inlineStr">
        <is>
          <t/>
        </is>
      </c>
      <c r="O135" s="23" t="inlineStr">
        <is>
          <t/>
        </is>
      </c>
      <c r="P135" s="24" t="inlineStr">
        <is>
          <t/>
        </is>
      </c>
      <c r="Q135" s="25" t="inlineStr">
        <is>
          <t/>
        </is>
      </c>
      <c r="R135" s="26" t="inlineStr">
        <is>
          <t/>
        </is>
      </c>
    </row>
    <row r="136">
      <c r="A136" s="27" t="inlineStr">
        <is>
          <t>107631-64</t>
        </is>
      </c>
      <c r="B136" s="28" t="inlineStr">
        <is>
          <t>Xphyr</t>
        </is>
      </c>
      <c r="C136" s="29" t="inlineStr">
        <is>
          <t/>
        </is>
      </c>
      <c r="D136" s="30" t="inlineStr">
        <is>
          <t>Provider of a novel donation and lead-generation platform for civic and political organizations. The company is creating a system to allow citizens to donate volunteer hours, pledge their votes and put money towards specific issues in politics and civil society which can then be linked through the issues to candidates, parties and NGOs.</t>
        </is>
      </c>
      <c r="E136" s="31" t="inlineStr">
        <is>
          <t>Social/Platform Software</t>
        </is>
      </c>
      <c r="F136" s="32" t="inlineStr">
        <is>
          <t>San Francisco, CA</t>
        </is>
      </c>
      <c r="G136" s="33" t="inlineStr">
        <is>
          <t>Privately Held (backing)</t>
        </is>
      </c>
      <c r="H136" s="34" t="inlineStr">
        <is>
          <t>Accelerator/Incubator Backed</t>
        </is>
      </c>
      <c r="I136" s="35" t="inlineStr">
        <is>
          <t>Founder.org</t>
        </is>
      </c>
      <c r="J136" s="36" t="inlineStr">
        <is>
          <t>www.civicup.com</t>
        </is>
      </c>
      <c r="K136" s="37" t="inlineStr">
        <is>
          <t>team@civicup.com</t>
        </is>
      </c>
      <c r="L136" s="38" t="inlineStr">
        <is>
          <t/>
        </is>
      </c>
      <c r="M136" s="39" t="inlineStr">
        <is>
          <t>Xenia Menzies</t>
        </is>
      </c>
      <c r="N136" s="40" t="inlineStr">
        <is>
          <t>Chief Executive Officer &amp; Co-Founder</t>
        </is>
      </c>
      <c r="O136" s="41" t="inlineStr">
        <is>
          <t>xenia@civicup.com</t>
        </is>
      </c>
      <c r="P136" s="42" t="inlineStr">
        <is>
          <t/>
        </is>
      </c>
      <c r="Q136" s="43" t="n">
        <v>2014.0</v>
      </c>
      <c r="R136" s="114">
        <f>HYPERLINK("https://my.pitchbook.com?c=107631-64", "View company online")</f>
      </c>
    </row>
    <row r="137">
      <c r="A137" s="9" t="inlineStr">
        <is>
          <t>110511-28</t>
        </is>
      </c>
      <c r="B137" s="10" t="inlineStr">
        <is>
          <t>Xooltime</t>
        </is>
      </c>
      <c r="C137" s="11" t="inlineStr">
        <is>
          <t>94704</t>
        </is>
      </c>
      <c r="D137" s="12" t="inlineStr">
        <is>
          <t>Provider of an educational platform which provides school notes management tool. The company's platform motivate students towards focused daily learning and also integrate teachers and parents into the learning process.</t>
        </is>
      </c>
      <c r="E137" s="13" t="inlineStr">
        <is>
          <t>Educational and Training Services (B2C)</t>
        </is>
      </c>
      <c r="F137" s="14" t="inlineStr">
        <is>
          <t>Berkeley, CA</t>
        </is>
      </c>
      <c r="G137" s="15" t="inlineStr">
        <is>
          <t>Privately Held (backing)</t>
        </is>
      </c>
      <c r="H137" s="16" t="inlineStr">
        <is>
          <t>Accelerator/Incubator Backed</t>
        </is>
      </c>
      <c r="I137" s="17" t="inlineStr">
        <is>
          <t>Skydeck | Berkeley</t>
        </is>
      </c>
      <c r="J137" s="18" t="inlineStr">
        <is>
          <t>www.xooltime.com</t>
        </is>
      </c>
      <c r="K137" s="19" t="inlineStr">
        <is>
          <t/>
        </is>
      </c>
      <c r="L137" s="20" t="inlineStr">
        <is>
          <t/>
        </is>
      </c>
      <c r="M137" s="21" t="inlineStr">
        <is>
          <t>Jaka Lindic</t>
        </is>
      </c>
      <c r="N137" s="22" t="inlineStr">
        <is>
          <t>Co-Founder</t>
        </is>
      </c>
      <c r="O137" s="23" t="inlineStr">
        <is>
          <t/>
        </is>
      </c>
      <c r="P137" s="24" t="inlineStr">
        <is>
          <t/>
        </is>
      </c>
      <c r="Q137" s="25" t="n">
        <v>2013.0</v>
      </c>
      <c r="R137" s="113">
        <f>HYPERLINK("https://my.pitchbook.com?c=110511-28", "View company online")</f>
      </c>
    </row>
    <row r="138">
      <c r="A138" s="27" t="inlineStr">
        <is>
          <t>99059-50</t>
        </is>
      </c>
      <c r="B138" s="28" t="inlineStr">
        <is>
          <t>Xompass</t>
        </is>
      </c>
      <c r="C138" s="29" t="inlineStr">
        <is>
          <t>94577</t>
        </is>
      </c>
      <c r="D138" s="30" t="inlineStr">
        <is>
          <t>Provider of a cloud-based industrial internet of things platform. The company provides a cloud based platform that enables industrial machinery to communicate with team members at the plant.</t>
        </is>
      </c>
      <c r="E138" s="31" t="inlineStr">
        <is>
          <t>Social/Platform Software</t>
        </is>
      </c>
      <c r="F138" s="32" t="inlineStr">
        <is>
          <t>San Leandro, CA</t>
        </is>
      </c>
      <c r="G138" s="33" t="inlineStr">
        <is>
          <t>Privately Held (backing)</t>
        </is>
      </c>
      <c r="H138" s="34" t="inlineStr">
        <is>
          <t>Accelerator/Incubator Backed</t>
        </is>
      </c>
      <c r="I138" s="35" t="inlineStr">
        <is>
          <t>Blackbox, CCTVal Research lab, Plug and Play Tech Center, Wasabi Ventures</t>
        </is>
      </c>
      <c r="J138" s="36" t="inlineStr">
        <is>
          <t>www.xompass.com</t>
        </is>
      </c>
      <c r="K138" s="37" t="inlineStr">
        <is>
          <t>contact@xompass.com</t>
        </is>
      </c>
      <c r="L138" s="38" t="inlineStr">
        <is>
          <t>+1 (925) 494-2255</t>
        </is>
      </c>
      <c r="M138" s="39" t="inlineStr">
        <is>
          <t>Francisco Soto</t>
        </is>
      </c>
      <c r="N138" s="40" t="inlineStr">
        <is>
          <t>Co-Founder &amp; Chief Executive Officer</t>
        </is>
      </c>
      <c r="O138" s="41" t="inlineStr">
        <is>
          <t>francisco@xompass.com</t>
        </is>
      </c>
      <c r="P138" s="42" t="inlineStr">
        <is>
          <t>+1 (650) 741-1299</t>
        </is>
      </c>
      <c r="Q138" s="43" t="inlineStr">
        <is>
          <t/>
        </is>
      </c>
      <c r="R138" s="114">
        <f>HYPERLINK("https://my.pitchbook.com?c=99059-50", "View company online")</f>
      </c>
    </row>
    <row r="139">
      <c r="A139" s="9" t="inlineStr">
        <is>
          <t>178439-32</t>
        </is>
      </c>
      <c r="B139" s="10" t="inlineStr">
        <is>
          <t>Xix.ai</t>
        </is>
      </c>
      <c r="C139" s="11" t="inlineStr">
        <is>
          <t>94107</t>
        </is>
      </c>
      <c r="D139" s="12" t="inlineStr">
        <is>
          <t>Developer of an artificial intelligence based mobile application intended to predict activities of the users based on their smartphone usage. The company's operating system uses advanced machine learning and AI technology, which shows upcoming events and activities of a user on their device's home screen, enabling them to organize and plan out their upcoming events and activities well in advance based on the predictions offered.</t>
        </is>
      </c>
      <c r="E139" s="13" t="inlineStr">
        <is>
          <t>Application Software</t>
        </is>
      </c>
      <c r="F139" s="14" t="inlineStr">
        <is>
          <t>San Francisco, CA</t>
        </is>
      </c>
      <c r="G139" s="15" t="inlineStr">
        <is>
          <t>Privately Held (backing)</t>
        </is>
      </c>
      <c r="H139" s="16" t="inlineStr">
        <is>
          <t>Accelerator/Incubator Backed</t>
        </is>
      </c>
      <c r="I139" s="17" t="inlineStr">
        <is>
          <t>Y Combinator</t>
        </is>
      </c>
      <c r="J139" s="18" t="inlineStr">
        <is>
          <t>www.xix.ai</t>
        </is>
      </c>
      <c r="K139" s="19" t="inlineStr">
        <is>
          <t>reach@xix.ai</t>
        </is>
      </c>
      <c r="L139" s="20" t="inlineStr">
        <is>
          <t/>
        </is>
      </c>
      <c r="M139" s="21" t="inlineStr">
        <is>
          <t>Emil Mikhailov</t>
        </is>
      </c>
      <c r="N139" s="22" t="inlineStr">
        <is>
          <t>Co-Founder &amp; Chief Executive Officer</t>
        </is>
      </c>
      <c r="O139" s="23" t="inlineStr">
        <is>
          <t>emil.mikhailov@xix.ai</t>
        </is>
      </c>
      <c r="P139" s="24" t="inlineStr">
        <is>
          <t/>
        </is>
      </c>
      <c r="Q139" s="25" t="n">
        <v>2016.0</v>
      </c>
      <c r="R139" s="113">
        <f>HYPERLINK("https://my.pitchbook.com?c=178439-32", "View company online")</f>
      </c>
    </row>
    <row r="140">
      <c r="A140" s="27" t="inlineStr">
        <is>
          <t>102822-85</t>
        </is>
      </c>
      <c r="B140" s="28" t="inlineStr">
        <is>
          <t>Ximoxi</t>
        </is>
      </c>
      <c r="C140" s="29" t="inlineStr">
        <is>
          <t>95031</t>
        </is>
      </c>
      <c r="D140" s="30" t="inlineStr">
        <is>
          <t>Developer of a mobile application software to find members in their vicinity. The company develops a bluetooth based mobile application software that enables users to discover members in the vicinity with personal attributes such as picture and names.</t>
        </is>
      </c>
      <c r="E140" s="31" t="inlineStr">
        <is>
          <t>Application Software</t>
        </is>
      </c>
      <c r="F140" s="32" t="inlineStr">
        <is>
          <t>Los Gatos, CA</t>
        </is>
      </c>
      <c r="G140" s="33" t="inlineStr">
        <is>
          <t>Privately Held (backing)</t>
        </is>
      </c>
      <c r="H140" s="34" t="inlineStr">
        <is>
          <t>Angel-Backed</t>
        </is>
      </c>
      <c r="I140" s="35" t="inlineStr">
        <is>
          <t/>
        </is>
      </c>
      <c r="J140" s="36" t="inlineStr">
        <is>
          <t>www.ximoxi.com</t>
        </is>
      </c>
      <c r="K140" s="37" t="inlineStr">
        <is>
          <t/>
        </is>
      </c>
      <c r="L140" s="38" t="inlineStr">
        <is>
          <t>+1 (40) 499-5776</t>
        </is>
      </c>
      <c r="M140" s="39" t="inlineStr">
        <is>
          <t>Ramzi Alharayeri</t>
        </is>
      </c>
      <c r="N140" s="40" t="inlineStr">
        <is>
          <t>Founder, Chief Executive Officer &amp; Chairman of Board</t>
        </is>
      </c>
      <c r="O140" s="41" t="inlineStr">
        <is>
          <t>ramzi@ximoxi.com</t>
        </is>
      </c>
      <c r="P140" s="42" t="inlineStr">
        <is>
          <t>+1 (40) 499-5776</t>
        </is>
      </c>
      <c r="Q140" s="43" t="n">
        <v>2008.0</v>
      </c>
      <c r="R140" s="114">
        <f>HYPERLINK("https://my.pitchbook.com?c=102822-85", "View company online")</f>
      </c>
    </row>
    <row r="141">
      <c r="A141" s="9" t="inlineStr">
        <is>
          <t>152840-35</t>
        </is>
      </c>
      <c r="B141" s="10" t="inlineStr">
        <is>
          <t>Xemana</t>
        </is>
      </c>
      <c r="C141" s="11" t="inlineStr">
        <is>
          <t>90403</t>
        </is>
      </c>
      <c r="D141" s="12" t="inlineStr">
        <is>
          <t>Developer of an application software designed for access to workplace training. The company's application software helps workers with mobile access to workplace training and immediate communication with management enabling companies to customize training plans, monitor job completion and maintain a record of workplace activities.</t>
        </is>
      </c>
      <c r="E141" s="13" t="inlineStr">
        <is>
          <t>Education and Training Services (B2B)</t>
        </is>
      </c>
      <c r="F141" s="14" t="inlineStr">
        <is>
          <t>Santa Monica, CA</t>
        </is>
      </c>
      <c r="G141" s="15" t="inlineStr">
        <is>
          <t>Privately Held (backing)</t>
        </is>
      </c>
      <c r="H141" s="16" t="inlineStr">
        <is>
          <t>Angel-Backed</t>
        </is>
      </c>
      <c r="I141" s="17" t="inlineStr">
        <is>
          <t>Bob Ellis, Lexington Group, Paul DeRosa, Windy City Communications</t>
        </is>
      </c>
      <c r="J141" s="18" t="inlineStr">
        <is>
          <t>www.xemana.net</t>
        </is>
      </c>
      <c r="K141" s="19" t="inlineStr">
        <is>
          <t>info@xemana.net</t>
        </is>
      </c>
      <c r="L141" s="20" t="inlineStr">
        <is>
          <t>+1 (310) 474-0579</t>
        </is>
      </c>
      <c r="M141" s="21" t="inlineStr">
        <is>
          <t>Kenneth Locker</t>
        </is>
      </c>
      <c r="N141" s="22" t="inlineStr">
        <is>
          <t>Co-Founder &amp; Chief Operating Officer</t>
        </is>
      </c>
      <c r="O141" s="23" t="inlineStr">
        <is>
          <t>klocker@xemana.net</t>
        </is>
      </c>
      <c r="P141" s="24" t="inlineStr">
        <is>
          <t>+1 (310) 474-0579</t>
        </is>
      </c>
      <c r="Q141" s="25" t="n">
        <v>2008.0</v>
      </c>
      <c r="R141" s="113">
        <f>HYPERLINK("https://my.pitchbook.com?c=152840-35", "View company online")</f>
      </c>
    </row>
    <row r="142">
      <c r="A142" s="27" t="inlineStr">
        <is>
          <t>123283-99</t>
        </is>
      </c>
      <c r="B142" s="28" t="inlineStr">
        <is>
          <t>XCellAssay</t>
        </is>
      </c>
      <c r="C142" s="29" t="inlineStr">
        <is>
          <t>94107</t>
        </is>
      </c>
      <c r="D142" s="30" t="inlineStr">
        <is>
          <t>Owner and operator of a clinical diagnostic laboratory. The company offers disease assessment, hormonal assessment and drug discovery.</t>
        </is>
      </c>
      <c r="E142" s="31" t="inlineStr">
        <is>
          <t>Drug Delivery</t>
        </is>
      </c>
      <c r="F142" s="32" t="inlineStr">
        <is>
          <t>San Francisco, CA</t>
        </is>
      </c>
      <c r="G142" s="33" t="inlineStr">
        <is>
          <t>Privately Held (backing)</t>
        </is>
      </c>
      <c r="H142" s="34" t="inlineStr">
        <is>
          <t>Accelerator/Incubator Backed</t>
        </is>
      </c>
      <c r="I142" s="35" t="inlineStr">
        <is>
          <t>California Institute for Quantitative Biosciences</t>
        </is>
      </c>
      <c r="J142" s="36" t="inlineStr">
        <is>
          <t>www.xcellassay.com</t>
        </is>
      </c>
      <c r="K142" s="37" t="inlineStr">
        <is>
          <t/>
        </is>
      </c>
      <c r="L142" s="38" t="inlineStr">
        <is>
          <t>+1 (415) 378-8921</t>
        </is>
      </c>
      <c r="M142" s="39" t="inlineStr">
        <is>
          <t>Fred Schaufele</t>
        </is>
      </c>
      <c r="N142" s="40" t="inlineStr">
        <is>
          <t>Co-Founder &amp; Director, Scientific Operations</t>
        </is>
      </c>
      <c r="O142" s="41" t="inlineStr">
        <is>
          <t>fred@xcellassay.com</t>
        </is>
      </c>
      <c r="P142" s="42" t="inlineStr">
        <is>
          <t>+1 (415) 378-8921</t>
        </is>
      </c>
      <c r="Q142" s="43" t="n">
        <v>2013.0</v>
      </c>
      <c r="R142" s="114">
        <f>HYPERLINK("https://my.pitchbook.com?c=123283-99", "View company online")</f>
      </c>
    </row>
    <row r="143">
      <c r="A143" s="9" t="inlineStr">
        <is>
          <t>103825-72</t>
        </is>
      </c>
      <c r="B143" s="10" t="inlineStr">
        <is>
          <t>Xcel Group</t>
        </is>
      </c>
      <c r="C143" s="11" t="inlineStr">
        <is>
          <t>94402</t>
        </is>
      </c>
      <c r="D143" s="12" t="inlineStr">
        <is>
          <t>Provider of staffing and recruitment services. The company specializes in placing finance, accounting and human resources professionals into relevant companies and industries.</t>
        </is>
      </c>
      <c r="E143" s="13" t="inlineStr">
        <is>
          <t>Human Capital Services</t>
        </is>
      </c>
      <c r="F143" s="14" t="inlineStr">
        <is>
          <t>San Mateo, CA</t>
        </is>
      </c>
      <c r="G143" s="15" t="inlineStr">
        <is>
          <t>Privately Held (backing)</t>
        </is>
      </c>
      <c r="H143" s="16" t="inlineStr">
        <is>
          <t>Angel-Backed</t>
        </is>
      </c>
      <c r="I143" s="17" t="inlineStr">
        <is>
          <t/>
        </is>
      </c>
      <c r="J143" s="18" t="inlineStr">
        <is>
          <t>www.xcelgroup.com</t>
        </is>
      </c>
      <c r="K143" s="19" t="inlineStr">
        <is>
          <t/>
        </is>
      </c>
      <c r="L143" s="20" t="inlineStr">
        <is>
          <t>+1 (650) 572-0123</t>
        </is>
      </c>
      <c r="M143" s="21" t="inlineStr">
        <is>
          <t>Kurt Byer</t>
        </is>
      </c>
      <c r="N143" s="22" t="inlineStr">
        <is>
          <t>Founder &amp; Board Member</t>
        </is>
      </c>
      <c r="O143" s="23" t="inlineStr">
        <is>
          <t>kurt@xcelgroup.com</t>
        </is>
      </c>
      <c r="P143" s="24" t="inlineStr">
        <is>
          <t>+1 (650) 572-0123</t>
        </is>
      </c>
      <c r="Q143" s="25" t="n">
        <v>1994.0</v>
      </c>
      <c r="R143" s="113">
        <f>HYPERLINK("https://my.pitchbook.com?c=103825-72", "View company online")</f>
      </c>
    </row>
    <row r="144">
      <c r="A144" s="27" t="inlineStr">
        <is>
          <t>148135-51</t>
        </is>
      </c>
      <c r="B144" s="28" t="inlineStr">
        <is>
          <t>Wyndow</t>
        </is>
      </c>
      <c r="C144" s="29" t="inlineStr">
        <is>
          <t>95811</t>
        </is>
      </c>
      <c r="D144" s="30" t="inlineStr">
        <is>
          <t>Developer of an event discovering mobile application. The company's application uses geolocation and helps in the local discovery for entertainment nearby, including concerts, movies, sporting events and public meetings.</t>
        </is>
      </c>
      <c r="E144" s="31" t="inlineStr">
        <is>
          <t>Application Software</t>
        </is>
      </c>
      <c r="F144" s="32" t="inlineStr">
        <is>
          <t>Sacramento, CA</t>
        </is>
      </c>
      <c r="G144" s="33" t="inlineStr">
        <is>
          <t>Privately Held (backing)</t>
        </is>
      </c>
      <c r="H144" s="34" t="inlineStr">
        <is>
          <t>Angel-Backed</t>
        </is>
      </c>
      <c r="I144" s="35" t="inlineStr">
        <is>
          <t>Bob Bozeman, Dave Sanders</t>
        </is>
      </c>
      <c r="J144" s="36" t="inlineStr">
        <is>
          <t>www.wyndow.com</t>
        </is>
      </c>
      <c r="K144" s="37" t="inlineStr">
        <is>
          <t>info@gowili.com</t>
        </is>
      </c>
      <c r="L144" s="38" t="inlineStr">
        <is>
          <t>+1 (310) 860-3304</t>
        </is>
      </c>
      <c r="M144" s="39" t="inlineStr">
        <is>
          <t>Oleg Kaganovich</t>
        </is>
      </c>
      <c r="N144" s="40" t="inlineStr">
        <is>
          <t>Founder, Chief Executive Officer, Chief Wyndow Washer &amp; Board Member</t>
        </is>
      </c>
      <c r="O144" s="41" t="inlineStr">
        <is>
          <t>oleg@wyndow.com</t>
        </is>
      </c>
      <c r="P144" s="42" t="inlineStr">
        <is>
          <t>+1 (310) 860-3304</t>
        </is>
      </c>
      <c r="Q144" s="43" t="n">
        <v>2013.0</v>
      </c>
      <c r="R144" s="114">
        <f>HYPERLINK("https://my.pitchbook.com?c=148135-51", "View company online")</f>
      </c>
    </row>
    <row r="145">
      <c r="A145" s="9" t="inlineStr">
        <is>
          <t>65820-16</t>
        </is>
      </c>
      <c r="B145" s="10" t="inlineStr">
        <is>
          <t>Wyldfire</t>
        </is>
      </c>
      <c r="C145" s="11" t="inlineStr">
        <is>
          <t/>
        </is>
      </c>
      <c r="D145" s="12" t="inlineStr">
        <is>
          <t>Provider of mobile dating network. The company develops mobile dating application and platform that allows users to chat, interact and date online where women grant access to men.</t>
        </is>
      </c>
      <c r="E145" s="13" t="inlineStr">
        <is>
          <t>Social Content</t>
        </is>
      </c>
      <c r="F145" s="14" t="inlineStr">
        <is>
          <t>San Diego, CA</t>
        </is>
      </c>
      <c r="G145" s="15" t="inlineStr">
        <is>
          <t>Privately Held (backing)</t>
        </is>
      </c>
      <c r="H145" s="16" t="inlineStr">
        <is>
          <t>Accelerator/Incubator Backed</t>
        </is>
      </c>
      <c r="I145" s="17" t="inlineStr">
        <is>
          <t>Kirkland &amp; Ellis, Momentum, Will Bunker, WS Investments</t>
        </is>
      </c>
      <c r="J145" s="18" t="inlineStr">
        <is>
          <t>www.wyldfireapp.com</t>
        </is>
      </c>
      <c r="K145" s="19" t="inlineStr">
        <is>
          <t>info@wyldfireapp.com</t>
        </is>
      </c>
      <c r="L145" s="20" t="inlineStr">
        <is>
          <t/>
        </is>
      </c>
      <c r="M145" s="21" t="inlineStr">
        <is>
          <t>Brian Freeman</t>
        </is>
      </c>
      <c r="N145" s="22" t="inlineStr">
        <is>
          <t>Chief Executive Officer &amp; Co-Founder</t>
        </is>
      </c>
      <c r="O145" s="23" t="inlineStr">
        <is>
          <t>brian@wyldfireapp.com</t>
        </is>
      </c>
      <c r="P145" s="24" t="inlineStr">
        <is>
          <t/>
        </is>
      </c>
      <c r="Q145" s="25" t="n">
        <v>2013.0</v>
      </c>
      <c r="R145" s="113">
        <f>HYPERLINK("https://my.pitchbook.com?c=65820-16", "View company online")</f>
      </c>
    </row>
    <row r="146">
      <c r="A146" s="27" t="inlineStr">
        <is>
          <t>171909-01</t>
        </is>
      </c>
      <c r="B146" s="28" t="inlineStr">
        <is>
          <t>WUTT2</t>
        </is>
      </c>
      <c r="C146" s="86">
        <f>HYPERLINK("https://my.pitchbook.com?rrp=171909-01&amp;type=c", "This Company's information is not available to download. Need this Company? Request availability")</f>
      </c>
      <c r="D146" s="30" t="inlineStr">
        <is>
          <t/>
        </is>
      </c>
      <c r="E146" s="31" t="inlineStr">
        <is>
          <t/>
        </is>
      </c>
      <c r="F146" s="32" t="inlineStr">
        <is>
          <t/>
        </is>
      </c>
      <c r="G146" s="33" t="inlineStr">
        <is>
          <t/>
        </is>
      </c>
      <c r="H146" s="34" t="inlineStr">
        <is>
          <t/>
        </is>
      </c>
      <c r="I146" s="35" t="inlineStr">
        <is>
          <t/>
        </is>
      </c>
      <c r="J146" s="36" t="inlineStr">
        <is>
          <t/>
        </is>
      </c>
      <c r="K146" s="37" t="inlineStr">
        <is>
          <t/>
        </is>
      </c>
      <c r="L146" s="38" t="inlineStr">
        <is>
          <t/>
        </is>
      </c>
      <c r="M146" s="39" t="inlineStr">
        <is>
          <t/>
        </is>
      </c>
      <c r="N146" s="40" t="inlineStr">
        <is>
          <t/>
        </is>
      </c>
      <c r="O146" s="41" t="inlineStr">
        <is>
          <t/>
        </is>
      </c>
      <c r="P146" s="42" t="inlineStr">
        <is>
          <t/>
        </is>
      </c>
      <c r="Q146" s="43" t="inlineStr">
        <is>
          <t/>
        </is>
      </c>
      <c r="R146" s="44" t="inlineStr">
        <is>
          <t/>
        </is>
      </c>
    </row>
    <row r="147">
      <c r="A147" s="9" t="inlineStr">
        <is>
          <t>119967-40</t>
        </is>
      </c>
      <c r="B147" s="10" t="inlineStr">
        <is>
          <t>Wurrly</t>
        </is>
      </c>
      <c r="C147" s="11" t="inlineStr">
        <is>
          <t>90402</t>
        </is>
      </c>
      <c r="D147" s="12" t="inlineStr">
        <is>
          <t>Developer of a music application designed to transform smartphones into a music studio. The company's application permits recording of songs, customizing instruments, checking mic levels as well as enhancing of recordings with filters, enabling users to record music anywhere on-the-go as well as discover new talents and songs.</t>
        </is>
      </c>
      <c r="E147" s="13" t="inlineStr">
        <is>
          <t>Movies, Music and Entertainment</t>
        </is>
      </c>
      <c r="F147" s="14" t="inlineStr">
        <is>
          <t>Santa Monica, CA</t>
        </is>
      </c>
      <c r="G147" s="15" t="inlineStr">
        <is>
          <t>Privately Held (backing)</t>
        </is>
      </c>
      <c r="H147" s="16" t="inlineStr">
        <is>
          <t>Angel-Backed</t>
        </is>
      </c>
      <c r="I147" s="17" t="inlineStr">
        <is>
          <t/>
        </is>
      </c>
      <c r="J147" s="18" t="inlineStr">
        <is>
          <t>www.wurrly.com</t>
        </is>
      </c>
      <c r="K147" s="19" t="inlineStr">
        <is>
          <t>contact@wurrly.com</t>
        </is>
      </c>
      <c r="L147" s="20" t="inlineStr">
        <is>
          <t/>
        </is>
      </c>
      <c r="M147" s="21" t="inlineStr">
        <is>
          <t>Joshua Bauer</t>
        </is>
      </c>
      <c r="N147" s="22" t="inlineStr">
        <is>
          <t>Chief Technology Officer</t>
        </is>
      </c>
      <c r="O147" s="23" t="inlineStr">
        <is>
          <t>joshua@wurrly.com</t>
        </is>
      </c>
      <c r="P147" s="24" t="inlineStr">
        <is>
          <t/>
        </is>
      </c>
      <c r="Q147" s="25" t="n">
        <v>2014.0</v>
      </c>
      <c r="R147" s="113">
        <f>HYPERLINK("https://my.pitchbook.com?c=119967-40", "View company online")</f>
      </c>
    </row>
    <row r="148">
      <c r="A148" s="27" t="inlineStr">
        <is>
          <t>62254-18</t>
        </is>
      </c>
      <c r="B148" s="28" t="inlineStr">
        <is>
          <t>Wurl</t>
        </is>
      </c>
      <c r="C148" s="29" t="inlineStr">
        <is>
          <t>94301</t>
        </is>
      </c>
      <c r="D148" s="30" t="inlineStr">
        <is>
          <t>Provider of online-video programming, metadata and cloud-based services. The company provides video service providers on broadband-connected devices including smartphones, tablets, connected TVs, OTT services, IPTV systems, video CE devices, and desktop/web apps.</t>
        </is>
      </c>
      <c r="E148" s="31" t="inlineStr">
        <is>
          <t>Social/Platform Software</t>
        </is>
      </c>
      <c r="F148" s="32" t="inlineStr">
        <is>
          <t>Palo Alto, CA</t>
        </is>
      </c>
      <c r="G148" s="33" t="inlineStr">
        <is>
          <t>Privately Held (backing)</t>
        </is>
      </c>
      <c r="H148" s="34" t="inlineStr">
        <is>
          <t>Angel-Backed</t>
        </is>
      </c>
      <c r="I148" s="35" t="inlineStr">
        <is>
          <t>Individual Investor, Sean Doherty, William Randolph Hearst III</t>
        </is>
      </c>
      <c r="J148" s="36" t="inlineStr">
        <is>
          <t>www.wurl.com</t>
        </is>
      </c>
      <c r="K148" s="37" t="inlineStr">
        <is>
          <t>info@wurl.com</t>
        </is>
      </c>
      <c r="L148" s="38" t="inlineStr">
        <is>
          <t>+1 (650) 470-7550</t>
        </is>
      </c>
      <c r="M148" s="39" t="inlineStr">
        <is>
          <t>Sean Doherty</t>
        </is>
      </c>
      <c r="N148" s="40" t="inlineStr">
        <is>
          <t>Founder &amp; Chief Executive Officer</t>
        </is>
      </c>
      <c r="O148" s="41" t="inlineStr">
        <is>
          <t>doherty@wurl.com</t>
        </is>
      </c>
      <c r="P148" s="42" t="inlineStr">
        <is>
          <t>+1 (650) 470-7500</t>
        </is>
      </c>
      <c r="Q148" s="43" t="n">
        <v>2008.0</v>
      </c>
      <c r="R148" s="114">
        <f>HYPERLINK("https://my.pitchbook.com?c=62254-18", "View company online")</f>
      </c>
    </row>
    <row r="149">
      <c r="A149" s="9" t="inlineStr">
        <is>
          <t>165985-30</t>
        </is>
      </c>
      <c r="B149" s="10" t="inlineStr">
        <is>
          <t>WrkRiot</t>
        </is>
      </c>
      <c r="C149" s="11" t="inlineStr">
        <is>
          <t>95050</t>
        </is>
      </c>
      <c r="D149" s="12" t="inlineStr">
        <is>
          <t>Provider of an online job searching portal. The company provides an online recruitment platform that helps to connect employers with job seekers without having to hire third party recruitment consultancy agents.</t>
        </is>
      </c>
      <c r="E149" s="13" t="inlineStr">
        <is>
          <t>Social/Platform Software</t>
        </is>
      </c>
      <c r="F149" s="14" t="inlineStr">
        <is>
          <t>Santa Clara, CA</t>
        </is>
      </c>
      <c r="G149" s="15" t="inlineStr">
        <is>
          <t>Privately Held (backing)</t>
        </is>
      </c>
      <c r="H149" s="16" t="inlineStr">
        <is>
          <t>Angel-Backed</t>
        </is>
      </c>
      <c r="I149" s="17" t="inlineStr">
        <is>
          <t>Paul Kim</t>
        </is>
      </c>
      <c r="J149" s="18" t="inlineStr">
        <is>
          <t>www.wrkriot.com</t>
        </is>
      </c>
      <c r="K149" s="19" t="inlineStr">
        <is>
          <t/>
        </is>
      </c>
      <c r="L149" s="20" t="inlineStr">
        <is>
          <t/>
        </is>
      </c>
      <c r="M149" s="21" t="inlineStr">
        <is>
          <t>Isaac Choi</t>
        </is>
      </c>
      <c r="N149" s="22" t="inlineStr">
        <is>
          <t>Founder &amp; Chief Executive Officer</t>
        </is>
      </c>
      <c r="O149" s="23" t="inlineStr">
        <is>
          <t>isaac@wrkriot.com</t>
        </is>
      </c>
      <c r="P149" s="24" t="inlineStr">
        <is>
          <t/>
        </is>
      </c>
      <c r="Q149" s="25" t="n">
        <v>2015.0</v>
      </c>
      <c r="R149" s="113">
        <f>HYPERLINK("https://my.pitchbook.com?c=165985-30", "View company online")</f>
      </c>
    </row>
    <row r="150">
      <c r="A150" s="27" t="inlineStr">
        <is>
          <t>103761-91</t>
        </is>
      </c>
      <c r="B150" s="28" t="inlineStr">
        <is>
          <t>Writeyboard</t>
        </is>
      </c>
      <c r="C150" s="29" t="inlineStr">
        <is>
          <t>91302</t>
        </is>
      </c>
      <c r="D150" s="30" t="inlineStr">
        <is>
          <t>Provider of stick-on whiteboards and dry-erase paints intended to transform walls into a dry erasable canvas. The company's stick-on whiteboards and dry-erase paints are sleek and smudge-proof, enabling users to write, draw or sketch and turn any wall into a board by sticking the whiteboard and it's erasable also.</t>
        </is>
      </c>
      <c r="E150" s="31" t="inlineStr">
        <is>
          <t>Other Consumer Durables</t>
        </is>
      </c>
      <c r="F150" s="32" t="inlineStr">
        <is>
          <t>Calabasas, CA</t>
        </is>
      </c>
      <c r="G150" s="33" t="inlineStr">
        <is>
          <t>Privately Held (backing)</t>
        </is>
      </c>
      <c r="H150" s="34" t="inlineStr">
        <is>
          <t>Angel-Backed</t>
        </is>
      </c>
      <c r="I150" s="35" t="inlineStr">
        <is>
          <t>Bill Liao, Mark Cuban</t>
        </is>
      </c>
      <c r="J150" s="36" t="inlineStr">
        <is>
          <t>www.whiteyboard.com</t>
        </is>
      </c>
      <c r="K150" s="37" t="inlineStr">
        <is>
          <t>help@writeyboards.com</t>
        </is>
      </c>
      <c r="L150" s="38" t="inlineStr">
        <is>
          <t>+1 (800) 571-8347</t>
        </is>
      </c>
      <c r="M150" s="39" t="inlineStr">
        <is>
          <t>Josh Jennings</t>
        </is>
      </c>
      <c r="N150" s="40" t="inlineStr">
        <is>
          <t>Chief Executive Officer</t>
        </is>
      </c>
      <c r="O150" s="41" t="inlineStr">
        <is>
          <t>josh@whiteyboard.com</t>
        </is>
      </c>
      <c r="P150" s="42" t="inlineStr">
        <is>
          <t>+1 (800) 571-8347</t>
        </is>
      </c>
      <c r="Q150" s="43" t="n">
        <v>2010.0</v>
      </c>
      <c r="R150" s="114">
        <f>HYPERLINK("https://my.pitchbook.com?c=103761-91", "View company online")</f>
      </c>
    </row>
    <row r="151">
      <c r="A151" s="9" t="inlineStr">
        <is>
          <t>113588-20</t>
        </is>
      </c>
      <c r="B151" s="10" t="inlineStr">
        <is>
          <t>WriteWell</t>
        </is>
      </c>
      <c r="C151" s="85">
        <f>HYPERLINK("https://my.pitchbook.com?rrp=113588-20&amp;type=c", "This Company's information is not available to download. Need this Company? Request availability")</f>
      </c>
      <c r="D151" s="12" t="inlineStr">
        <is>
          <t/>
        </is>
      </c>
      <c r="E151" s="13" t="inlineStr">
        <is>
          <t/>
        </is>
      </c>
      <c r="F151" s="14" t="inlineStr">
        <is>
          <t/>
        </is>
      </c>
      <c r="G151" s="15" t="inlineStr">
        <is>
          <t/>
        </is>
      </c>
      <c r="H151" s="16" t="inlineStr">
        <is>
          <t/>
        </is>
      </c>
      <c r="I151" s="17" t="inlineStr">
        <is>
          <t/>
        </is>
      </c>
      <c r="J151" s="18" t="inlineStr">
        <is>
          <t/>
        </is>
      </c>
      <c r="K151" s="19" t="inlineStr">
        <is>
          <t/>
        </is>
      </c>
      <c r="L151" s="20" t="inlineStr">
        <is>
          <t/>
        </is>
      </c>
      <c r="M151" s="21" t="inlineStr">
        <is>
          <t/>
        </is>
      </c>
      <c r="N151" s="22" t="inlineStr">
        <is>
          <t/>
        </is>
      </c>
      <c r="O151" s="23" t="inlineStr">
        <is>
          <t/>
        </is>
      </c>
      <c r="P151" s="24" t="inlineStr">
        <is>
          <t/>
        </is>
      </c>
      <c r="Q151" s="25" t="inlineStr">
        <is>
          <t/>
        </is>
      </c>
      <c r="R151" s="26" t="inlineStr">
        <is>
          <t/>
        </is>
      </c>
    </row>
    <row r="152">
      <c r="A152" s="27" t="inlineStr">
        <is>
          <t>103754-44</t>
        </is>
      </c>
      <c r="B152" s="28" t="inlineStr">
        <is>
          <t>WriteOn</t>
        </is>
      </c>
      <c r="C152" s="29" t="inlineStr">
        <is>
          <t/>
        </is>
      </c>
      <c r="D152" s="30" t="inlineStr">
        <is>
          <t>Developer of a digital handwriting application. The company's mobile application helps in note taking on touchscreen devices.</t>
        </is>
      </c>
      <c r="E152" s="31" t="inlineStr">
        <is>
          <t>Application Software</t>
        </is>
      </c>
      <c r="F152" s="32" t="inlineStr">
        <is>
          <t>Los Angeles, CA</t>
        </is>
      </c>
      <c r="G152" s="33" t="inlineStr">
        <is>
          <t>Privately Held (backing)</t>
        </is>
      </c>
      <c r="H152" s="34" t="inlineStr">
        <is>
          <t>Angel-Backed</t>
        </is>
      </c>
      <c r="I152" s="35" t="inlineStr">
        <is>
          <t/>
        </is>
      </c>
      <c r="J152" s="36" t="inlineStr">
        <is>
          <t>www.writeon.cool</t>
        </is>
      </c>
      <c r="K152" s="37" t="inlineStr">
        <is>
          <t>info@writeon.cool</t>
        </is>
      </c>
      <c r="L152" s="38" t="inlineStr">
        <is>
          <t/>
        </is>
      </c>
      <c r="M152" s="39" t="inlineStr">
        <is>
          <t>Viet Tran</t>
        </is>
      </c>
      <c r="N152" s="40" t="inlineStr">
        <is>
          <t>Founder, Co-Chief Executive Officer and Chief Technology Officer</t>
        </is>
      </c>
      <c r="O152" s="41" t="inlineStr">
        <is>
          <t>viet@writeon.cool</t>
        </is>
      </c>
      <c r="P152" s="42" t="inlineStr">
        <is>
          <t/>
        </is>
      </c>
      <c r="Q152" s="43" t="n">
        <v>2010.0</v>
      </c>
      <c r="R152" s="114">
        <f>HYPERLINK("https://my.pitchbook.com?c=103754-44", "View company online")</f>
      </c>
    </row>
    <row r="153">
      <c r="A153" s="9" t="inlineStr">
        <is>
          <t>104507-02</t>
        </is>
      </c>
      <c r="B153" s="10" t="inlineStr">
        <is>
          <t>Wrenchguy's Mobile</t>
        </is>
      </c>
      <c r="C153" s="11" t="inlineStr">
        <is>
          <t>90250</t>
        </is>
      </c>
      <c r="D153" s="12" t="inlineStr">
        <is>
          <t>Provider of mobile automotive diagnostics and repair services. The company involves in diagnosing and troubleshooting vehicle’s malfunctions. It also offers driveability, coolant system, electrical and brake system evaluation services.</t>
        </is>
      </c>
      <c r="E153" s="13" t="inlineStr">
        <is>
          <t>Automotive</t>
        </is>
      </c>
      <c r="F153" s="14" t="inlineStr">
        <is>
          <t>Hawthorne, CA</t>
        </is>
      </c>
      <c r="G153" s="15" t="inlineStr">
        <is>
          <t>Privately Held (backing)</t>
        </is>
      </c>
      <c r="H153" s="16" t="inlineStr">
        <is>
          <t>Angel-Backed</t>
        </is>
      </c>
      <c r="I153" s="17" t="inlineStr">
        <is>
          <t/>
        </is>
      </c>
      <c r="J153" s="18" t="inlineStr">
        <is>
          <t>www.wrenchguy.net</t>
        </is>
      </c>
      <c r="K153" s="19" t="inlineStr">
        <is>
          <t/>
        </is>
      </c>
      <c r="L153" s="20" t="inlineStr">
        <is>
          <t>+1 (424) 269-0630</t>
        </is>
      </c>
      <c r="M153" s="21" t="inlineStr">
        <is>
          <t>Isai Navarrete</t>
        </is>
      </c>
      <c r="N153" s="22" t="inlineStr">
        <is>
          <t>Chief Executive Officer &amp; President</t>
        </is>
      </c>
      <c r="O153" s="23" t="inlineStr">
        <is>
          <t/>
        </is>
      </c>
      <c r="P153" s="24" t="inlineStr">
        <is>
          <t>+1 (424) 269-0630</t>
        </is>
      </c>
      <c r="Q153" s="25" t="n">
        <v>2011.0</v>
      </c>
      <c r="R153" s="113">
        <f>HYPERLINK("https://my.pitchbook.com?c=104507-02", "View company online")</f>
      </c>
    </row>
    <row r="154">
      <c r="A154" s="27" t="inlineStr">
        <is>
          <t>178991-92</t>
        </is>
      </c>
      <c r="B154" s="28" t="inlineStr">
        <is>
          <t>Wreckords</t>
        </is>
      </c>
      <c r="C154" s="29" t="inlineStr">
        <is>
          <t>92663</t>
        </is>
      </c>
      <c r="D154" s="30" t="inlineStr">
        <is>
          <t>The company is currently operating in Stealth mode.</t>
        </is>
      </c>
      <c r="E154" s="31" t="inlineStr">
        <is>
          <t>Other Business Products and Services</t>
        </is>
      </c>
      <c r="F154" s="32" t="inlineStr">
        <is>
          <t>Newport Beach, CA</t>
        </is>
      </c>
      <c r="G154" s="33" t="inlineStr">
        <is>
          <t>Privately Held (backing)</t>
        </is>
      </c>
      <c r="H154" s="34" t="inlineStr">
        <is>
          <t>Angel-Backed</t>
        </is>
      </c>
      <c r="I154" s="35" t="inlineStr">
        <is>
          <t/>
        </is>
      </c>
      <c r="J154" s="36" t="inlineStr">
        <is>
          <t/>
        </is>
      </c>
      <c r="K154" s="37" t="inlineStr">
        <is>
          <t/>
        </is>
      </c>
      <c r="L154" s="38" t="inlineStr">
        <is>
          <t>+1 (858) 431-9855</t>
        </is>
      </c>
      <c r="M154" s="39" t="inlineStr">
        <is>
          <t>Tyler Duoos</t>
        </is>
      </c>
      <c r="N154" s="40" t="inlineStr">
        <is>
          <t>President</t>
        </is>
      </c>
      <c r="O154" s="41" t="inlineStr">
        <is>
          <t>wreckords100@gmail.com</t>
        </is>
      </c>
      <c r="P154" s="42" t="inlineStr">
        <is>
          <t>+1 (858) 431-9855</t>
        </is>
      </c>
      <c r="Q154" s="43" t="n">
        <v>2016.0</v>
      </c>
      <c r="R154" s="114">
        <f>HYPERLINK("https://my.pitchbook.com?c=178991-92", "View company online")</f>
      </c>
    </row>
    <row r="155">
      <c r="A155" s="9" t="inlineStr">
        <is>
          <t>174356-29</t>
        </is>
      </c>
      <c r="B155" s="10" t="inlineStr">
        <is>
          <t>WOSH</t>
        </is>
      </c>
      <c r="C155" s="85">
        <f>HYPERLINK("https://my.pitchbook.com?rrp=174356-29&amp;type=c", "This Company's information is not available to download. Need this Company? Request availability")</f>
      </c>
      <c r="D155" s="12" t="inlineStr">
        <is>
          <t/>
        </is>
      </c>
      <c r="E155" s="13" t="inlineStr">
        <is>
          <t/>
        </is>
      </c>
      <c r="F155" s="14" t="inlineStr">
        <is>
          <t/>
        </is>
      </c>
      <c r="G155" s="15" t="inlineStr">
        <is>
          <t/>
        </is>
      </c>
      <c r="H155" s="16" t="inlineStr">
        <is>
          <t/>
        </is>
      </c>
      <c r="I155" s="17" t="inlineStr">
        <is>
          <t/>
        </is>
      </c>
      <c r="J155" s="18" t="inlineStr">
        <is>
          <t/>
        </is>
      </c>
      <c r="K155" s="19" t="inlineStr">
        <is>
          <t/>
        </is>
      </c>
      <c r="L155" s="20" t="inlineStr">
        <is>
          <t/>
        </is>
      </c>
      <c r="M155" s="21" t="inlineStr">
        <is>
          <t/>
        </is>
      </c>
      <c r="N155" s="22" t="inlineStr">
        <is>
          <t/>
        </is>
      </c>
      <c r="O155" s="23" t="inlineStr">
        <is>
          <t/>
        </is>
      </c>
      <c r="P155" s="24" t="inlineStr">
        <is>
          <t/>
        </is>
      </c>
      <c r="Q155" s="25" t="inlineStr">
        <is>
          <t/>
        </is>
      </c>
      <c r="R155" s="26" t="inlineStr">
        <is>
          <t/>
        </is>
      </c>
    </row>
    <row r="156">
      <c r="A156" s="27" t="inlineStr">
        <is>
          <t>169159-87</t>
        </is>
      </c>
      <c r="B156" s="28" t="inlineStr">
        <is>
          <t>WortheeMed</t>
        </is>
      </c>
      <c r="C156" s="29" t="inlineStr">
        <is>
          <t>94404</t>
        </is>
      </c>
      <c r="D156" s="30" t="inlineStr">
        <is>
          <t>The company is currently operating in Stealth mode.</t>
        </is>
      </c>
      <c r="E156" s="31" t="inlineStr">
        <is>
          <t>Other Business Products and Services</t>
        </is>
      </c>
      <c r="F156" s="32" t="inlineStr">
        <is>
          <t>Foster City, CA</t>
        </is>
      </c>
      <c r="G156" s="33" t="inlineStr">
        <is>
          <t>Privately Held (backing)</t>
        </is>
      </c>
      <c r="H156" s="34" t="inlineStr">
        <is>
          <t>Angel-Backed</t>
        </is>
      </c>
      <c r="I156" s="35" t="inlineStr">
        <is>
          <t/>
        </is>
      </c>
      <c r="J156" s="36" t="inlineStr">
        <is>
          <t>www.wortheemed.com</t>
        </is>
      </c>
      <c r="K156" s="37" t="inlineStr">
        <is>
          <t>curious@wortheemed.com</t>
        </is>
      </c>
      <c r="L156" s="38" t="inlineStr">
        <is>
          <t>+1 (650) 576-5049</t>
        </is>
      </c>
      <c r="M156" s="39" t="inlineStr">
        <is>
          <t>Prashant Chopra</t>
        </is>
      </c>
      <c r="N156" s="40" t="inlineStr">
        <is>
          <t>President &amp; Board Member</t>
        </is>
      </c>
      <c r="O156" s="41" t="inlineStr">
        <is>
          <t>prash.chopra@wortheemed.com</t>
        </is>
      </c>
      <c r="P156" s="42" t="inlineStr">
        <is>
          <t>+1 (650) 576-5049</t>
        </is>
      </c>
      <c r="Q156" s="43" t="n">
        <v>2016.0</v>
      </c>
      <c r="R156" s="114">
        <f>HYPERLINK("https://my.pitchbook.com?c=169159-87", "View company online")</f>
      </c>
    </row>
    <row r="157">
      <c r="A157" s="9" t="inlineStr">
        <is>
          <t>103747-42</t>
        </is>
      </c>
      <c r="B157" s="10" t="inlineStr">
        <is>
          <t>Worlize</t>
        </is>
      </c>
      <c r="C157" s="11" t="inlineStr">
        <is>
          <t/>
        </is>
      </c>
      <c r="D157" s="12" t="inlineStr">
        <is>
          <t>Developer and provider of social gaming and chat platform. The company provides a platform to interact in 2D environments as well as play user-created games and also allows to customize images on the social networks.</t>
        </is>
      </c>
      <c r="E157" s="13" t="inlineStr">
        <is>
          <t>Entertainment Software</t>
        </is>
      </c>
      <c r="F157" s="14" t="inlineStr">
        <is>
          <t>Los Angeles, CA</t>
        </is>
      </c>
      <c r="G157" s="15" t="inlineStr">
        <is>
          <t>Privately Held (backing)</t>
        </is>
      </c>
      <c r="H157" s="16" t="inlineStr">
        <is>
          <t>Angel-Backed</t>
        </is>
      </c>
      <c r="I157" s="17" t="inlineStr">
        <is>
          <t/>
        </is>
      </c>
      <c r="J157" s="18" t="inlineStr">
        <is>
          <t>www.worlize.com</t>
        </is>
      </c>
      <c r="K157" s="19" t="inlineStr">
        <is>
          <t/>
        </is>
      </c>
      <c r="L157" s="20" t="inlineStr">
        <is>
          <t/>
        </is>
      </c>
      <c r="M157" s="21" t="inlineStr">
        <is>
          <t>Brian McKelvey</t>
        </is>
      </c>
      <c r="N157" s="22" t="inlineStr">
        <is>
          <t>Co-Founder &amp; Chief Executive Officer</t>
        </is>
      </c>
      <c r="O157" s="23" t="inlineStr">
        <is>
          <t>brian.mckelvey@worlize.com</t>
        </is>
      </c>
      <c r="P157" s="24" t="inlineStr">
        <is>
          <t/>
        </is>
      </c>
      <c r="Q157" s="25" t="n">
        <v>2010.0</v>
      </c>
      <c r="R157" s="113">
        <f>HYPERLINK("https://my.pitchbook.com?c=103747-42", "View company online")</f>
      </c>
    </row>
    <row r="158">
      <c r="A158" s="27" t="inlineStr">
        <is>
          <t>103643-74</t>
        </is>
      </c>
      <c r="B158" s="28" t="inlineStr">
        <is>
          <t>WorldShop</t>
        </is>
      </c>
      <c r="C158" s="29" t="inlineStr">
        <is>
          <t/>
        </is>
      </c>
      <c r="D158" s="30" t="inlineStr">
        <is>
          <t>Provider of an international shopping marketplace. The company provides an online marketplace which allows non-US consumers to shop from US merchants and have the products shipped to their country.</t>
        </is>
      </c>
      <c r="E158" s="31" t="inlineStr">
        <is>
          <t>Internet Retail</t>
        </is>
      </c>
      <c r="F158" s="32" t="inlineStr">
        <is>
          <t>Monterey, CA</t>
        </is>
      </c>
      <c r="G158" s="33" t="inlineStr">
        <is>
          <t>Privately Held (backing)</t>
        </is>
      </c>
      <c r="H158" s="34" t="inlineStr">
        <is>
          <t>Accelerator/Incubator Backed</t>
        </is>
      </c>
      <c r="I158" s="35" t="inlineStr">
        <is>
          <t>500 Startups</t>
        </is>
      </c>
      <c r="J158" s="36" t="inlineStr">
        <is>
          <t>www.worldshop.com</t>
        </is>
      </c>
      <c r="K158" s="37" t="inlineStr">
        <is>
          <t/>
        </is>
      </c>
      <c r="L158" s="38" t="inlineStr">
        <is>
          <t/>
        </is>
      </c>
      <c r="M158" s="39" t="inlineStr">
        <is>
          <t>Lee Lorenzen</t>
        </is>
      </c>
      <c r="N158" s="40" t="inlineStr">
        <is>
          <t>Founder &amp; Chief Executive Officer</t>
        </is>
      </c>
      <c r="O158" s="41" t="inlineStr">
        <is>
          <t/>
        </is>
      </c>
      <c r="P158" s="42" t="inlineStr">
        <is>
          <t/>
        </is>
      </c>
      <c r="Q158" s="43" t="n">
        <v>2013.0</v>
      </c>
      <c r="R158" s="114">
        <f>HYPERLINK("https://my.pitchbook.com?c=103643-74", "View company online")</f>
      </c>
    </row>
    <row r="159">
      <c r="A159" s="9" t="inlineStr">
        <is>
          <t>169419-25</t>
        </is>
      </c>
      <c r="B159" s="10" t="inlineStr">
        <is>
          <t>WorlDance</t>
        </is>
      </c>
      <c r="C159" s="11" t="inlineStr">
        <is>
          <t/>
        </is>
      </c>
      <c r="D159" s="12" t="inlineStr">
        <is>
          <t>Owner and operator of a contemporary dance studio. The company operates dance classes and educates basic hip hop and ballet steps to the students.</t>
        </is>
      </c>
      <c r="E159" s="13" t="inlineStr">
        <is>
          <t>Other Consumer Products and Services</t>
        </is>
      </c>
      <c r="F159" s="14" t="inlineStr">
        <is>
          <t>San Francisco, CA</t>
        </is>
      </c>
      <c r="G159" s="15" t="inlineStr">
        <is>
          <t>Privately Held (backing)</t>
        </is>
      </c>
      <c r="H159" s="16" t="inlineStr">
        <is>
          <t>Accelerator/Incubator Backed</t>
        </is>
      </c>
      <c r="I159" s="17" t="inlineStr">
        <is>
          <t>Catapult Ideas</t>
        </is>
      </c>
      <c r="J159" s="18" t="inlineStr">
        <is>
          <t>www.worldance.co</t>
        </is>
      </c>
      <c r="K159" s="19" t="inlineStr">
        <is>
          <t>info@worldance.co</t>
        </is>
      </c>
      <c r="L159" s="20" t="inlineStr">
        <is>
          <t/>
        </is>
      </c>
      <c r="M159" s="21" t="inlineStr">
        <is>
          <t>Zoe Boosalis</t>
        </is>
      </c>
      <c r="N159" s="22" t="inlineStr">
        <is>
          <t>Co-Founder</t>
        </is>
      </c>
      <c r="O159" s="23" t="inlineStr">
        <is>
          <t>zoe@worldance.co</t>
        </is>
      </c>
      <c r="P159" s="24" t="inlineStr">
        <is>
          <t/>
        </is>
      </c>
      <c r="Q159" s="25" t="inlineStr">
        <is>
          <t/>
        </is>
      </c>
      <c r="R159" s="113">
        <f>HYPERLINK("https://my.pitchbook.com?c=169419-25", "View company online")</f>
      </c>
    </row>
    <row r="160">
      <c r="A160" s="27" t="inlineStr">
        <is>
          <t>104812-39</t>
        </is>
      </c>
      <c r="B160" s="28" t="inlineStr">
        <is>
          <t>World Tech Makers</t>
        </is>
      </c>
      <c r="C160" s="29" t="inlineStr">
        <is>
          <t/>
        </is>
      </c>
      <c r="D160" s="30" t="inlineStr">
        <is>
          <t>Provider of vocational and technological training services. The company specializes in providing technological training through on-site coding and offers its services through disruptive bootcamps and international coding expeditions.</t>
        </is>
      </c>
      <c r="E160" s="31" t="inlineStr">
        <is>
          <t>Education and Training Services (B2B)</t>
        </is>
      </c>
      <c r="F160" s="32" t="inlineStr">
        <is>
          <t>San Francisco, CA</t>
        </is>
      </c>
      <c r="G160" s="33" t="inlineStr">
        <is>
          <t>Privately Held (backing)</t>
        </is>
      </c>
      <c r="H160" s="34" t="inlineStr">
        <is>
          <t>Accelerator/Incubator Backed</t>
        </is>
      </c>
      <c r="I160" s="35" t="inlineStr">
        <is>
          <t>MassChallenge, Timothy Draper</t>
        </is>
      </c>
      <c r="J160" s="36" t="inlineStr">
        <is>
          <t>www.worldtechmakers.com</t>
        </is>
      </c>
      <c r="K160" s="37" t="inlineStr">
        <is>
          <t>info@worldtechmakers.com</t>
        </is>
      </c>
      <c r="L160" s="38" t="inlineStr">
        <is>
          <t/>
        </is>
      </c>
      <c r="M160" s="39" t="inlineStr">
        <is>
          <t>Ilana Milkes</t>
        </is>
      </c>
      <c r="N160" s="40" t="inlineStr">
        <is>
          <t>Co-Founder &amp; Chief Executive Officer</t>
        </is>
      </c>
      <c r="O160" s="41" t="inlineStr">
        <is>
          <t>ilana@worldtechmakers.com</t>
        </is>
      </c>
      <c r="P160" s="42" t="inlineStr">
        <is>
          <t/>
        </is>
      </c>
      <c r="Q160" s="43" t="n">
        <v>2013.0</v>
      </c>
      <c r="R160" s="114">
        <f>HYPERLINK("https://my.pitchbook.com?c=104812-39", "View company online")</f>
      </c>
    </row>
    <row r="161">
      <c r="A161" s="9" t="inlineStr">
        <is>
          <t>103365-82</t>
        </is>
      </c>
      <c r="B161" s="10" t="inlineStr">
        <is>
          <t>World Market Vendor Services</t>
        </is>
      </c>
      <c r="C161" s="11" t="inlineStr">
        <is>
          <t>92648</t>
        </is>
      </c>
      <c r="D161" s="12" t="inlineStr">
        <is>
          <t>Developer and provider of an online cash-pay shopping center. The company is developing online cash-pay technology that offers global online cash-pay shopping services.</t>
        </is>
      </c>
      <c r="E161" s="13" t="inlineStr">
        <is>
          <t>Internet Retail</t>
        </is>
      </c>
      <c r="F161" s="14" t="inlineStr">
        <is>
          <t>Huntington Beach, CA</t>
        </is>
      </c>
      <c r="G161" s="15" t="inlineStr">
        <is>
          <t>Privately Held (backing)</t>
        </is>
      </c>
      <c r="H161" s="16" t="inlineStr">
        <is>
          <t>Angel-Backed</t>
        </is>
      </c>
      <c r="I161" s="17" t="inlineStr">
        <is>
          <t/>
        </is>
      </c>
      <c r="J161" s="18" t="inlineStr">
        <is>
          <t>worldmarket.pinpay.co</t>
        </is>
      </c>
      <c r="K161" s="19" t="inlineStr">
        <is>
          <t/>
        </is>
      </c>
      <c r="L161" s="20" t="inlineStr">
        <is>
          <t/>
        </is>
      </c>
      <c r="M161" s="21" t="inlineStr">
        <is>
          <t/>
        </is>
      </c>
      <c r="N161" s="22" t="inlineStr">
        <is>
          <t/>
        </is>
      </c>
      <c r="O161" s="23" t="inlineStr">
        <is>
          <t/>
        </is>
      </c>
      <c r="P161" s="24" t="inlineStr">
        <is>
          <t/>
        </is>
      </c>
      <c r="Q161" s="25" t="n">
        <v>2012.0</v>
      </c>
      <c r="R161" s="113">
        <f>HYPERLINK("https://my.pitchbook.com?c=103365-82", "View company online")</f>
      </c>
    </row>
    <row r="162">
      <c r="A162" s="27" t="inlineStr">
        <is>
          <t>108698-59</t>
        </is>
      </c>
      <c r="B162" s="28" t="inlineStr">
        <is>
          <t>World Lifestyle</t>
        </is>
      </c>
      <c r="C162" s="86">
        <f>HYPERLINK("https://my.pitchbook.com?rrp=108698-59&amp;type=c", "This Company's information is not available to download. Need this Company? Request availability")</f>
      </c>
      <c r="D162" s="30" t="inlineStr">
        <is>
          <t/>
        </is>
      </c>
      <c r="E162" s="31" t="inlineStr">
        <is>
          <t/>
        </is>
      </c>
      <c r="F162" s="32" t="inlineStr">
        <is>
          <t/>
        </is>
      </c>
      <c r="G162" s="33" t="inlineStr">
        <is>
          <t/>
        </is>
      </c>
      <c r="H162" s="34" t="inlineStr">
        <is>
          <t/>
        </is>
      </c>
      <c r="I162" s="35" t="inlineStr">
        <is>
          <t/>
        </is>
      </c>
      <c r="J162" s="36" t="inlineStr">
        <is>
          <t/>
        </is>
      </c>
      <c r="K162" s="37" t="inlineStr">
        <is>
          <t/>
        </is>
      </c>
      <c r="L162" s="38" t="inlineStr">
        <is>
          <t/>
        </is>
      </c>
      <c r="M162" s="39" t="inlineStr">
        <is>
          <t/>
        </is>
      </c>
      <c r="N162" s="40" t="inlineStr">
        <is>
          <t/>
        </is>
      </c>
      <c r="O162" s="41" t="inlineStr">
        <is>
          <t/>
        </is>
      </c>
      <c r="P162" s="42" t="inlineStr">
        <is>
          <t/>
        </is>
      </c>
      <c r="Q162" s="43" t="inlineStr">
        <is>
          <t/>
        </is>
      </c>
      <c r="R162" s="44" t="inlineStr">
        <is>
          <t/>
        </is>
      </c>
    </row>
    <row r="163">
      <c r="A163" s="9" t="inlineStr">
        <is>
          <t>151189-12</t>
        </is>
      </c>
      <c r="B163" s="10" t="inlineStr">
        <is>
          <t>World Education University</t>
        </is>
      </c>
      <c r="C163" s="11" t="inlineStr">
        <is>
          <t>92270</t>
        </is>
      </c>
      <c r="D163" s="12" t="inlineStr">
        <is>
          <t>Owner and operator of an educational institution. The company offers free education to all without any government financial support, assistance or restrictions.</t>
        </is>
      </c>
      <c r="E163" s="13" t="inlineStr">
        <is>
          <t>Educational and Training Services (B2C)</t>
        </is>
      </c>
      <c r="F163" s="14" t="inlineStr">
        <is>
          <t>Indian Wells, CA</t>
        </is>
      </c>
      <c r="G163" s="15" t="inlineStr">
        <is>
          <t>Privately Held (backing)</t>
        </is>
      </c>
      <c r="H163" s="16" t="inlineStr">
        <is>
          <t>Angel-Backed</t>
        </is>
      </c>
      <c r="I163" s="17" t="inlineStr">
        <is>
          <t/>
        </is>
      </c>
      <c r="J163" s="18" t="inlineStr">
        <is>
          <t>www.theweu.com</t>
        </is>
      </c>
      <c r="K163" s="19" t="inlineStr">
        <is>
          <t>info@theweu.com</t>
        </is>
      </c>
      <c r="L163" s="20" t="inlineStr">
        <is>
          <t/>
        </is>
      </c>
      <c r="M163" s="21" t="inlineStr">
        <is>
          <t>Curtis Pickering</t>
        </is>
      </c>
      <c r="N163" s="22" t="inlineStr">
        <is>
          <t>Founder, Chairman and Chief Executive Officer</t>
        </is>
      </c>
      <c r="O163" s="23" t="inlineStr">
        <is>
          <t/>
        </is>
      </c>
      <c r="P163" s="24" t="inlineStr">
        <is>
          <t/>
        </is>
      </c>
      <c r="Q163" s="25" t="n">
        <v>2010.0</v>
      </c>
      <c r="R163" s="113">
        <f>HYPERLINK("https://my.pitchbook.com?c=151189-12", "View company online")</f>
      </c>
    </row>
    <row r="164">
      <c r="A164" s="27" t="inlineStr">
        <is>
          <t>117692-74</t>
        </is>
      </c>
      <c r="B164" s="28" t="inlineStr">
        <is>
          <t>Worksurge</t>
        </is>
      </c>
      <c r="C164" s="29" t="inlineStr">
        <is>
          <t>94103</t>
        </is>
      </c>
      <c r="D164" s="30" t="inlineStr">
        <is>
          <t>Developer of a cloud-based marketplace. The company provides dashboard and marketplace for subscribing, licensing, managing and monitoring all of an organization’s applications, services and data.</t>
        </is>
      </c>
      <c r="E164" s="31" t="inlineStr">
        <is>
          <t>Other Software</t>
        </is>
      </c>
      <c r="F164" s="32" t="inlineStr">
        <is>
          <t>San Francisco, CA</t>
        </is>
      </c>
      <c r="G164" s="33" t="inlineStr">
        <is>
          <t>Privately Held (backing)</t>
        </is>
      </c>
      <c r="H164" s="34" t="inlineStr">
        <is>
          <t>Angel-Backed</t>
        </is>
      </c>
      <c r="I164" s="35" t="inlineStr">
        <is>
          <t>Bret Lock</t>
        </is>
      </c>
      <c r="J164" s="36" t="inlineStr">
        <is>
          <t>www.worksurge.co</t>
        </is>
      </c>
      <c r="K164" s="37" t="inlineStr">
        <is>
          <t>contact@worksurge.co</t>
        </is>
      </c>
      <c r="L164" s="38" t="inlineStr">
        <is>
          <t>+1 (877) 824-7754</t>
        </is>
      </c>
      <c r="M164" s="39" t="inlineStr">
        <is>
          <t>Christopher Nagy</t>
        </is>
      </c>
      <c r="N164" s="40" t="inlineStr">
        <is>
          <t>Founder, Chief Executive Officer &amp; Board Member</t>
        </is>
      </c>
      <c r="O164" s="41" t="inlineStr">
        <is>
          <t>cnagy@worksurge.co</t>
        </is>
      </c>
      <c r="P164" s="42" t="inlineStr">
        <is>
          <t>+1 (415) 941-6892</t>
        </is>
      </c>
      <c r="Q164" s="43" t="n">
        <v>2015.0</v>
      </c>
      <c r="R164" s="114">
        <f>HYPERLINK("https://my.pitchbook.com?c=117692-74", "View company online")</f>
      </c>
    </row>
    <row r="165">
      <c r="A165" s="9" t="inlineStr">
        <is>
          <t>109985-95</t>
        </is>
      </c>
      <c r="B165" s="10" t="inlineStr">
        <is>
          <t>Worksfire</t>
        </is>
      </c>
      <c r="C165" s="11" t="inlineStr">
        <is>
          <t>92563</t>
        </is>
      </c>
      <c r="D165" s="12" t="inlineStr">
        <is>
          <t>Developer of a social project and management platform which connects tasks, projects, documents and people. The company specialises in task management, project management, document storage, document sharing and business marketing.</t>
        </is>
      </c>
      <c r="E165" s="13" t="inlineStr">
        <is>
          <t>Systems and Information Management</t>
        </is>
      </c>
      <c r="F165" s="14" t="inlineStr">
        <is>
          <t>Murrieta, CA</t>
        </is>
      </c>
      <c r="G165" s="15" t="inlineStr">
        <is>
          <t>Privately Held (backing)</t>
        </is>
      </c>
      <c r="H165" s="16" t="inlineStr">
        <is>
          <t>Angel-Backed</t>
        </is>
      </c>
      <c r="I165" s="17" t="inlineStr">
        <is>
          <t/>
        </is>
      </c>
      <c r="J165" s="18" t="inlineStr">
        <is>
          <t>www.worksfire.com</t>
        </is>
      </c>
      <c r="K165" s="19" t="inlineStr">
        <is>
          <t>info@worksfire.com</t>
        </is>
      </c>
      <c r="L165" s="20" t="inlineStr">
        <is>
          <t>+1 (909) 213-6794</t>
        </is>
      </c>
      <c r="M165" s="21" t="inlineStr">
        <is>
          <t>Dara Smith</t>
        </is>
      </c>
      <c r="N165" s="22" t="inlineStr">
        <is>
          <t>Chief Marketing Officer, Board Member &amp; Vice President, Sales And Marketing</t>
        </is>
      </c>
      <c r="O165" s="23" t="inlineStr">
        <is>
          <t>dara@worksfire.com</t>
        </is>
      </c>
      <c r="P165" s="24" t="inlineStr">
        <is>
          <t>+1 (909) 213-6794</t>
        </is>
      </c>
      <c r="Q165" s="25" t="n">
        <v>2014.0</v>
      </c>
      <c r="R165" s="113">
        <f>HYPERLINK("https://my.pitchbook.com?c=109985-95", "View company online")</f>
      </c>
    </row>
    <row r="166">
      <c r="A166" s="27" t="inlineStr">
        <is>
          <t>118193-14</t>
        </is>
      </c>
      <c r="B166" s="28" t="inlineStr">
        <is>
          <t>Workr</t>
        </is>
      </c>
      <c r="C166" s="29" t="inlineStr">
        <is>
          <t>94040</t>
        </is>
      </c>
      <c r="D166" s="30" t="inlineStr">
        <is>
          <t>Developer of an online platform for sharing knowledge about startups. The company develops an online platform for sharing knowledge based on funding strategy, pitch sessions and financial modelling of startups.</t>
        </is>
      </c>
      <c r="E166" s="31" t="inlineStr">
        <is>
          <t>Media and Information Services (B2B)</t>
        </is>
      </c>
      <c r="F166" s="32" t="inlineStr">
        <is>
          <t>Mountain View, CA</t>
        </is>
      </c>
      <c r="G166" s="33" t="inlineStr">
        <is>
          <t>Privately Held (backing)</t>
        </is>
      </c>
      <c r="H166" s="34" t="inlineStr">
        <is>
          <t>Accelerator/Incubator Backed</t>
        </is>
      </c>
      <c r="I166" s="35" t="inlineStr">
        <is>
          <t>StartX</t>
        </is>
      </c>
      <c r="J166" s="36" t="inlineStr">
        <is>
          <t>www.workr.com</t>
        </is>
      </c>
      <c r="K166" s="37" t="inlineStr">
        <is>
          <t/>
        </is>
      </c>
      <c r="L166" s="38" t="inlineStr">
        <is>
          <t>+1 (650) 564-3059</t>
        </is>
      </c>
      <c r="M166" s="39" t="inlineStr">
        <is>
          <t>Kashi Tahir</t>
        </is>
      </c>
      <c r="N166" s="40" t="inlineStr">
        <is>
          <t>Co-Founder &amp; Chief Executive Officer</t>
        </is>
      </c>
      <c r="O166" s="41" t="inlineStr">
        <is>
          <t/>
        </is>
      </c>
      <c r="P166" s="42" t="inlineStr">
        <is>
          <t>+1 (650) 564-3059</t>
        </is>
      </c>
      <c r="Q166" s="43" t="n">
        <v>2013.0</v>
      </c>
      <c r="R166" s="114">
        <f>HYPERLINK("https://my.pitchbook.com?c=118193-14", "View company online")</f>
      </c>
    </row>
    <row r="167">
      <c r="A167" s="9" t="inlineStr">
        <is>
          <t>136629-28</t>
        </is>
      </c>
      <c r="B167" s="10" t="inlineStr">
        <is>
          <t>Worklete</t>
        </is>
      </c>
      <c r="C167" s="11" t="inlineStr">
        <is>
          <t>94111</t>
        </is>
      </c>
      <c r="D167" s="12" t="inlineStr">
        <is>
          <t>Provider of safety training services. The company offers training to employees working in physically demanding jobs in order to reduce injuries and overexertion.</t>
        </is>
      </c>
      <c r="E167" s="13" t="inlineStr">
        <is>
          <t>Other Commercial Services</t>
        </is>
      </c>
      <c r="F167" s="14" t="inlineStr">
        <is>
          <t>San Francisco, CA</t>
        </is>
      </c>
      <c r="G167" s="15" t="inlineStr">
        <is>
          <t>Privately Held (backing)</t>
        </is>
      </c>
      <c r="H167" s="16" t="inlineStr">
        <is>
          <t>Accelerator/Incubator Backed</t>
        </is>
      </c>
      <c r="I167" s="17" t="inlineStr">
        <is>
          <t>500 Startups, LaunchCapital, Silicon Badia</t>
        </is>
      </c>
      <c r="J167" s="18" t="inlineStr">
        <is>
          <t>www.worklete.com</t>
        </is>
      </c>
      <c r="K167" s="19" t="inlineStr">
        <is>
          <t>info@worklete.com</t>
        </is>
      </c>
      <c r="L167" s="20" t="inlineStr">
        <is>
          <t>+1 (415) 518-4973</t>
        </is>
      </c>
      <c r="M167" s="21" t="inlineStr">
        <is>
          <t>Benjamin Kanner</t>
        </is>
      </c>
      <c r="N167" s="22" t="inlineStr">
        <is>
          <t>Co-Founder &amp; Chief Executive Officer</t>
        </is>
      </c>
      <c r="O167" s="23" t="inlineStr">
        <is>
          <t>bkanner@worklete.com</t>
        </is>
      </c>
      <c r="P167" s="24" t="inlineStr">
        <is>
          <t>+1 (415) 518-4973</t>
        </is>
      </c>
      <c r="Q167" s="25" t="n">
        <v>2015.0</v>
      </c>
      <c r="R167" s="113">
        <f>HYPERLINK("https://my.pitchbook.com?c=136629-28", "View company online")</f>
      </c>
    </row>
    <row r="168">
      <c r="A168" s="27" t="inlineStr">
        <is>
          <t>108599-68</t>
        </is>
      </c>
      <c r="B168" s="28" t="inlineStr">
        <is>
          <t>Working Not Working</t>
        </is>
      </c>
      <c r="C168" s="29" t="inlineStr">
        <is>
          <t>94121</t>
        </is>
      </c>
      <c r="D168" s="30" t="inlineStr">
        <is>
          <t>Developer of an online community for creative freelancers and organizations. The company's platform enables creative freelancers to broadcast whether they are working, available or available soon to companies looking to hire them.</t>
        </is>
      </c>
      <c r="E168" s="31" t="inlineStr">
        <is>
          <t>Human Capital Services</t>
        </is>
      </c>
      <c r="F168" s="32" t="inlineStr">
        <is>
          <t>San Francisco, CA</t>
        </is>
      </c>
      <c r="G168" s="33" t="inlineStr">
        <is>
          <t>Privately Held (backing)</t>
        </is>
      </c>
      <c r="H168" s="34" t="inlineStr">
        <is>
          <t>Angel-Backed</t>
        </is>
      </c>
      <c r="I168" s="35" t="inlineStr">
        <is>
          <t>David Droga, Drew Ungvarsky, Joe Gebbia</t>
        </is>
      </c>
      <c r="J168" s="36" t="inlineStr">
        <is>
          <t>www.workingnotworking.com</t>
        </is>
      </c>
      <c r="K168" s="37" t="inlineStr">
        <is>
          <t>hello@workingnotworking.com</t>
        </is>
      </c>
      <c r="L168" s="38" t="inlineStr">
        <is>
          <t/>
        </is>
      </c>
      <c r="M168" s="39" t="inlineStr">
        <is>
          <t>Justin Gignac</t>
        </is>
      </c>
      <c r="N168" s="40" t="inlineStr">
        <is>
          <t>Co-Founder, Chief Executive Officer &amp; Board Member</t>
        </is>
      </c>
      <c r="O168" s="41" t="inlineStr">
        <is>
          <t>justin@workingnotworking.com</t>
        </is>
      </c>
      <c r="P168" s="42" t="inlineStr">
        <is>
          <t/>
        </is>
      </c>
      <c r="Q168" s="43" t="n">
        <v>2012.0</v>
      </c>
      <c r="R168" s="114">
        <f>HYPERLINK("https://my.pitchbook.com?c=108599-68", "View company online")</f>
      </c>
    </row>
    <row r="169">
      <c r="A169" s="9" t="inlineStr">
        <is>
          <t>153361-00</t>
        </is>
      </c>
      <c r="B169" s="10" t="inlineStr">
        <is>
          <t>WorkGenius</t>
        </is>
      </c>
      <c r="C169" s="11" t="inlineStr">
        <is>
          <t/>
        </is>
      </c>
      <c r="D169" s="12" t="inlineStr">
        <is>
          <t>Provider of an online employee sharing platform. The company offers a Web-based platform and mobile application that enables users to discover and work multiple on-demand jobs.</t>
        </is>
      </c>
      <c r="E169" s="13" t="inlineStr">
        <is>
          <t>Human Capital Services</t>
        </is>
      </c>
      <c r="F169" s="14" t="inlineStr">
        <is>
          <t>San Francisco, CA</t>
        </is>
      </c>
      <c r="G169" s="15" t="inlineStr">
        <is>
          <t>Privately Held (backing)</t>
        </is>
      </c>
      <c r="H169" s="16" t="inlineStr">
        <is>
          <t>Accelerator/Incubator Backed</t>
        </is>
      </c>
      <c r="I169" s="17" t="inlineStr">
        <is>
          <t>500 Startups, Douglas Mandell, Nick Green, Sarah Imbach</t>
        </is>
      </c>
      <c r="J169" s="18" t="inlineStr">
        <is>
          <t>www.workgeni.us</t>
        </is>
      </c>
      <c r="K169" s="19" t="inlineStr">
        <is>
          <t/>
        </is>
      </c>
      <c r="L169" s="20" t="inlineStr">
        <is>
          <t/>
        </is>
      </c>
      <c r="M169" s="21" t="inlineStr">
        <is>
          <t>Benjamin Bear</t>
        </is>
      </c>
      <c r="N169" s="22" t="inlineStr">
        <is>
          <t>Co-Founder &amp; Chief Executive Officer</t>
        </is>
      </c>
      <c r="O169" s="23" t="inlineStr">
        <is>
          <t>ben@workgeni.us</t>
        </is>
      </c>
      <c r="P169" s="24" t="inlineStr">
        <is>
          <t/>
        </is>
      </c>
      <c r="Q169" s="25" t="n">
        <v>2015.0</v>
      </c>
      <c r="R169" s="113">
        <f>HYPERLINK("https://my.pitchbook.com?c=153361-00", "View company online")</f>
      </c>
    </row>
    <row r="170">
      <c r="A170" s="27" t="inlineStr">
        <is>
          <t>175448-89</t>
        </is>
      </c>
      <c r="B170" s="28" t="inlineStr">
        <is>
          <t>Worker Bee Solutions</t>
        </is>
      </c>
      <c r="C170" s="86">
        <f>HYPERLINK("https://my.pitchbook.com?rrp=175448-89&amp;type=c", "This Company's information is not available to download. Need this Company? Request availability")</f>
      </c>
      <c r="D170" s="30" t="inlineStr">
        <is>
          <t/>
        </is>
      </c>
      <c r="E170" s="31" t="inlineStr">
        <is>
          <t/>
        </is>
      </c>
      <c r="F170" s="32" t="inlineStr">
        <is>
          <t/>
        </is>
      </c>
      <c r="G170" s="33" t="inlineStr">
        <is>
          <t/>
        </is>
      </c>
      <c r="H170" s="34" t="inlineStr">
        <is>
          <t/>
        </is>
      </c>
      <c r="I170" s="35" t="inlineStr">
        <is>
          <t/>
        </is>
      </c>
      <c r="J170" s="36" t="inlineStr">
        <is>
          <t/>
        </is>
      </c>
      <c r="K170" s="37" t="inlineStr">
        <is>
          <t/>
        </is>
      </c>
      <c r="L170" s="38" t="inlineStr">
        <is>
          <t/>
        </is>
      </c>
      <c r="M170" s="39" t="inlineStr">
        <is>
          <t/>
        </is>
      </c>
      <c r="N170" s="40" t="inlineStr">
        <is>
          <t/>
        </is>
      </c>
      <c r="O170" s="41" t="inlineStr">
        <is>
          <t/>
        </is>
      </c>
      <c r="P170" s="42" t="inlineStr">
        <is>
          <t/>
        </is>
      </c>
      <c r="Q170" s="43" t="inlineStr">
        <is>
          <t/>
        </is>
      </c>
      <c r="R170" s="44" t="inlineStr">
        <is>
          <t/>
        </is>
      </c>
    </row>
    <row r="171">
      <c r="A171" s="9" t="inlineStr">
        <is>
          <t>104503-15</t>
        </is>
      </c>
      <c r="B171" s="10" t="inlineStr">
        <is>
          <t>Wordinaire</t>
        </is>
      </c>
      <c r="C171" s="11" t="inlineStr">
        <is>
          <t>90035</t>
        </is>
      </c>
      <c r="D171" s="12" t="inlineStr">
        <is>
          <t>Developer of an application for English learning. The company develops an application which allows users to search and learn English words and phrases with the help of imagery, sound and contextual examples.</t>
        </is>
      </c>
      <c r="E171" s="13" t="inlineStr">
        <is>
          <t>Educational and Training Services (B2C)</t>
        </is>
      </c>
      <c r="F171" s="14" t="inlineStr">
        <is>
          <t>Los Angeles, CA</t>
        </is>
      </c>
      <c r="G171" s="15" t="inlineStr">
        <is>
          <t>Privately Held (backing)</t>
        </is>
      </c>
      <c r="H171" s="16" t="inlineStr">
        <is>
          <t>Angel-Backed</t>
        </is>
      </c>
      <c r="I171" s="17" t="inlineStr">
        <is>
          <t>Patrick Fraioli</t>
        </is>
      </c>
      <c r="J171" s="18" t="inlineStr">
        <is>
          <t>www.wordinaire.com</t>
        </is>
      </c>
      <c r="K171" s="19" t="inlineStr">
        <is>
          <t>info@wordinaire.com</t>
        </is>
      </c>
      <c r="L171" s="20" t="inlineStr">
        <is>
          <t/>
        </is>
      </c>
      <c r="M171" s="21" t="inlineStr">
        <is>
          <t>Tomer Amrani</t>
        </is>
      </c>
      <c r="N171" s="22" t="inlineStr">
        <is>
          <t>Co-Founder &amp; Chief Executive Officer</t>
        </is>
      </c>
      <c r="O171" s="23" t="inlineStr">
        <is>
          <t/>
        </is>
      </c>
      <c r="P171" s="24" t="inlineStr">
        <is>
          <t/>
        </is>
      </c>
      <c r="Q171" s="25" t="n">
        <v>2011.0</v>
      </c>
      <c r="R171" s="113">
        <f>HYPERLINK("https://my.pitchbook.com?c=104503-15", "View company online")</f>
      </c>
    </row>
    <row r="172">
      <c r="A172" s="27" t="inlineStr">
        <is>
          <t>178656-58</t>
        </is>
      </c>
      <c r="B172" s="28" t="inlineStr">
        <is>
          <t>Wooji</t>
        </is>
      </c>
      <c r="C172" s="86">
        <f>HYPERLINK("https://my.pitchbook.com?rrp=178656-58&amp;type=c", "This Company's information is not available to download. Need this Company? Request availability")</f>
      </c>
      <c r="D172" s="30" t="inlineStr">
        <is>
          <t/>
        </is>
      </c>
      <c r="E172" s="31" t="inlineStr">
        <is>
          <t/>
        </is>
      </c>
      <c r="F172" s="32" t="inlineStr">
        <is>
          <t/>
        </is>
      </c>
      <c r="G172" s="33" t="inlineStr">
        <is>
          <t/>
        </is>
      </c>
      <c r="H172" s="34" t="inlineStr">
        <is>
          <t/>
        </is>
      </c>
      <c r="I172" s="35" t="inlineStr">
        <is>
          <t/>
        </is>
      </c>
      <c r="J172" s="36" t="inlineStr">
        <is>
          <t/>
        </is>
      </c>
      <c r="K172" s="37" t="inlineStr">
        <is>
          <t/>
        </is>
      </c>
      <c r="L172" s="38" t="inlineStr">
        <is>
          <t/>
        </is>
      </c>
      <c r="M172" s="39" t="inlineStr">
        <is>
          <t/>
        </is>
      </c>
      <c r="N172" s="40" t="inlineStr">
        <is>
          <t/>
        </is>
      </c>
      <c r="O172" s="41" t="inlineStr">
        <is>
          <t/>
        </is>
      </c>
      <c r="P172" s="42" t="inlineStr">
        <is>
          <t/>
        </is>
      </c>
      <c r="Q172" s="43" t="inlineStr">
        <is>
          <t/>
        </is>
      </c>
      <c r="R172" s="44" t="inlineStr">
        <is>
          <t/>
        </is>
      </c>
    </row>
    <row r="173">
      <c r="A173" s="9" t="inlineStr">
        <is>
          <t>166228-39</t>
        </is>
      </c>
      <c r="B173" s="10" t="inlineStr">
        <is>
          <t>Woodspur Farms</t>
        </is>
      </c>
      <c r="C173" s="11" t="inlineStr">
        <is>
          <t>92236</t>
        </is>
      </c>
      <c r="D173" s="12" t="inlineStr">
        <is>
          <t>Producer and distributor of dates and date based food products. The company produces and distributes dates and date based products such as whole dates, date rolls and date syrups that act as nutritional alternatives to sugar.</t>
        </is>
      </c>
      <c r="E173" s="13" t="inlineStr">
        <is>
          <t>Food Products</t>
        </is>
      </c>
      <c r="F173" s="14" t="inlineStr">
        <is>
          <t>Coachella, CA</t>
        </is>
      </c>
      <c r="G173" s="15" t="inlineStr">
        <is>
          <t>Privately Held (backing)</t>
        </is>
      </c>
      <c r="H173" s="16" t="inlineStr">
        <is>
          <t>Angel-Backed</t>
        </is>
      </c>
      <c r="I173" s="17" t="inlineStr">
        <is>
          <t/>
        </is>
      </c>
      <c r="J173" s="18" t="inlineStr">
        <is>
          <t>www.woodspurfarming.com</t>
        </is>
      </c>
      <c r="K173" s="19" t="inlineStr">
        <is>
          <t>info@woodspurfarms.com</t>
        </is>
      </c>
      <c r="L173" s="20" t="inlineStr">
        <is>
          <t>+1 (760) 398-9480</t>
        </is>
      </c>
      <c r="M173" s="21" t="inlineStr">
        <is>
          <t>John Gibbons</t>
        </is>
      </c>
      <c r="N173" s="22" t="inlineStr">
        <is>
          <t>Chief Executive Officer</t>
        </is>
      </c>
      <c r="O173" s="23" t="inlineStr">
        <is>
          <t>john.gibbons@woodspurfarms.com</t>
        </is>
      </c>
      <c r="P173" s="24" t="inlineStr">
        <is>
          <t>+1 (760) 398-9480</t>
        </is>
      </c>
      <c r="Q173" s="25" t="n">
        <v>2014.0</v>
      </c>
      <c r="R173" s="113">
        <f>HYPERLINK("https://my.pitchbook.com?c=166228-39", "View company online")</f>
      </c>
    </row>
    <row r="174">
      <c r="A174" s="27" t="inlineStr">
        <is>
          <t>153150-22</t>
        </is>
      </c>
      <c r="B174" s="28" t="inlineStr">
        <is>
          <t>Wood Ranch BBQ &amp; Grill</t>
        </is>
      </c>
      <c r="C174" s="29" t="inlineStr">
        <is>
          <t>91502</t>
        </is>
      </c>
      <c r="D174" s="30" t="inlineStr">
        <is>
          <t>Operator of restaurants for fine dining. The company specializes in operating specialty and fine dining restaurants that serves American cuisine.</t>
        </is>
      </c>
      <c r="E174" s="31" t="inlineStr">
        <is>
          <t>Restaurants and Bars</t>
        </is>
      </c>
      <c r="F174" s="32" t="inlineStr">
        <is>
          <t>Burbank, CA</t>
        </is>
      </c>
      <c r="G174" s="33" t="inlineStr">
        <is>
          <t>Privately Held (backing)</t>
        </is>
      </c>
      <c r="H174" s="34" t="inlineStr">
        <is>
          <t>Angel-Backed</t>
        </is>
      </c>
      <c r="I174" s="35" t="inlineStr">
        <is>
          <t/>
        </is>
      </c>
      <c r="J174" s="36" t="inlineStr">
        <is>
          <t>www.woodranch.com</t>
        </is>
      </c>
      <c r="K174" s="37" t="inlineStr">
        <is>
          <t/>
        </is>
      </c>
      <c r="L174" s="38" t="inlineStr">
        <is>
          <t>+1 (747) 200-2460</t>
        </is>
      </c>
      <c r="M174" s="39" t="inlineStr">
        <is>
          <t>Eric Anders</t>
        </is>
      </c>
      <c r="N174" s="40" t="inlineStr">
        <is>
          <t>Co-Founder &amp; Co-Chief Executive Officer</t>
        </is>
      </c>
      <c r="O174" s="41" t="inlineStr">
        <is>
          <t>eanders@woodranch.com</t>
        </is>
      </c>
      <c r="P174" s="42" t="inlineStr">
        <is>
          <t>+1 (747) 200-2460</t>
        </is>
      </c>
      <c r="Q174" s="43" t="n">
        <v>1992.0</v>
      </c>
      <c r="R174" s="114">
        <f>HYPERLINK("https://my.pitchbook.com?c=153150-22", "View company online")</f>
      </c>
    </row>
    <row r="175">
      <c r="A175" s="9" t="inlineStr">
        <is>
          <t>169329-61</t>
        </is>
      </c>
      <c r="B175" s="10" t="inlineStr">
        <is>
          <t>Wondery</t>
        </is>
      </c>
      <c r="C175" s="11" t="inlineStr">
        <is>
          <t>90069</t>
        </is>
      </c>
      <c r="D175" s="12" t="inlineStr">
        <is>
          <t>Provider of an on-demand audio service intended to connect wonderers and brands to a world of entertainment and knowledge. The company provides on-demand audio service and creates and curates podcasts for audio storytelling, enabling writers to offer a new storytelling medium.</t>
        </is>
      </c>
      <c r="E175" s="13" t="inlineStr">
        <is>
          <t>Movies, Music and Entertainment</t>
        </is>
      </c>
      <c r="F175" s="14" t="inlineStr">
        <is>
          <t>Los Angeles, CA</t>
        </is>
      </c>
      <c r="G175" s="15" t="inlineStr">
        <is>
          <t>Privately Held (backing)</t>
        </is>
      </c>
      <c r="H175" s="16" t="inlineStr">
        <is>
          <t>Accelerator/Incubator Backed</t>
        </is>
      </c>
      <c r="I175" s="17" t="inlineStr">
        <is>
          <t>FOX International Channels, NXTP Labs</t>
        </is>
      </c>
      <c r="J175" s="18" t="inlineStr">
        <is>
          <t>www.wondery.com</t>
        </is>
      </c>
      <c r="K175" s="19" t="inlineStr">
        <is>
          <t/>
        </is>
      </c>
      <c r="L175" s="20" t="inlineStr">
        <is>
          <t/>
        </is>
      </c>
      <c r="M175" s="21" t="inlineStr">
        <is>
          <t>Hernan Lopez</t>
        </is>
      </c>
      <c r="N175" s="22" t="inlineStr">
        <is>
          <t>Founder &amp; Chief Executive Officer</t>
        </is>
      </c>
      <c r="O175" s="23" t="inlineStr">
        <is>
          <t>hernandez.lopez@wondery.com</t>
        </is>
      </c>
      <c r="P175" s="24" t="inlineStr">
        <is>
          <t/>
        </is>
      </c>
      <c r="Q175" s="25" t="n">
        <v>2016.0</v>
      </c>
      <c r="R175" s="113">
        <f>HYPERLINK("https://my.pitchbook.com?c=169329-61", "View company online")</f>
      </c>
    </row>
    <row r="176">
      <c r="A176" s="27" t="inlineStr">
        <is>
          <t>175888-27</t>
        </is>
      </c>
      <c r="B176" s="28" t="inlineStr">
        <is>
          <t>Wonder Media</t>
        </is>
      </c>
      <c r="C176" s="86">
        <f>HYPERLINK("https://my.pitchbook.com?rrp=175888-27&amp;type=c", "This Company's information is not available to download. Need this Company? Request availability")</f>
      </c>
      <c r="D176" s="30" t="inlineStr">
        <is>
          <t/>
        </is>
      </c>
      <c r="E176" s="31" t="inlineStr">
        <is>
          <t/>
        </is>
      </c>
      <c r="F176" s="32" t="inlineStr">
        <is>
          <t/>
        </is>
      </c>
      <c r="G176" s="33" t="inlineStr">
        <is>
          <t/>
        </is>
      </c>
      <c r="H176" s="34" t="inlineStr">
        <is>
          <t/>
        </is>
      </c>
      <c r="I176" s="35" t="inlineStr">
        <is>
          <t/>
        </is>
      </c>
      <c r="J176" s="36" t="inlineStr">
        <is>
          <t/>
        </is>
      </c>
      <c r="K176" s="37" t="inlineStr">
        <is>
          <t/>
        </is>
      </c>
      <c r="L176" s="38" t="inlineStr">
        <is>
          <t/>
        </is>
      </c>
      <c r="M176" s="39" t="inlineStr">
        <is>
          <t/>
        </is>
      </c>
      <c r="N176" s="40" t="inlineStr">
        <is>
          <t/>
        </is>
      </c>
      <c r="O176" s="41" t="inlineStr">
        <is>
          <t/>
        </is>
      </c>
      <c r="P176" s="42" t="inlineStr">
        <is>
          <t/>
        </is>
      </c>
      <c r="Q176" s="43" t="inlineStr">
        <is>
          <t/>
        </is>
      </c>
      <c r="R176" s="44" t="inlineStr">
        <is>
          <t/>
        </is>
      </c>
    </row>
    <row r="177">
      <c r="A177" s="9" t="inlineStr">
        <is>
          <t>103727-89</t>
        </is>
      </c>
      <c r="B177" s="10" t="inlineStr">
        <is>
          <t>Women Who Code</t>
        </is>
      </c>
      <c r="C177" s="11" t="inlineStr">
        <is>
          <t>94105</t>
        </is>
      </c>
      <c r="D177" s="12" t="inlineStr">
        <is>
          <t>Provider of technical education services for women. The company serves as a non-profit that provides services for women who are pursing a career in the tech industry. The company provides members technical study groups, networking services, and career and leadership development courses.</t>
        </is>
      </c>
      <c r="E177" s="13" t="inlineStr">
        <is>
          <t>Educational and Training Services (B2C)</t>
        </is>
      </c>
      <c r="F177" s="14" t="inlineStr">
        <is>
          <t>San Francisco, CA</t>
        </is>
      </c>
      <c r="G177" s="15" t="inlineStr">
        <is>
          <t>Privately Held (backing)</t>
        </is>
      </c>
      <c r="H177" s="16" t="inlineStr">
        <is>
          <t>Accelerator/Incubator Backed</t>
        </is>
      </c>
      <c r="I177" s="17" t="inlineStr">
        <is>
          <t>Capital Factory, Y Combinator</t>
        </is>
      </c>
      <c r="J177" s="18" t="inlineStr">
        <is>
          <t>womenwhocode.com</t>
        </is>
      </c>
      <c r="K177" s="19" t="inlineStr">
        <is>
          <t>contact@womenwhocode.com</t>
        </is>
      </c>
      <c r="L177" s="20" t="inlineStr">
        <is>
          <t/>
        </is>
      </c>
      <c r="M177" s="21" t="inlineStr">
        <is>
          <t>Alaina Percival</t>
        </is>
      </c>
      <c r="N177" s="22" t="inlineStr">
        <is>
          <t>Chief Executive Officer &amp; Board Chair</t>
        </is>
      </c>
      <c r="O177" s="23" t="inlineStr">
        <is>
          <t>alaina@womenwhocode.com</t>
        </is>
      </c>
      <c r="P177" s="24" t="inlineStr">
        <is>
          <t/>
        </is>
      </c>
      <c r="Q177" s="25" t="n">
        <v>2011.0</v>
      </c>
      <c r="R177" s="113">
        <f>HYPERLINK("https://my.pitchbook.com?c=103727-89", "View company online")</f>
      </c>
    </row>
    <row r="178">
      <c r="A178" s="27" t="inlineStr">
        <is>
          <t>103733-20</t>
        </is>
      </c>
      <c r="B178" s="28" t="inlineStr">
        <is>
          <t>Women 2.0</t>
        </is>
      </c>
      <c r="C178" s="86">
        <f>HYPERLINK("https://my.pitchbook.com?rrp=103733-20&amp;type=c", "This Company's information is not available to download. Need this Company? Request availability")</f>
      </c>
      <c r="D178" s="30" t="inlineStr">
        <is>
          <t/>
        </is>
      </c>
      <c r="E178" s="31" t="inlineStr">
        <is>
          <t/>
        </is>
      </c>
      <c r="F178" s="32" t="inlineStr">
        <is>
          <t/>
        </is>
      </c>
      <c r="G178" s="33" t="inlineStr">
        <is>
          <t/>
        </is>
      </c>
      <c r="H178" s="34" t="inlineStr">
        <is>
          <t/>
        </is>
      </c>
      <c r="I178" s="35" t="inlineStr">
        <is>
          <t/>
        </is>
      </c>
      <c r="J178" s="36" t="inlineStr">
        <is>
          <t/>
        </is>
      </c>
      <c r="K178" s="37" t="inlineStr">
        <is>
          <t/>
        </is>
      </c>
      <c r="L178" s="38" t="inlineStr">
        <is>
          <t/>
        </is>
      </c>
      <c r="M178" s="39" t="inlineStr">
        <is>
          <t/>
        </is>
      </c>
      <c r="N178" s="40" t="inlineStr">
        <is>
          <t/>
        </is>
      </c>
      <c r="O178" s="41" t="inlineStr">
        <is>
          <t/>
        </is>
      </c>
      <c r="P178" s="42" t="inlineStr">
        <is>
          <t/>
        </is>
      </c>
      <c r="Q178" s="43" t="inlineStr">
        <is>
          <t/>
        </is>
      </c>
      <c r="R178" s="44" t="inlineStr">
        <is>
          <t/>
        </is>
      </c>
    </row>
    <row r="179">
      <c r="A179" s="9" t="inlineStr">
        <is>
          <t>103727-62</t>
        </is>
      </c>
      <c r="B179" s="10" t="inlineStr">
        <is>
          <t>Wolken Software</t>
        </is>
      </c>
      <c r="C179" s="11" t="inlineStr">
        <is>
          <t>560038</t>
        </is>
      </c>
      <c r="D179" s="12" t="inlineStr">
        <is>
          <t>Developer of a cloud-based business workflow management software designed to resolve internal support incidents. The company's cloud's based software offers management of incidents, change requests, problems, tasks as well as customer service requests, enabling clients to improve customer service experience and quality of service. It also offers a secure, collaborative and device agnostic enterprise conversation platform.</t>
        </is>
      </c>
      <c r="E179" s="13" t="inlineStr">
        <is>
          <t>Automation/Workflow Software</t>
        </is>
      </c>
      <c r="F179" s="14" t="inlineStr">
        <is>
          <t>Bangalore, India</t>
        </is>
      </c>
      <c r="G179" s="15" t="inlineStr">
        <is>
          <t>Privately Held (backing)</t>
        </is>
      </c>
      <c r="H179" s="16" t="inlineStr">
        <is>
          <t>Angel-Backed</t>
        </is>
      </c>
      <c r="I179" s="17" t="inlineStr">
        <is>
          <t>Subodh Bapat, Vivek Mansingh</t>
        </is>
      </c>
      <c r="J179" s="18" t="inlineStr">
        <is>
          <t>www.wolkensoftware.com</t>
        </is>
      </c>
      <c r="K179" s="19" t="inlineStr">
        <is>
          <t>info@wolkensoftware.com</t>
        </is>
      </c>
      <c r="L179" s="20" t="inlineStr">
        <is>
          <t>+91 (0)80 4174 1019</t>
        </is>
      </c>
      <c r="M179" s="21" t="inlineStr">
        <is>
          <t>Rohan Joshi</t>
        </is>
      </c>
      <c r="N179" s="22" t="inlineStr">
        <is>
          <t>Co-Founder, Board Member &amp; Chief Executive Officer</t>
        </is>
      </c>
      <c r="O179" s="23" t="inlineStr">
        <is>
          <t>rohan@wolkensoftware.com</t>
        </is>
      </c>
      <c r="P179" s="24" t="inlineStr">
        <is>
          <t>+91 (0)80 4174 1019</t>
        </is>
      </c>
      <c r="Q179" s="25" t="n">
        <v>2011.0</v>
      </c>
      <c r="R179" s="113">
        <f>HYPERLINK("https://my.pitchbook.com?c=103727-62", "View company online")</f>
      </c>
    </row>
    <row r="180">
      <c r="A180" s="27" t="inlineStr">
        <is>
          <t>117089-92</t>
        </is>
      </c>
      <c r="B180" s="28" t="inlineStr">
        <is>
          <t>Wolfprint 3D</t>
        </is>
      </c>
      <c r="C180" s="29" t="inlineStr">
        <is>
          <t/>
        </is>
      </c>
      <c r="D180" s="30" t="inlineStr">
        <is>
          <t>Provider of 3D printing and scanning services intended to develop 3D models for virtual reality and games. The company offers 3D-printing of human sculptures using ultrasound data and creates models of bones and organs for surgical planning and for use in games and virtual reality enabling developers to integrate 3D models into existing games, game engines or VR applications.</t>
        </is>
      </c>
      <c r="E180" s="31" t="inlineStr">
        <is>
          <t>Printing Services (B2B)</t>
        </is>
      </c>
      <c r="F180" s="32" t="inlineStr">
        <is>
          <t>Tallinn, Estonia</t>
        </is>
      </c>
      <c r="G180" s="33" t="inlineStr">
        <is>
          <t>Privately Held (backing)</t>
        </is>
      </c>
      <c r="H180" s="34" t="inlineStr">
        <is>
          <t>Angel-Backed</t>
        </is>
      </c>
      <c r="I180" s="35" t="inlineStr">
        <is>
          <t>Estonian Business School, Frederik Cyrus Roeder, Startup Wise Guys</t>
        </is>
      </c>
      <c r="J180" s="36" t="inlineStr">
        <is>
          <t>www.wolf3d.io</t>
        </is>
      </c>
      <c r="K180" s="37" t="inlineStr">
        <is>
          <t>info@wolfprint3d.com</t>
        </is>
      </c>
      <c r="L180" s="38" t="inlineStr">
        <is>
          <t>+372 344 6372</t>
        </is>
      </c>
      <c r="M180" s="39" t="inlineStr">
        <is>
          <t>Haver Järveoja</t>
        </is>
      </c>
      <c r="N180" s="40" t="inlineStr">
        <is>
          <t>Co-Founder &amp; Chief Financial Officer</t>
        </is>
      </c>
      <c r="O180" s="41" t="inlineStr">
        <is>
          <t>haver@wolfprint3d.com</t>
        </is>
      </c>
      <c r="P180" s="42" t="inlineStr">
        <is>
          <t>+372 344 6372</t>
        </is>
      </c>
      <c r="Q180" s="43" t="n">
        <v>2015.0</v>
      </c>
      <c r="R180" s="114">
        <f>HYPERLINK("https://my.pitchbook.com?c=117089-92", "View company online")</f>
      </c>
    </row>
    <row r="181">
      <c r="A181" s="9" t="inlineStr">
        <is>
          <t>156672-91</t>
        </is>
      </c>
      <c r="B181" s="10" t="inlineStr">
        <is>
          <t>Wolfee Technologies</t>
        </is>
      </c>
      <c r="C181" s="11" t="inlineStr">
        <is>
          <t>94538</t>
        </is>
      </c>
      <c r="D181" s="12" t="inlineStr">
        <is>
          <t>Provider of computer accessories. The company specializes in providing consumer electronics and computer accessories for its customers.</t>
        </is>
      </c>
      <c r="E181" s="13" t="inlineStr">
        <is>
          <t>Computers, Parts and Peripherals</t>
        </is>
      </c>
      <c r="F181" s="14" t="inlineStr">
        <is>
          <t>Fremont, CA</t>
        </is>
      </c>
      <c r="G181" s="15" t="inlineStr">
        <is>
          <t>Privately Held (backing)</t>
        </is>
      </c>
      <c r="H181" s="16" t="inlineStr">
        <is>
          <t>Angel-Backed</t>
        </is>
      </c>
      <c r="I181" s="17" t="inlineStr">
        <is>
          <t/>
        </is>
      </c>
      <c r="J181" s="18" t="inlineStr">
        <is>
          <t>www.wolfeetechnologies.com</t>
        </is>
      </c>
      <c r="K181" s="19" t="inlineStr">
        <is>
          <t/>
        </is>
      </c>
      <c r="L181" s="20" t="inlineStr">
        <is>
          <t>+1 (408) 273-4560</t>
        </is>
      </c>
      <c r="M181" s="21" t="inlineStr">
        <is>
          <t>Yinbo Li</t>
        </is>
      </c>
      <c r="N181" s="22" t="inlineStr">
        <is>
          <t>Founder, Board Member &amp; Chief Executive Officer</t>
        </is>
      </c>
      <c r="O181" s="23" t="inlineStr">
        <is>
          <t/>
        </is>
      </c>
      <c r="P181" s="24" t="inlineStr">
        <is>
          <t>+1 (408) 273-4560</t>
        </is>
      </c>
      <c r="Q181" s="25" t="n">
        <v>2015.0</v>
      </c>
      <c r="R181" s="113">
        <f>HYPERLINK("https://my.pitchbook.com?c=156672-91", "View company online")</f>
      </c>
    </row>
    <row r="182">
      <c r="A182" s="27" t="inlineStr">
        <is>
          <t>174484-36</t>
        </is>
      </c>
      <c r="B182" s="28" t="inlineStr">
        <is>
          <t>WolfBlood ESports</t>
        </is>
      </c>
      <c r="C182" s="86">
        <f>HYPERLINK("https://my.pitchbook.com?rrp=174484-36&amp;type=c", "This Company's information is not available to download. Need this Company? Request availability")</f>
      </c>
      <c r="D182" s="30" t="inlineStr">
        <is>
          <t/>
        </is>
      </c>
      <c r="E182" s="31" t="inlineStr">
        <is>
          <t/>
        </is>
      </c>
      <c r="F182" s="32" t="inlineStr">
        <is>
          <t/>
        </is>
      </c>
      <c r="G182" s="33" t="inlineStr">
        <is>
          <t/>
        </is>
      </c>
      <c r="H182" s="34" t="inlineStr">
        <is>
          <t/>
        </is>
      </c>
      <c r="I182" s="35" t="inlineStr">
        <is>
          <t/>
        </is>
      </c>
      <c r="J182" s="36" t="inlineStr">
        <is>
          <t/>
        </is>
      </c>
      <c r="K182" s="37" t="inlineStr">
        <is>
          <t/>
        </is>
      </c>
      <c r="L182" s="38" t="inlineStr">
        <is>
          <t/>
        </is>
      </c>
      <c r="M182" s="39" t="inlineStr">
        <is>
          <t/>
        </is>
      </c>
      <c r="N182" s="40" t="inlineStr">
        <is>
          <t/>
        </is>
      </c>
      <c r="O182" s="41" t="inlineStr">
        <is>
          <t/>
        </is>
      </c>
      <c r="P182" s="42" t="inlineStr">
        <is>
          <t/>
        </is>
      </c>
      <c r="Q182" s="43" t="inlineStr">
        <is>
          <t/>
        </is>
      </c>
      <c r="R182" s="44" t="inlineStr">
        <is>
          <t/>
        </is>
      </c>
    </row>
    <row r="183">
      <c r="A183" s="9" t="inlineStr">
        <is>
          <t>145501-21</t>
        </is>
      </c>
      <c r="B183" s="10" t="inlineStr">
        <is>
          <t>WoahStork</t>
        </is>
      </c>
      <c r="C183" s="11" t="inlineStr">
        <is>
          <t>90401</t>
        </is>
      </c>
      <c r="D183" s="12" t="inlineStr">
        <is>
          <t>Provider of an online cannabis ordering platform. The company offers an online platform that allows users to order cannabis and marijuana from local dispensaries.</t>
        </is>
      </c>
      <c r="E183" s="13" t="inlineStr">
        <is>
          <t>Other Healthcare</t>
        </is>
      </c>
      <c r="F183" s="14" t="inlineStr">
        <is>
          <t>Santa Monica, CA</t>
        </is>
      </c>
      <c r="G183" s="15" t="inlineStr">
        <is>
          <t>Privately Held (backing)</t>
        </is>
      </c>
      <c r="H183" s="16" t="inlineStr">
        <is>
          <t>Angel-Backed</t>
        </is>
      </c>
      <c r="I183" s="17" t="inlineStr">
        <is>
          <t>Alan Zheng</t>
        </is>
      </c>
      <c r="J183" s="18" t="inlineStr">
        <is>
          <t>www.woahstork.com</t>
        </is>
      </c>
      <c r="K183" s="19" t="inlineStr">
        <is>
          <t>info@woahstork.com</t>
        </is>
      </c>
      <c r="L183" s="20" t="inlineStr">
        <is>
          <t>+1 (856) 332-6358</t>
        </is>
      </c>
      <c r="M183" s="21" t="inlineStr">
        <is>
          <t>Niccolo Reggente</t>
        </is>
      </c>
      <c r="N183" s="22" t="inlineStr">
        <is>
          <t>Co-Founder &amp; Chief Executive Officer</t>
        </is>
      </c>
      <c r="O183" s="23" t="inlineStr">
        <is>
          <t>nicco@woahstork.com</t>
        </is>
      </c>
      <c r="P183" s="24" t="inlineStr">
        <is>
          <t>+1 (856) 332-6358</t>
        </is>
      </c>
      <c r="Q183" s="25" t="n">
        <v>2014.0</v>
      </c>
      <c r="R183" s="113">
        <f>HYPERLINK("https://my.pitchbook.com?c=145501-21", "View company online")</f>
      </c>
    </row>
    <row r="184">
      <c r="A184" s="27" t="inlineStr">
        <is>
          <t>173905-48</t>
        </is>
      </c>
      <c r="B184" s="28" t="inlineStr">
        <is>
          <t>Wizion.com</t>
        </is>
      </c>
      <c r="C184" s="86">
        <f>HYPERLINK("https://my.pitchbook.com?rrp=173905-48&amp;type=c", "This Company's information is not available to download. Need this Company? Request availability")</f>
      </c>
      <c r="D184" s="30" t="inlineStr">
        <is>
          <t/>
        </is>
      </c>
      <c r="E184" s="31" t="inlineStr">
        <is>
          <t/>
        </is>
      </c>
      <c r="F184" s="32" t="inlineStr">
        <is>
          <t/>
        </is>
      </c>
      <c r="G184" s="33" t="inlineStr">
        <is>
          <t/>
        </is>
      </c>
      <c r="H184" s="34" t="inlineStr">
        <is>
          <t/>
        </is>
      </c>
      <c r="I184" s="35" t="inlineStr">
        <is>
          <t/>
        </is>
      </c>
      <c r="J184" s="36" t="inlineStr">
        <is>
          <t/>
        </is>
      </c>
      <c r="K184" s="37" t="inlineStr">
        <is>
          <t/>
        </is>
      </c>
      <c r="L184" s="38" t="inlineStr">
        <is>
          <t/>
        </is>
      </c>
      <c r="M184" s="39" t="inlineStr">
        <is>
          <t/>
        </is>
      </c>
      <c r="N184" s="40" t="inlineStr">
        <is>
          <t/>
        </is>
      </c>
      <c r="O184" s="41" t="inlineStr">
        <is>
          <t/>
        </is>
      </c>
      <c r="P184" s="42" t="inlineStr">
        <is>
          <t/>
        </is>
      </c>
      <c r="Q184" s="43" t="inlineStr">
        <is>
          <t/>
        </is>
      </c>
      <c r="R184" s="44" t="inlineStr">
        <is>
          <t/>
        </is>
      </c>
    </row>
    <row r="185">
      <c r="A185" s="9" t="inlineStr">
        <is>
          <t>177703-03</t>
        </is>
      </c>
      <c r="B185" s="10" t="inlineStr">
        <is>
          <t>Wizar</t>
        </is>
      </c>
      <c r="C185" s="85">
        <f>HYPERLINK("https://my.pitchbook.com?rrp=177703-03&amp;type=c", "This Company's information is not available to download. Need this Company? Request availability")</f>
      </c>
      <c r="D185" s="12" t="inlineStr">
        <is>
          <t/>
        </is>
      </c>
      <c r="E185" s="13" t="inlineStr">
        <is>
          <t/>
        </is>
      </c>
      <c r="F185" s="14" t="inlineStr">
        <is>
          <t/>
        </is>
      </c>
      <c r="G185" s="15" t="inlineStr">
        <is>
          <t/>
        </is>
      </c>
      <c r="H185" s="16" t="inlineStr">
        <is>
          <t/>
        </is>
      </c>
      <c r="I185" s="17" t="inlineStr">
        <is>
          <t/>
        </is>
      </c>
      <c r="J185" s="18" t="inlineStr">
        <is>
          <t/>
        </is>
      </c>
      <c r="K185" s="19" t="inlineStr">
        <is>
          <t/>
        </is>
      </c>
      <c r="L185" s="20" t="inlineStr">
        <is>
          <t/>
        </is>
      </c>
      <c r="M185" s="21" t="inlineStr">
        <is>
          <t/>
        </is>
      </c>
      <c r="N185" s="22" t="inlineStr">
        <is>
          <t/>
        </is>
      </c>
      <c r="O185" s="23" t="inlineStr">
        <is>
          <t/>
        </is>
      </c>
      <c r="P185" s="24" t="inlineStr">
        <is>
          <t/>
        </is>
      </c>
      <c r="Q185" s="25" t="inlineStr">
        <is>
          <t/>
        </is>
      </c>
      <c r="R185" s="26" t="inlineStr">
        <is>
          <t/>
        </is>
      </c>
    </row>
    <row r="186">
      <c r="A186" s="27" t="inlineStr">
        <is>
          <t>103630-15</t>
        </is>
      </c>
      <c r="B186" s="28" t="inlineStr">
        <is>
          <t>Wiz Maps</t>
        </is>
      </c>
      <c r="C186" s="29" t="inlineStr">
        <is>
          <t>95014</t>
        </is>
      </c>
      <c r="D186" s="30" t="inlineStr">
        <is>
          <t>Provider of models forecasting and mobile data mapping platform. The company develops forecasting models and mobile data mapping technology that fixes the disconnect and risk between a property and the surrounding environment, which helps real estate professionals and businesses, with local intelligence and frequently updated growth patterns of critical data like population and income growth.</t>
        </is>
      </c>
      <c r="E186" s="31" t="inlineStr">
        <is>
          <t>Real Estate Services (B2C)</t>
        </is>
      </c>
      <c r="F186" s="32" t="inlineStr">
        <is>
          <t>Cupertino, CA</t>
        </is>
      </c>
      <c r="G186" s="33" t="inlineStr">
        <is>
          <t>Privately Held (backing)</t>
        </is>
      </c>
      <c r="H186" s="34" t="inlineStr">
        <is>
          <t>Angel-Backed</t>
        </is>
      </c>
      <c r="I186" s="35" t="inlineStr">
        <is>
          <t>Individual Investor</t>
        </is>
      </c>
      <c r="J186" s="36" t="inlineStr">
        <is>
          <t>www.wizmaps.com</t>
        </is>
      </c>
      <c r="K186" s="37" t="inlineStr">
        <is>
          <t>eddie@wizmaps.com</t>
        </is>
      </c>
      <c r="L186" s="38" t="inlineStr">
        <is>
          <t>+1 (408) 784-2304</t>
        </is>
      </c>
      <c r="M186" s="39" t="inlineStr">
        <is>
          <t>Eddie Godshalk</t>
        </is>
      </c>
      <c r="N186" s="40" t="inlineStr">
        <is>
          <t>Founder &amp; Chief Technology Officer</t>
        </is>
      </c>
      <c r="O186" s="41" t="inlineStr">
        <is>
          <t>eddie@wizmaps.com</t>
        </is>
      </c>
      <c r="P186" s="42" t="inlineStr">
        <is>
          <t>+1 (408) 784-2304</t>
        </is>
      </c>
      <c r="Q186" s="43" t="n">
        <v>2007.0</v>
      </c>
      <c r="R186" s="114">
        <f>HYPERLINK("https://my.pitchbook.com?c=103630-15", "View company online")</f>
      </c>
    </row>
    <row r="187">
      <c r="A187" s="9" t="inlineStr">
        <is>
          <t>159203-98</t>
        </is>
      </c>
      <c r="B187" s="10" t="inlineStr">
        <is>
          <t>Wivity</t>
        </is>
      </c>
      <c r="C187" s="11" t="inlineStr">
        <is>
          <t>94108</t>
        </is>
      </c>
      <c r="D187" s="12" t="inlineStr">
        <is>
          <t>Developer of wireless modems. The company develops wireless modems and software tools to connect Internet of Things devices to wireless networks.</t>
        </is>
      </c>
      <c r="E187" s="13" t="inlineStr">
        <is>
          <t>Electronics (B2C)</t>
        </is>
      </c>
      <c r="F187" s="14" t="inlineStr">
        <is>
          <t>San Francisco, CA</t>
        </is>
      </c>
      <c r="G187" s="15" t="inlineStr">
        <is>
          <t>Privately Held (backing)</t>
        </is>
      </c>
      <c r="H187" s="16" t="inlineStr">
        <is>
          <t>Accelerator/Incubator Backed</t>
        </is>
      </c>
      <c r="I187" s="17" t="inlineStr">
        <is>
          <t>500 Startups, Startup Next</t>
        </is>
      </c>
      <c r="J187" s="18" t="inlineStr">
        <is>
          <t>www.wivity.com</t>
        </is>
      </c>
      <c r="K187" s="19" t="inlineStr">
        <is>
          <t/>
        </is>
      </c>
      <c r="L187" s="20" t="inlineStr">
        <is>
          <t/>
        </is>
      </c>
      <c r="M187" s="21" t="inlineStr">
        <is>
          <t>Alfred Tom</t>
        </is>
      </c>
      <c r="N187" s="22" t="inlineStr">
        <is>
          <t>Co-Founder &amp; Chief Executive Officer</t>
        </is>
      </c>
      <c r="O187" s="23" t="inlineStr">
        <is>
          <t>atom@wivity.com</t>
        </is>
      </c>
      <c r="P187" s="24" t="inlineStr">
        <is>
          <t/>
        </is>
      </c>
      <c r="Q187" s="25" t="n">
        <v>2015.0</v>
      </c>
      <c r="R187" s="113">
        <f>HYPERLINK("https://my.pitchbook.com?c=159203-98", "View company online")</f>
      </c>
    </row>
    <row r="188">
      <c r="A188" s="27" t="inlineStr">
        <is>
          <t>172228-87</t>
        </is>
      </c>
      <c r="B188" s="28" t="inlineStr">
        <is>
          <t>Witlee</t>
        </is>
      </c>
      <c r="C188" s="86">
        <f>HYPERLINK("https://my.pitchbook.com?rrp=172228-87&amp;type=c", "This Company's information is not available to download. Need this Company? Request availability")</f>
      </c>
      <c r="D188" s="30" t="inlineStr">
        <is>
          <t/>
        </is>
      </c>
      <c r="E188" s="31" t="inlineStr">
        <is>
          <t/>
        </is>
      </c>
      <c r="F188" s="32" t="inlineStr">
        <is>
          <t/>
        </is>
      </c>
      <c r="G188" s="33" t="inlineStr">
        <is>
          <t/>
        </is>
      </c>
      <c r="H188" s="34" t="inlineStr">
        <is>
          <t/>
        </is>
      </c>
      <c r="I188" s="35" t="inlineStr">
        <is>
          <t/>
        </is>
      </c>
      <c r="J188" s="36" t="inlineStr">
        <is>
          <t/>
        </is>
      </c>
      <c r="K188" s="37" t="inlineStr">
        <is>
          <t/>
        </is>
      </c>
      <c r="L188" s="38" t="inlineStr">
        <is>
          <t/>
        </is>
      </c>
      <c r="M188" s="39" t="inlineStr">
        <is>
          <t/>
        </is>
      </c>
      <c r="N188" s="40" t="inlineStr">
        <is>
          <t/>
        </is>
      </c>
      <c r="O188" s="41" t="inlineStr">
        <is>
          <t/>
        </is>
      </c>
      <c r="P188" s="42" t="inlineStr">
        <is>
          <t/>
        </is>
      </c>
      <c r="Q188" s="43" t="inlineStr">
        <is>
          <t/>
        </is>
      </c>
      <c r="R188" s="44" t="inlineStr">
        <is>
          <t/>
        </is>
      </c>
    </row>
    <row r="189">
      <c r="A189" s="9" t="inlineStr">
        <is>
          <t>113732-20</t>
        </is>
      </c>
      <c r="B189" s="10" t="inlineStr">
        <is>
          <t>WITHIN</t>
        </is>
      </c>
      <c r="C189" s="85">
        <f>HYPERLINK("https://my.pitchbook.com?rrp=113732-20&amp;type=c", "This Company's information is not available to download. Need this Company? Request availability")</f>
      </c>
      <c r="D189" s="12" t="inlineStr">
        <is>
          <t/>
        </is>
      </c>
      <c r="E189" s="13" t="inlineStr">
        <is>
          <t/>
        </is>
      </c>
      <c r="F189" s="14" t="inlineStr">
        <is>
          <t/>
        </is>
      </c>
      <c r="G189" s="15" t="inlineStr">
        <is>
          <t/>
        </is>
      </c>
      <c r="H189" s="16" t="inlineStr">
        <is>
          <t/>
        </is>
      </c>
      <c r="I189" s="17" t="inlineStr">
        <is>
          <t/>
        </is>
      </c>
      <c r="J189" s="18" t="inlineStr">
        <is>
          <t/>
        </is>
      </c>
      <c r="K189" s="19" t="inlineStr">
        <is>
          <t/>
        </is>
      </c>
      <c r="L189" s="20" t="inlineStr">
        <is>
          <t/>
        </is>
      </c>
      <c r="M189" s="21" t="inlineStr">
        <is>
          <t/>
        </is>
      </c>
      <c r="N189" s="22" t="inlineStr">
        <is>
          <t/>
        </is>
      </c>
      <c r="O189" s="23" t="inlineStr">
        <is>
          <t/>
        </is>
      </c>
      <c r="P189" s="24" t="inlineStr">
        <is>
          <t/>
        </is>
      </c>
      <c r="Q189" s="25" t="inlineStr">
        <is>
          <t/>
        </is>
      </c>
      <c r="R189" s="26" t="inlineStr">
        <is>
          <t/>
        </is>
      </c>
    </row>
    <row r="190">
      <c r="A190" s="27" t="inlineStr">
        <is>
          <t>103620-70</t>
        </is>
      </c>
      <c r="B190" s="28" t="inlineStr">
        <is>
          <t>WiTech (Wireless Technologies)</t>
        </is>
      </c>
      <c r="C190" s="29" t="inlineStr">
        <is>
          <t/>
        </is>
      </c>
      <c r="D190" s="30" t="inlineStr">
        <is>
          <t>Provider of wireless cloud solutions. The company provides consulting and engineering solutions in fields of wireless technology field.</t>
        </is>
      </c>
      <c r="E190" s="31" t="inlineStr">
        <is>
          <t>Telecommunications Service Providers</t>
        </is>
      </c>
      <c r="F190" s="32" t="inlineStr">
        <is>
          <t>Pisa, Italy</t>
        </is>
      </c>
      <c r="G190" s="33" t="inlineStr">
        <is>
          <t>Privately Held (backing)</t>
        </is>
      </c>
      <c r="H190" s="34" t="inlineStr">
        <is>
          <t>Angel-Backed</t>
        </is>
      </c>
      <c r="I190" s="35" t="inlineStr">
        <is>
          <t/>
        </is>
      </c>
      <c r="J190" s="36" t="inlineStr">
        <is>
          <t>witech.it</t>
        </is>
      </c>
      <c r="K190" s="37" t="inlineStr">
        <is>
          <t>info@witech.it</t>
        </is>
      </c>
      <c r="L190" s="38" t="inlineStr">
        <is>
          <t>+39 05 0775 056</t>
        </is>
      </c>
      <c r="M190" s="39" t="inlineStr">
        <is>
          <t>Paolo Bagnoli</t>
        </is>
      </c>
      <c r="N190" s="40" t="inlineStr">
        <is>
          <t>Chief Executive Officer</t>
        </is>
      </c>
      <c r="O190" s="41" t="inlineStr">
        <is>
          <t>paolo.bagnoli@witech.it</t>
        </is>
      </c>
      <c r="P190" s="42" t="inlineStr">
        <is>
          <t>+39 05 0775 056</t>
        </is>
      </c>
      <c r="Q190" s="43" t="n">
        <v>2003.0</v>
      </c>
      <c r="R190" s="114">
        <f>HYPERLINK("https://my.pitchbook.com?c=103620-70", "View company online")</f>
      </c>
    </row>
    <row r="191">
      <c r="A191" s="9" t="inlineStr">
        <is>
          <t>147426-40</t>
        </is>
      </c>
      <c r="B191" s="10" t="inlineStr">
        <is>
          <t>Wisran</t>
        </is>
      </c>
      <c r="C191" s="11" t="inlineStr">
        <is>
          <t>95035</t>
        </is>
      </c>
      <c r="D191" s="12" t="inlineStr">
        <is>
          <t>Developer of SaaS-based agtech platform designed to increase agricultural operation efficiency. The company's agtech platform provides a tablet equipped with an accelerometer and a GPS to be placed in each piece of agricultural equipment to source telematics data, enabling farmers to improve worker productivity and agricultural machinery logistics.</t>
        </is>
      </c>
      <c r="E191" s="13" t="inlineStr">
        <is>
          <t>Water Utilities</t>
        </is>
      </c>
      <c r="F191" s="14" t="inlineStr">
        <is>
          <t>Milpitas, CA</t>
        </is>
      </c>
      <c r="G191" s="15" t="inlineStr">
        <is>
          <t>Privately Held (backing)</t>
        </is>
      </c>
      <c r="H191" s="16" t="inlineStr">
        <is>
          <t>Accelerator/Incubator Backed</t>
        </is>
      </c>
      <c r="I191" s="17" t="inlineStr">
        <is>
          <t>MIT Global Startup Labs, Plug and Play Tech Center, The Water Council</t>
        </is>
      </c>
      <c r="J191" s="18" t="inlineStr">
        <is>
          <t>www.wisran.com</t>
        </is>
      </c>
      <c r="K191" s="19" t="inlineStr">
        <is>
          <t/>
        </is>
      </c>
      <c r="L191" s="20" t="inlineStr">
        <is>
          <t>+1 (613) 837-6628</t>
        </is>
      </c>
      <c r="M191" s="21" t="inlineStr">
        <is>
          <t>Arsalan Lodhi</t>
        </is>
      </c>
      <c r="N191" s="22" t="inlineStr">
        <is>
          <t>Co-Founder &amp; Chief Executive Officer</t>
        </is>
      </c>
      <c r="O191" s="23" t="inlineStr">
        <is>
          <t>alodhi@wisran.com</t>
        </is>
      </c>
      <c r="P191" s="24" t="inlineStr">
        <is>
          <t>+1 (613) 837-6628</t>
        </is>
      </c>
      <c r="Q191" s="25" t="n">
        <v>2014.0</v>
      </c>
      <c r="R191" s="113">
        <f>HYPERLINK("https://my.pitchbook.com?c=147426-40", "View company online")</f>
      </c>
    </row>
    <row r="192">
      <c r="A192" s="27" t="inlineStr">
        <is>
          <t>180305-65</t>
        </is>
      </c>
      <c r="B192" s="28" t="inlineStr">
        <is>
          <t>WISP</t>
        </is>
      </c>
      <c r="C192" s="86">
        <f>HYPERLINK("https://my.pitchbook.com?rrp=180305-65&amp;type=c", "This Company's information is not available to download. Need this Company? Request availability")</f>
      </c>
      <c r="D192" s="30" t="inlineStr">
        <is>
          <t/>
        </is>
      </c>
      <c r="E192" s="31" t="inlineStr">
        <is>
          <t/>
        </is>
      </c>
      <c r="F192" s="32" t="inlineStr">
        <is>
          <t/>
        </is>
      </c>
      <c r="G192" s="33" t="inlineStr">
        <is>
          <t/>
        </is>
      </c>
      <c r="H192" s="34" t="inlineStr">
        <is>
          <t/>
        </is>
      </c>
      <c r="I192" s="35" t="inlineStr">
        <is>
          <t/>
        </is>
      </c>
      <c r="J192" s="36" t="inlineStr">
        <is>
          <t/>
        </is>
      </c>
      <c r="K192" s="37" t="inlineStr">
        <is>
          <t/>
        </is>
      </c>
      <c r="L192" s="38" t="inlineStr">
        <is>
          <t/>
        </is>
      </c>
      <c r="M192" s="39" t="inlineStr">
        <is>
          <t/>
        </is>
      </c>
      <c r="N192" s="40" t="inlineStr">
        <is>
          <t/>
        </is>
      </c>
      <c r="O192" s="41" t="inlineStr">
        <is>
          <t/>
        </is>
      </c>
      <c r="P192" s="42" t="inlineStr">
        <is>
          <t/>
        </is>
      </c>
      <c r="Q192" s="43" t="inlineStr">
        <is>
          <t/>
        </is>
      </c>
      <c r="R192" s="44" t="inlineStr">
        <is>
          <t/>
        </is>
      </c>
    </row>
    <row r="193">
      <c r="A193" s="9" t="inlineStr">
        <is>
          <t>119297-98</t>
        </is>
      </c>
      <c r="B193" s="10" t="inlineStr">
        <is>
          <t>Wishorb</t>
        </is>
      </c>
      <c r="C193" s="11" t="inlineStr">
        <is>
          <t/>
        </is>
      </c>
      <c r="D193" s="12" t="inlineStr">
        <is>
          <t>Developer of an online platform for gifts. The company provides social wish list platform that will change the understanding of the gift and will help the users to get just the gifts they want in special days using social platforms.</t>
        </is>
      </c>
      <c r="E193" s="13" t="inlineStr">
        <is>
          <t>Social/Platform Software</t>
        </is>
      </c>
      <c r="F193" s="14" t="inlineStr">
        <is>
          <t>Brea, CA</t>
        </is>
      </c>
      <c r="G193" s="15" t="inlineStr">
        <is>
          <t>Privately Held (backing)</t>
        </is>
      </c>
      <c r="H193" s="16" t="inlineStr">
        <is>
          <t>Accelerator/Incubator Backed</t>
        </is>
      </c>
      <c r="I193" s="17" t="inlineStr">
        <is>
          <t>Etohum</t>
        </is>
      </c>
      <c r="J193" s="18" t="inlineStr">
        <is>
          <t>www.wishorb.com</t>
        </is>
      </c>
      <c r="K193" s="19" t="inlineStr">
        <is>
          <t/>
        </is>
      </c>
      <c r="L193" s="20" t="inlineStr">
        <is>
          <t/>
        </is>
      </c>
      <c r="M193" s="21" t="inlineStr">
        <is>
          <t>Emre Ertan</t>
        </is>
      </c>
      <c r="N193" s="22" t="inlineStr">
        <is>
          <t>Co-Founder</t>
        </is>
      </c>
      <c r="O193" s="23" t="inlineStr">
        <is>
          <t>emre@slice.com</t>
        </is>
      </c>
      <c r="P193" s="24" t="inlineStr">
        <is>
          <t>+1 (650) 323-9100</t>
        </is>
      </c>
      <c r="Q193" s="25" t="inlineStr">
        <is>
          <t/>
        </is>
      </c>
      <c r="R193" s="113">
        <f>HYPERLINK("https://my.pitchbook.com?c=119297-98", "View company online")</f>
      </c>
    </row>
    <row r="194">
      <c r="A194" s="27" t="inlineStr">
        <is>
          <t>103620-34</t>
        </is>
      </c>
      <c r="B194" s="28" t="inlineStr">
        <is>
          <t>Wishbone.org</t>
        </is>
      </c>
      <c r="C194" s="29" t="inlineStr">
        <is>
          <t>94111</t>
        </is>
      </c>
      <c r="D194" s="30" t="inlineStr">
        <is>
          <t>Provider of humanity services for school kids. The company offers services for low-income students to discover, access and afford after-school and summer programs.</t>
        </is>
      </c>
      <c r="E194" s="31" t="inlineStr">
        <is>
          <t>Other Commercial Services</t>
        </is>
      </c>
      <c r="F194" s="32" t="inlineStr">
        <is>
          <t>San Francisco, CA</t>
        </is>
      </c>
      <c r="G194" s="33" t="inlineStr">
        <is>
          <t>Privately Held (backing)</t>
        </is>
      </c>
      <c r="H194" s="34" t="inlineStr">
        <is>
          <t>Angel-Backed</t>
        </is>
      </c>
      <c r="I194" s="35" t="inlineStr">
        <is>
          <t>Ewing Marion Kauffman Foundation, Matthew Klein, Ronald Conway</t>
        </is>
      </c>
      <c r="J194" s="36" t="inlineStr">
        <is>
          <t>www.wishbone.org</t>
        </is>
      </c>
      <c r="K194" s="37" t="inlineStr">
        <is>
          <t>info@wishbone.org</t>
        </is>
      </c>
      <c r="L194" s="38" t="inlineStr">
        <is>
          <t/>
        </is>
      </c>
      <c r="M194" s="39" t="inlineStr">
        <is>
          <t>Beth Schmidt</t>
        </is>
      </c>
      <c r="N194" s="40" t="inlineStr">
        <is>
          <t>Founder &amp; Chief Executive Officer</t>
        </is>
      </c>
      <c r="O194" s="41" t="inlineStr">
        <is>
          <t>beth@wishbone.org</t>
        </is>
      </c>
      <c r="P194" s="42" t="inlineStr">
        <is>
          <t/>
        </is>
      </c>
      <c r="Q194" s="43" t="n">
        <v>2010.0</v>
      </c>
      <c r="R194" s="114">
        <f>HYPERLINK("https://my.pitchbook.com?c=103620-34", "View company online")</f>
      </c>
    </row>
    <row r="195">
      <c r="A195" s="9" t="inlineStr">
        <is>
          <t>60266-44</t>
        </is>
      </c>
      <c r="B195" s="10" t="inlineStr">
        <is>
          <t>Wisemuv</t>
        </is>
      </c>
      <c r="C195" s="11" t="inlineStr">
        <is>
          <t>98104</t>
        </is>
      </c>
      <c r="D195" s="12" t="inlineStr">
        <is>
          <t>Developer of a technology for buying insurance online. The company specializes in web or mobile-based insurance sales optimization for carriers, agencies and partners.</t>
        </is>
      </c>
      <c r="E195" s="13" t="inlineStr">
        <is>
          <t>Other Insurance</t>
        </is>
      </c>
      <c r="F195" s="14" t="inlineStr">
        <is>
          <t>Seattle, WA</t>
        </is>
      </c>
      <c r="G195" s="15" t="inlineStr">
        <is>
          <t>Privately Held (backing)</t>
        </is>
      </c>
      <c r="H195" s="16" t="inlineStr">
        <is>
          <t>Accelerator/Incubator Backed</t>
        </is>
      </c>
      <c r="I195" s="17" t="inlineStr">
        <is>
          <t>Founder Institute, Kaz Bro, Michael Liou</t>
        </is>
      </c>
      <c r="J195" s="18" t="inlineStr">
        <is>
          <t>www.wisemuv.com</t>
        </is>
      </c>
      <c r="K195" s="19" t="inlineStr">
        <is>
          <t>info@wisemuv.com</t>
        </is>
      </c>
      <c r="L195" s="20" t="inlineStr">
        <is>
          <t>+1 (877) 801-5088</t>
        </is>
      </c>
      <c r="M195" s="21" t="inlineStr">
        <is>
          <t/>
        </is>
      </c>
      <c r="N195" s="22" t="inlineStr">
        <is>
          <t/>
        </is>
      </c>
      <c r="O195" s="23" t="inlineStr">
        <is>
          <t/>
        </is>
      </c>
      <c r="P195" s="24" t="inlineStr">
        <is>
          <t/>
        </is>
      </c>
      <c r="Q195" s="25" t="n">
        <v>2009.0</v>
      </c>
      <c r="R195" s="113">
        <f>HYPERLINK("https://my.pitchbook.com?c=60266-44", "View company online")</f>
      </c>
    </row>
    <row r="196">
      <c r="A196" s="27" t="inlineStr">
        <is>
          <t>126146-44</t>
        </is>
      </c>
      <c r="B196" s="28" t="inlineStr">
        <is>
          <t>Wise King Media</t>
        </is>
      </c>
      <c r="C196" s="29" t="inlineStr">
        <is>
          <t>92021</t>
        </is>
      </c>
      <c r="D196" s="30" t="inlineStr">
        <is>
          <t>Provider of audio-based biblical stories for children. The company offers audio content for children and millennials with biblical truth and the gospels of Jesus Christ.</t>
        </is>
      </c>
      <c r="E196" s="31" t="inlineStr">
        <is>
          <t>Social Content</t>
        </is>
      </c>
      <c r="F196" s="32" t="inlineStr">
        <is>
          <t>El Cajon, CA</t>
        </is>
      </c>
      <c r="G196" s="33" t="inlineStr">
        <is>
          <t>Privately Held (backing)</t>
        </is>
      </c>
      <c r="H196" s="34" t="inlineStr">
        <is>
          <t>Angel-Backed</t>
        </is>
      </c>
      <c r="I196" s="35" t="inlineStr">
        <is>
          <t/>
        </is>
      </c>
      <c r="J196" s="36" t="inlineStr">
        <is>
          <t>www.jonathanpark.com</t>
        </is>
      </c>
      <c r="K196" s="37" t="inlineStr">
        <is>
          <t/>
        </is>
      </c>
      <c r="L196" s="38" t="inlineStr">
        <is>
          <t>+1 (619) 971-5416</t>
        </is>
      </c>
      <c r="M196" s="39" t="inlineStr">
        <is>
          <t>Mark Rasche</t>
        </is>
      </c>
      <c r="N196" s="40" t="inlineStr">
        <is>
          <t>Chief Executive Officer, President &amp; Board Member</t>
        </is>
      </c>
      <c r="O196" s="41" t="inlineStr">
        <is>
          <t/>
        </is>
      </c>
      <c r="P196" s="42" t="inlineStr">
        <is>
          <t>+1 (619) 971-5416</t>
        </is>
      </c>
      <c r="Q196" s="43" t="inlineStr">
        <is>
          <t/>
        </is>
      </c>
      <c r="R196" s="114">
        <f>HYPERLINK("https://my.pitchbook.com?c=126146-44", "View company online")</f>
      </c>
    </row>
    <row r="197">
      <c r="A197" s="9" t="inlineStr">
        <is>
          <t>99692-38</t>
        </is>
      </c>
      <c r="B197" s="10" t="inlineStr">
        <is>
          <t>Wireless Diagnostic Systems</t>
        </is>
      </c>
      <c r="C197" s="11" t="inlineStr">
        <is>
          <t>92121</t>
        </is>
      </c>
      <c r="D197" s="12" t="inlineStr">
        <is>
          <t>Developer of patient monitoring devices. The company specializes in developing patient monitoring devices by using nanosensor technology.</t>
        </is>
      </c>
      <c r="E197" s="13" t="inlineStr">
        <is>
          <t>Monitoring Equipment</t>
        </is>
      </c>
      <c r="F197" s="14" t="inlineStr">
        <is>
          <t>San Diego, CA</t>
        </is>
      </c>
      <c r="G197" s="15" t="inlineStr">
        <is>
          <t>Privately Held (backing)</t>
        </is>
      </c>
      <c r="H197" s="16" t="inlineStr">
        <is>
          <t>Angel-Backed</t>
        </is>
      </c>
      <c r="I197" s="17" t="inlineStr">
        <is>
          <t/>
        </is>
      </c>
      <c r="J197" s="18" t="inlineStr">
        <is>
          <t/>
        </is>
      </c>
      <c r="K197" s="19" t="inlineStr">
        <is>
          <t/>
        </is>
      </c>
      <c r="L197" s="20" t="inlineStr">
        <is>
          <t>+1 (858) 232-5000</t>
        </is>
      </c>
      <c r="M197" s="21" t="inlineStr">
        <is>
          <t>S. Kay</t>
        </is>
      </c>
      <c r="N197" s="22" t="inlineStr">
        <is>
          <t>Chief Executive Officer, President &amp; Board Member</t>
        </is>
      </c>
      <c r="O197" s="23" t="inlineStr">
        <is>
          <t/>
        </is>
      </c>
      <c r="P197" s="24" t="inlineStr">
        <is>
          <t>+1 (858) 232-5000</t>
        </is>
      </c>
      <c r="Q197" s="25" t="n">
        <v>2014.0</v>
      </c>
      <c r="R197" s="113">
        <f>HYPERLINK("https://my.pitchbook.com?c=99692-38", "View company online")</f>
      </c>
    </row>
    <row r="198">
      <c r="A198" s="27" t="inlineStr">
        <is>
          <t>169895-08</t>
        </is>
      </c>
      <c r="B198" s="28" t="inlineStr">
        <is>
          <t>WireFlare</t>
        </is>
      </c>
      <c r="C198" s="29" t="inlineStr">
        <is>
          <t>95742</t>
        </is>
      </c>
      <c r="D198" s="30" t="inlineStr">
        <is>
          <t>Provider of software solutions for construction technology sector. The company develops software that meets the project management demands of the construction industry.</t>
        </is>
      </c>
      <c r="E198" s="31" t="inlineStr">
        <is>
          <t>Business/Productivity Software</t>
        </is>
      </c>
      <c r="F198" s="32" t="inlineStr">
        <is>
          <t>Rancho Cordova, CA</t>
        </is>
      </c>
      <c r="G198" s="33" t="inlineStr">
        <is>
          <t>Privately Held (backing)</t>
        </is>
      </c>
      <c r="H198" s="34" t="inlineStr">
        <is>
          <t>Angel-Backed</t>
        </is>
      </c>
      <c r="I198" s="35" t="inlineStr">
        <is>
          <t/>
        </is>
      </c>
      <c r="J198" s="36" t="inlineStr">
        <is>
          <t>www.wireflare.com</t>
        </is>
      </c>
      <c r="K198" s="37" t="inlineStr">
        <is>
          <t>marketing@wireflare.com</t>
        </is>
      </c>
      <c r="L198" s="38" t="inlineStr">
        <is>
          <t>+1 (916) 226-5806</t>
        </is>
      </c>
      <c r="M198" s="39" t="inlineStr">
        <is>
          <t>Todd Robertti Spear</t>
        </is>
      </c>
      <c r="N198" s="40" t="inlineStr">
        <is>
          <t>Founder, Owner &amp; Chief Executive Officer</t>
        </is>
      </c>
      <c r="O198" s="41" t="inlineStr">
        <is>
          <t>todd@wireflare.com</t>
        </is>
      </c>
      <c r="P198" s="42" t="inlineStr">
        <is>
          <t>+1 (916) 226-5806</t>
        </is>
      </c>
      <c r="Q198" s="43" t="n">
        <v>2007.0</v>
      </c>
      <c r="R198" s="114">
        <f>HYPERLINK("https://my.pitchbook.com?c=169895-08", "View company online")</f>
      </c>
    </row>
    <row r="199">
      <c r="A199" s="9" t="inlineStr">
        <is>
          <t>64942-84</t>
        </is>
      </c>
      <c r="B199" s="10" t="inlineStr">
        <is>
          <t>Wiper</t>
        </is>
      </c>
      <c r="C199" s="11" t="inlineStr">
        <is>
          <t>95103</t>
        </is>
      </c>
      <c r="D199" s="12" t="inlineStr">
        <is>
          <t>Developer of mobile application that allows users to chat, make free calls, transfer money, files and videos worldwide. The company allows users to erase a conversation including messages, call logs, photos and videos from phones and Wiper servers.</t>
        </is>
      </c>
      <c r="E199" s="13" t="inlineStr">
        <is>
          <t>Application Software</t>
        </is>
      </c>
      <c r="F199" s="14" t="inlineStr">
        <is>
          <t>San Jose, CA</t>
        </is>
      </c>
      <c r="G199" s="15" t="inlineStr">
        <is>
          <t>Privately Held (backing)</t>
        </is>
      </c>
      <c r="H199" s="16" t="inlineStr">
        <is>
          <t>Angel-Backed</t>
        </is>
      </c>
      <c r="I199" s="17" t="inlineStr">
        <is>
          <t>Individual Investor, Michael Choupak</t>
        </is>
      </c>
      <c r="J199" s="18" t="inlineStr">
        <is>
          <t/>
        </is>
      </c>
      <c r="K199" s="19" t="inlineStr">
        <is>
          <t>support@gowiper.com</t>
        </is>
      </c>
      <c r="L199" s="20" t="inlineStr">
        <is>
          <t/>
        </is>
      </c>
      <c r="M199" s="21" t="inlineStr">
        <is>
          <t>Manlio Carrelli</t>
        </is>
      </c>
      <c r="N199" s="22" t="inlineStr">
        <is>
          <t>Chief Executive Officer</t>
        </is>
      </c>
      <c r="O199" s="23" t="inlineStr">
        <is>
          <t/>
        </is>
      </c>
      <c r="P199" s="24" t="inlineStr">
        <is>
          <t/>
        </is>
      </c>
      <c r="Q199" s="25" t="n">
        <v>2014.0</v>
      </c>
      <c r="R199" s="113">
        <f>HYPERLINK("https://my.pitchbook.com?c=64942-84", "View company online")</f>
      </c>
    </row>
    <row r="200">
      <c r="A200" s="27" t="inlineStr">
        <is>
          <t>121356-73</t>
        </is>
      </c>
      <c r="B200" s="28" t="inlineStr">
        <is>
          <t>Winz</t>
        </is>
      </c>
      <c r="C200" s="29" t="inlineStr">
        <is>
          <t/>
        </is>
      </c>
      <c r="D200" s="30" t="inlineStr">
        <is>
          <t>Provider of a photography application. The company offers a sports photography application which allows users to add real-time scores and match data to pictures that they take using the application.</t>
        </is>
      </c>
      <c r="E200" s="31" t="inlineStr">
        <is>
          <t>Application Software</t>
        </is>
      </c>
      <c r="F200" s="32" t="inlineStr">
        <is>
          <t>San Ramon, CA</t>
        </is>
      </c>
      <c r="G200" s="33" t="inlineStr">
        <is>
          <t>Privately Held (backing)</t>
        </is>
      </c>
      <c r="H200" s="34" t="inlineStr">
        <is>
          <t>Accelerator/Incubator Backed</t>
        </is>
      </c>
      <c r="I200" s="35" t="inlineStr">
        <is>
          <t>Plug and Play Tech Center</t>
        </is>
      </c>
      <c r="J200" s="36" t="inlineStr">
        <is>
          <t>www.mywinz.com</t>
        </is>
      </c>
      <c r="K200" s="37" t="inlineStr">
        <is>
          <t>info@mywinz.com</t>
        </is>
      </c>
      <c r="L200" s="38" t="inlineStr">
        <is>
          <t/>
        </is>
      </c>
      <c r="M200" s="39" t="inlineStr">
        <is>
          <t>Alexander Stolpovsky</t>
        </is>
      </c>
      <c r="N200" s="40" t="inlineStr">
        <is>
          <t>Co-Founder &amp; Chief Technology Officer</t>
        </is>
      </c>
      <c r="O200" s="41" t="inlineStr">
        <is>
          <t/>
        </is>
      </c>
      <c r="P200" s="42" t="inlineStr">
        <is>
          <t/>
        </is>
      </c>
      <c r="Q200" s="43" t="n">
        <v>2014.0</v>
      </c>
      <c r="R200" s="114">
        <f>HYPERLINK("https://my.pitchbook.com?c=121356-73", "View company online")</f>
      </c>
    </row>
    <row r="201">
      <c r="A201" s="9" t="inlineStr">
        <is>
          <t>170397-37</t>
        </is>
      </c>
      <c r="B201" s="10" t="inlineStr">
        <is>
          <t>Win-Win</t>
        </is>
      </c>
      <c r="C201" s="11" t="inlineStr">
        <is>
          <t>94607</t>
        </is>
      </c>
      <c r="D201" s="12" t="inlineStr">
        <is>
          <t>Provider of a sports gaming platform designed to help raise funds for charitable trusts while supporting fantasy football tournaments. The company's sports gaming platform has a ticketing application for users to buy tickets for fantasy sports, raise funds, choose and pitch for their favorite athletes and football teams and watch NFL tournaments that are organized for charity, enabling sports lovers to support sports for social good.</t>
        </is>
      </c>
      <c r="E201" s="13" t="inlineStr">
        <is>
          <t>Entertainment Software</t>
        </is>
      </c>
      <c r="F201" s="14" t="inlineStr">
        <is>
          <t>Oakland, CA</t>
        </is>
      </c>
      <c r="G201" s="15" t="inlineStr">
        <is>
          <t>Privately Held (backing)</t>
        </is>
      </c>
      <c r="H201" s="16" t="inlineStr">
        <is>
          <t>Accelerator/Incubator Backed</t>
        </is>
      </c>
      <c r="I201" s="17" t="inlineStr">
        <is>
          <t>500 Startups, STRV</t>
        </is>
      </c>
      <c r="J201" s="18" t="inlineStr">
        <is>
          <t>www.trywinwin.com</t>
        </is>
      </c>
      <c r="K201" s="19" t="inlineStr">
        <is>
          <t>hello@trywinwin.com</t>
        </is>
      </c>
      <c r="L201" s="20" t="inlineStr">
        <is>
          <t/>
        </is>
      </c>
      <c r="M201" s="21" t="inlineStr">
        <is>
          <t>Michael Tauiliili-Brown</t>
        </is>
      </c>
      <c r="N201" s="22" t="inlineStr">
        <is>
          <t>Founder &amp; Chief Executive Officer</t>
        </is>
      </c>
      <c r="O201" s="23" t="inlineStr">
        <is>
          <t>michael@trywinwin.com</t>
        </is>
      </c>
      <c r="P201" s="24" t="inlineStr">
        <is>
          <t/>
        </is>
      </c>
      <c r="Q201" s="25" t="n">
        <v>2015.0</v>
      </c>
      <c r="R201" s="113">
        <f>HYPERLINK("https://my.pitchbook.com?c=170397-37", "View company online")</f>
      </c>
    </row>
    <row r="202">
      <c r="A202" s="27" t="inlineStr">
        <is>
          <t>148740-76</t>
        </is>
      </c>
      <c r="B202" s="28" t="inlineStr">
        <is>
          <t>Wink Health</t>
        </is>
      </c>
      <c r="C202" s="29" t="inlineStr">
        <is>
          <t>94117</t>
        </is>
      </c>
      <c r="D202" s="30" t="inlineStr">
        <is>
          <t>Provider of a mobile application for diagnosing sleep apnea. The company offers an application helping patients diagnose and treat sleep apnea from their homes through sleep doctors available on the application to review sleep studies, discuss the best treatments with patients and order prescriptions.</t>
        </is>
      </c>
      <c r="E202" s="31" t="inlineStr">
        <is>
          <t>Other Healthcare Technology Systems</t>
        </is>
      </c>
      <c r="F202" s="32" t="inlineStr">
        <is>
          <t>San Francisco, CA</t>
        </is>
      </c>
      <c r="G202" s="33" t="inlineStr">
        <is>
          <t>Privately Held (backing)</t>
        </is>
      </c>
      <c r="H202" s="34" t="inlineStr">
        <is>
          <t>Angel-Backed</t>
        </is>
      </c>
      <c r="I202" s="35" t="inlineStr">
        <is>
          <t>Tyler Willis, Y Combinator</t>
        </is>
      </c>
      <c r="J202" s="36" t="inlineStr">
        <is>
          <t>www.winkhealth.com</t>
        </is>
      </c>
      <c r="K202" s="37" t="inlineStr">
        <is>
          <t>contact@winkhealth.com</t>
        </is>
      </c>
      <c r="L202" s="38" t="inlineStr">
        <is>
          <t/>
        </is>
      </c>
      <c r="M202" s="39" t="inlineStr">
        <is>
          <t>Darwin Lo</t>
        </is>
      </c>
      <c r="N202" s="40" t="inlineStr">
        <is>
          <t>Co-Founder</t>
        </is>
      </c>
      <c r="O202" s="41" t="inlineStr">
        <is>
          <t>darwin@winkhealth.com</t>
        </is>
      </c>
      <c r="P202" s="42" t="inlineStr">
        <is>
          <t/>
        </is>
      </c>
      <c r="Q202" s="43" t="n">
        <v>2014.0</v>
      </c>
      <c r="R202" s="114">
        <f>HYPERLINK("https://my.pitchbook.com?c=148740-76", "View company online")</f>
      </c>
    </row>
    <row r="203">
      <c r="A203" s="9" t="inlineStr">
        <is>
          <t>152409-25</t>
        </is>
      </c>
      <c r="B203" s="10" t="inlineStr">
        <is>
          <t>Wingo</t>
        </is>
      </c>
      <c r="C203" s="11" t="inlineStr">
        <is>
          <t/>
        </is>
      </c>
      <c r="D203" s="12" t="inlineStr">
        <is>
          <t>Manufacturer of mobile cover and accessories. The company offers to their customers handheld accessories such as cases for mobile devices, tablets, iPads and E-Readers.</t>
        </is>
      </c>
      <c r="E203" s="13" t="inlineStr">
        <is>
          <t>Other Consumer Durables</t>
        </is>
      </c>
      <c r="F203" s="14" t="inlineStr">
        <is>
          <t>San Francisco, CA</t>
        </is>
      </c>
      <c r="G203" s="15" t="inlineStr">
        <is>
          <t>Privately Held (backing)</t>
        </is>
      </c>
      <c r="H203" s="16" t="inlineStr">
        <is>
          <t>Angel-Backed</t>
        </is>
      </c>
      <c r="I203" s="17" t="inlineStr">
        <is>
          <t/>
        </is>
      </c>
      <c r="J203" s="18" t="inlineStr">
        <is>
          <t>www.wingocase.com</t>
        </is>
      </c>
      <c r="K203" s="19" t="inlineStr">
        <is>
          <t>info@wingocase.com</t>
        </is>
      </c>
      <c r="L203" s="20" t="inlineStr">
        <is>
          <t>+1 (415) 590-0440</t>
        </is>
      </c>
      <c r="M203" s="21" t="inlineStr">
        <is>
          <t>Joseph McGowan</t>
        </is>
      </c>
      <c r="N203" s="22" t="inlineStr">
        <is>
          <t>Co-Founder, Chief Executive Officer &amp; Board Member</t>
        </is>
      </c>
      <c r="O203" s="23" t="inlineStr">
        <is>
          <t>cole@wingocase.com</t>
        </is>
      </c>
      <c r="P203" s="24" t="inlineStr">
        <is>
          <t>+1 (415) 590-0440</t>
        </is>
      </c>
      <c r="Q203" s="25" t="n">
        <v>2012.0</v>
      </c>
      <c r="R203" s="113">
        <f>HYPERLINK("https://my.pitchbook.com?c=152409-25", "View company online")</f>
      </c>
    </row>
    <row r="204">
      <c r="A204" s="27" t="inlineStr">
        <is>
          <t>109137-34</t>
        </is>
      </c>
      <c r="B204" s="28" t="inlineStr">
        <is>
          <t>Wi-Next</t>
        </is>
      </c>
      <c r="C204" s="29" t="inlineStr">
        <is>
          <t>94301</t>
        </is>
      </c>
      <c r="D204" s="30" t="inlineStr">
        <is>
          <t>Provider of Industrial Internet of Things solutions designed to improve process efficiency and quality control. The company collect data from machines and sensors, and use analytics and machine learning to identify inefficiencies and offer operational actions, enabling manufacturers to make their machines smarter and increase return on investment.</t>
        </is>
      </c>
      <c r="E204" s="31" t="inlineStr">
        <is>
          <t>Other Commercial Products</t>
        </is>
      </c>
      <c r="F204" s="32" t="inlineStr">
        <is>
          <t>Palo Alto, CA</t>
        </is>
      </c>
      <c r="G204" s="33" t="inlineStr">
        <is>
          <t>Privately Held (backing)</t>
        </is>
      </c>
      <c r="H204" s="34" t="inlineStr">
        <is>
          <t>Accelerator/Incubator Backed</t>
        </is>
      </c>
      <c r="I204" s="35" t="inlineStr">
        <is>
          <t>Momenta Partners</t>
        </is>
      </c>
      <c r="J204" s="36" t="inlineStr">
        <is>
          <t>www.winext.eu</t>
        </is>
      </c>
      <c r="K204" s="37" t="inlineStr">
        <is>
          <t>info@wi-next.com</t>
        </is>
      </c>
      <c r="L204" s="38" t="inlineStr">
        <is>
          <t>+1 (650) 617-3491</t>
        </is>
      </c>
      <c r="M204" s="39" t="inlineStr">
        <is>
          <t>Armando Pereira</t>
        </is>
      </c>
      <c r="N204" s="40" t="inlineStr">
        <is>
          <t>Chief Executive Officer</t>
        </is>
      </c>
      <c r="O204" s="41" t="inlineStr">
        <is>
          <t>armando.pereira@winext.eu</t>
        </is>
      </c>
      <c r="P204" s="42" t="inlineStr">
        <is>
          <t>+1 (650) 617-3491</t>
        </is>
      </c>
      <c r="Q204" s="43" t="n">
        <v>2015.0</v>
      </c>
      <c r="R204" s="114">
        <f>HYPERLINK("https://my.pitchbook.com?c=109137-34", "View company online")</f>
      </c>
    </row>
    <row r="205">
      <c r="A205" s="9" t="inlineStr">
        <is>
          <t>121182-40</t>
        </is>
      </c>
      <c r="B205" s="10" t="inlineStr">
        <is>
          <t>WineSeq</t>
        </is>
      </c>
      <c r="C205" s="11" t="inlineStr">
        <is>
          <t>94107</t>
        </is>
      </c>
      <c r="D205" s="12" t="inlineStr">
        <is>
          <t>Owner and operator of a company which uses meta genomics for producing wine. The company uses genomics in the wine sector for the process of vinification, and their methodology is known as WineSeq, which is used for wine differentiation.</t>
        </is>
      </c>
      <c r="E205" s="13" t="inlineStr">
        <is>
          <t>Beverages</t>
        </is>
      </c>
      <c r="F205" s="14" t="inlineStr">
        <is>
          <t>San Francisco, CA</t>
        </is>
      </c>
      <c r="G205" s="15" t="inlineStr">
        <is>
          <t>Privately Held (backing)</t>
        </is>
      </c>
      <c r="H205" s="16" t="inlineStr">
        <is>
          <t>Accelerator/Incubator Backed</t>
        </is>
      </c>
      <c r="I205" s="17" t="inlineStr">
        <is>
          <t>Illumina Accelerator, Viking Global Investors</t>
        </is>
      </c>
      <c r="J205" s="18" t="inlineStr">
        <is>
          <t>www.thewineguys.es</t>
        </is>
      </c>
      <c r="K205" s="19" t="inlineStr">
        <is>
          <t>info@thewineguys.es</t>
        </is>
      </c>
      <c r="L205" s="20" t="inlineStr">
        <is>
          <t/>
        </is>
      </c>
      <c r="M205" s="21" t="inlineStr">
        <is>
          <t>Adrián Fernandez</t>
        </is>
      </c>
      <c r="N205" s="22" t="inlineStr">
        <is>
          <t>Co-Founder &amp; Chief Executive Officer</t>
        </is>
      </c>
      <c r="O205" s="23" t="inlineStr">
        <is>
          <t>adrian@thewineguys.es</t>
        </is>
      </c>
      <c r="P205" s="24" t="inlineStr">
        <is>
          <t/>
        </is>
      </c>
      <c r="Q205" s="25" t="n">
        <v>2015.0</v>
      </c>
      <c r="R205" s="113">
        <f>HYPERLINK("https://my.pitchbook.com?c=121182-40", "View company online")</f>
      </c>
    </row>
    <row r="206">
      <c r="A206" s="27" t="inlineStr">
        <is>
          <t>103778-29</t>
        </is>
      </c>
      <c r="B206" s="28" t="inlineStr">
        <is>
          <t>WineMaps</t>
        </is>
      </c>
      <c r="C206" s="29" t="inlineStr">
        <is>
          <t>94114</t>
        </is>
      </c>
      <c r="D206" s="30" t="inlineStr">
        <is>
          <t>Developer of an interactive travel map for wine consumers. The company develops an interactive travel map that allows consumers to discover, learn and interact with wineries, vineyards, wine bars and events around the world.</t>
        </is>
      </c>
      <c r="E206" s="31" t="inlineStr">
        <is>
          <t>Social/Platform Software</t>
        </is>
      </c>
      <c r="F206" s="32" t="inlineStr">
        <is>
          <t>San Francisco, CA</t>
        </is>
      </c>
      <c r="G206" s="33" t="inlineStr">
        <is>
          <t>Privately Held (backing)</t>
        </is>
      </c>
      <c r="H206" s="34" t="inlineStr">
        <is>
          <t>Angel-Backed</t>
        </is>
      </c>
      <c r="I206" s="35" t="inlineStr">
        <is>
          <t/>
        </is>
      </c>
      <c r="J206" s="36" t="inlineStr">
        <is>
          <t>www.winemaps.com</t>
        </is>
      </c>
      <c r="K206" s="37" t="inlineStr">
        <is>
          <t>info@winemaps.com</t>
        </is>
      </c>
      <c r="L206" s="38" t="inlineStr">
        <is>
          <t/>
        </is>
      </c>
      <c r="M206" s="39" t="inlineStr">
        <is>
          <t>Ryan Ornelas</t>
        </is>
      </c>
      <c r="N206" s="40" t="inlineStr">
        <is>
          <t>Chief Executive Officer, Founder and Owner</t>
        </is>
      </c>
      <c r="O206" s="41" t="inlineStr">
        <is>
          <t>ryan@winemaps.com</t>
        </is>
      </c>
      <c r="P206" s="42" t="inlineStr">
        <is>
          <t/>
        </is>
      </c>
      <c r="Q206" s="43" t="n">
        <v>2010.0</v>
      </c>
      <c r="R206" s="114">
        <f>HYPERLINK("https://my.pitchbook.com?c=103778-29", "View company online")</f>
      </c>
    </row>
    <row r="207">
      <c r="A207" s="9" t="inlineStr">
        <is>
          <t>172668-79</t>
        </is>
      </c>
      <c r="B207" s="10" t="inlineStr">
        <is>
          <t>Winecrasher.com</t>
        </is>
      </c>
      <c r="C207" s="85">
        <f>HYPERLINK("https://my.pitchbook.com?rrp=172668-79&amp;type=c", "This Company's information is not available to download. Need this Company? Request availability")</f>
      </c>
      <c r="D207" s="12" t="inlineStr">
        <is>
          <t/>
        </is>
      </c>
      <c r="E207" s="13" t="inlineStr">
        <is>
          <t/>
        </is>
      </c>
      <c r="F207" s="14" t="inlineStr">
        <is>
          <t/>
        </is>
      </c>
      <c r="G207" s="15" t="inlineStr">
        <is>
          <t/>
        </is>
      </c>
      <c r="H207" s="16" t="inlineStr">
        <is>
          <t/>
        </is>
      </c>
      <c r="I207" s="17" t="inlineStr">
        <is>
          <t/>
        </is>
      </c>
      <c r="J207" s="18" t="inlineStr">
        <is>
          <t/>
        </is>
      </c>
      <c r="K207" s="19" t="inlineStr">
        <is>
          <t/>
        </is>
      </c>
      <c r="L207" s="20" t="inlineStr">
        <is>
          <t/>
        </is>
      </c>
      <c r="M207" s="21" t="inlineStr">
        <is>
          <t/>
        </is>
      </c>
      <c r="N207" s="22" t="inlineStr">
        <is>
          <t/>
        </is>
      </c>
      <c r="O207" s="23" t="inlineStr">
        <is>
          <t/>
        </is>
      </c>
      <c r="P207" s="24" t="inlineStr">
        <is>
          <t/>
        </is>
      </c>
      <c r="Q207" s="25" t="inlineStr">
        <is>
          <t/>
        </is>
      </c>
      <c r="R207" s="26" t="inlineStr">
        <is>
          <t/>
        </is>
      </c>
    </row>
    <row r="208">
      <c r="A208" s="27" t="inlineStr">
        <is>
          <t>111398-41</t>
        </is>
      </c>
      <c r="B208" s="28" t="inlineStr">
        <is>
          <t>Wine Hooligans</t>
        </is>
      </c>
      <c r="C208" s="29" t="inlineStr">
        <is>
          <t>95403</t>
        </is>
      </c>
      <c r="D208" s="30" t="inlineStr">
        <is>
          <t>Producer of wines. The company offers wines in different brands such as broadside, cycles gladiator, goyette, 3 ball, stephen vincent and sea monster.</t>
        </is>
      </c>
      <c r="E208" s="31" t="inlineStr">
        <is>
          <t>Beverages</t>
        </is>
      </c>
      <c r="F208" s="32" t="inlineStr">
        <is>
          <t>Santa Rosa, CA</t>
        </is>
      </c>
      <c r="G208" s="33" t="inlineStr">
        <is>
          <t>Privately Held (backing)</t>
        </is>
      </c>
      <c r="H208" s="34" t="inlineStr">
        <is>
          <t>Angel-Backed</t>
        </is>
      </c>
      <c r="I208" s="35" t="inlineStr">
        <is>
          <t/>
        </is>
      </c>
      <c r="J208" s="36" t="inlineStr">
        <is>
          <t>www.winehooligans.com</t>
        </is>
      </c>
      <c r="K208" s="37" t="inlineStr">
        <is>
          <t>info@winehooligans.com</t>
        </is>
      </c>
      <c r="L208" s="38" t="inlineStr">
        <is>
          <t>+1 (707) 527-7355</t>
        </is>
      </c>
      <c r="M208" s="39" t="inlineStr">
        <is>
          <t>Michael Lukan</t>
        </is>
      </c>
      <c r="N208" s="40" t="inlineStr">
        <is>
          <t>Chief Financial Officer, Board Member &amp; Chief Operating Officer</t>
        </is>
      </c>
      <c r="O208" s="41" t="inlineStr">
        <is>
          <t>mlukan@winehooligans.com</t>
        </is>
      </c>
      <c r="P208" s="42" t="inlineStr">
        <is>
          <t>+1 (707) 527-7355</t>
        </is>
      </c>
      <c r="Q208" s="43" t="n">
        <v>2013.0</v>
      </c>
      <c r="R208" s="114">
        <f>HYPERLINK("https://my.pitchbook.com?c=111398-41", "View company online")</f>
      </c>
    </row>
    <row r="209">
      <c r="A209" s="9" t="inlineStr">
        <is>
          <t>124573-24</t>
        </is>
      </c>
      <c r="B209" s="10" t="inlineStr">
        <is>
          <t>Window Street Financial</t>
        </is>
      </c>
      <c r="C209" s="11" t="inlineStr">
        <is>
          <t/>
        </is>
      </c>
      <c r="D209" s="12" t="inlineStr">
        <is>
          <t>Owner and operator of a company providing solar loans to homeowners. The company provides solar financing by allowing the homeowners to take out loans made up of capital from the endowments of universities, foundations and nonprofit organizations.</t>
        </is>
      </c>
      <c r="E209" s="13" t="inlineStr">
        <is>
          <t>Consumer Finance</t>
        </is>
      </c>
      <c r="F209" s="14" t="inlineStr">
        <is>
          <t>San Francisco, CA</t>
        </is>
      </c>
      <c r="G209" s="15" t="inlineStr">
        <is>
          <t>Privately Held (backing)</t>
        </is>
      </c>
      <c r="H209" s="16" t="inlineStr">
        <is>
          <t>Accelerator/Incubator Backed</t>
        </is>
      </c>
      <c r="I209" s="17" t="inlineStr">
        <is>
          <t>Powerhouse (Accelerator), U.S. Department of Energy</t>
        </is>
      </c>
      <c r="J209" s="18" t="inlineStr">
        <is>
          <t>www.sundowment.com</t>
        </is>
      </c>
      <c r="K209" s="19" t="inlineStr">
        <is>
          <t/>
        </is>
      </c>
      <c r="L209" s="20" t="inlineStr">
        <is>
          <t/>
        </is>
      </c>
      <c r="M209" s="21" t="inlineStr">
        <is>
          <t>Ben Purvis</t>
        </is>
      </c>
      <c r="N209" s="22" t="inlineStr">
        <is>
          <t>Co-Founder</t>
        </is>
      </c>
      <c r="O209" s="23" t="inlineStr">
        <is>
          <t>ben@sundowment.com</t>
        </is>
      </c>
      <c r="P209" s="24" t="inlineStr">
        <is>
          <t/>
        </is>
      </c>
      <c r="Q209" s="25" t="n">
        <v>2015.0</v>
      </c>
      <c r="R209" s="113">
        <f>HYPERLINK("https://my.pitchbook.com?c=124573-24", "View company online")</f>
      </c>
    </row>
    <row r="210">
      <c r="A210" s="27" t="inlineStr">
        <is>
          <t>171363-07</t>
        </is>
      </c>
      <c r="B210" s="28" t="inlineStr">
        <is>
          <t>Windfall Data</t>
        </is>
      </c>
      <c r="C210" s="86">
        <f>HYPERLINK("https://my.pitchbook.com?rrp=171363-07&amp;type=c", "This Company's information is not available to download. Need this Company? Request availability")</f>
      </c>
      <c r="D210" s="30" t="inlineStr">
        <is>
          <t/>
        </is>
      </c>
      <c r="E210" s="31" t="inlineStr">
        <is>
          <t/>
        </is>
      </c>
      <c r="F210" s="32" t="inlineStr">
        <is>
          <t/>
        </is>
      </c>
      <c r="G210" s="33" t="inlineStr">
        <is>
          <t/>
        </is>
      </c>
      <c r="H210" s="34" t="inlineStr">
        <is>
          <t/>
        </is>
      </c>
      <c r="I210" s="35" t="inlineStr">
        <is>
          <t/>
        </is>
      </c>
      <c r="J210" s="36" t="inlineStr">
        <is>
          <t/>
        </is>
      </c>
      <c r="K210" s="37" t="inlineStr">
        <is>
          <t/>
        </is>
      </c>
      <c r="L210" s="38" t="inlineStr">
        <is>
          <t/>
        </is>
      </c>
      <c r="M210" s="39" t="inlineStr">
        <is>
          <t/>
        </is>
      </c>
      <c r="N210" s="40" t="inlineStr">
        <is>
          <t/>
        </is>
      </c>
      <c r="O210" s="41" t="inlineStr">
        <is>
          <t/>
        </is>
      </c>
      <c r="P210" s="42" t="inlineStr">
        <is>
          <t/>
        </is>
      </c>
      <c r="Q210" s="43" t="inlineStr">
        <is>
          <t/>
        </is>
      </c>
      <c r="R210" s="44" t="inlineStr">
        <is>
          <t/>
        </is>
      </c>
    </row>
    <row r="211">
      <c r="A211" s="9" t="inlineStr">
        <is>
          <t>181820-80</t>
        </is>
      </c>
      <c r="B211" s="10" t="inlineStr">
        <is>
          <t>Windchime Health</t>
        </is>
      </c>
      <c r="C211" s="11" t="inlineStr">
        <is>
          <t>94507</t>
        </is>
      </c>
      <c r="D211" s="12" t="inlineStr">
        <is>
          <t>Provider of a dental practice platform intended to revolutionize the way dentists and patients find each other. The company's platform connects patients with dentists , helping them attract new patients, replace cancelled appointments and fill bookings, enabling dentist to increase their income.</t>
        </is>
      </c>
      <c r="E211" s="13" t="inlineStr">
        <is>
          <t>Other Healthcare</t>
        </is>
      </c>
      <c r="F211" s="14" t="inlineStr">
        <is>
          <t>Alamo, CA</t>
        </is>
      </c>
      <c r="G211" s="15" t="inlineStr">
        <is>
          <t>Privately Held (backing)</t>
        </is>
      </c>
      <c r="H211" s="16" t="inlineStr">
        <is>
          <t>Angel-Backed</t>
        </is>
      </c>
      <c r="I211" s="17" t="inlineStr">
        <is>
          <t/>
        </is>
      </c>
      <c r="J211" s="18" t="inlineStr">
        <is>
          <t>www.windchimehealth.com</t>
        </is>
      </c>
      <c r="K211" s="19" t="inlineStr">
        <is>
          <t>info@windchimehealth.com</t>
        </is>
      </c>
      <c r="L211" s="20" t="inlineStr">
        <is>
          <t>+1 (415) 580-1131</t>
        </is>
      </c>
      <c r="M211" s="21" t="inlineStr">
        <is>
          <t>Joseph Storm</t>
        </is>
      </c>
      <c r="N211" s="22" t="inlineStr">
        <is>
          <t>President, Chief Executive Officer &amp; Board Member</t>
        </is>
      </c>
      <c r="O211" s="23" t="inlineStr">
        <is>
          <t>jstorm@windchimehealth.com</t>
        </is>
      </c>
      <c r="P211" s="24" t="inlineStr">
        <is>
          <t>+1 (415) 580-1131</t>
        </is>
      </c>
      <c r="Q211" s="25" t="n">
        <v>2017.0</v>
      </c>
      <c r="R211" s="113">
        <f>HYPERLINK("https://my.pitchbook.com?c=181820-80", "View company online")</f>
      </c>
    </row>
    <row r="212">
      <c r="A212" s="27" t="inlineStr">
        <is>
          <t>103043-17</t>
        </is>
      </c>
      <c r="B212" s="28" t="inlineStr">
        <is>
          <t>Windation Energy Systems</t>
        </is>
      </c>
      <c r="C212" s="29" t="inlineStr">
        <is>
          <t>94025</t>
        </is>
      </c>
      <c r="D212" s="30" t="inlineStr">
        <is>
          <t>Producer of wind turbines for urban buildings. The company manufactures and installs wind electricity generating systems for urban areas.</t>
        </is>
      </c>
      <c r="E212" s="31" t="inlineStr">
        <is>
          <t>Other Commercial Services</t>
        </is>
      </c>
      <c r="F212" s="32" t="inlineStr">
        <is>
          <t>Menlo Park, CA</t>
        </is>
      </c>
      <c r="G212" s="33" t="inlineStr">
        <is>
          <t>Privately Held (backing)</t>
        </is>
      </c>
      <c r="H212" s="34" t="inlineStr">
        <is>
          <t>Angel-Backed</t>
        </is>
      </c>
      <c r="I212" s="35" t="inlineStr">
        <is>
          <t/>
        </is>
      </c>
      <c r="J212" s="36" t="inlineStr">
        <is>
          <t>www.windation.com</t>
        </is>
      </c>
      <c r="K212" s="37" t="inlineStr">
        <is>
          <t/>
        </is>
      </c>
      <c r="L212" s="38" t="inlineStr">
        <is>
          <t>+1 (650) 585-4451</t>
        </is>
      </c>
      <c r="M212" s="39" t="inlineStr">
        <is>
          <t>Reza Sheikhrezai</t>
        </is>
      </c>
      <c r="N212" s="40" t="inlineStr">
        <is>
          <t>Founder, Board Member &amp; Chief Executive Officer</t>
        </is>
      </c>
      <c r="O212" s="41" t="inlineStr">
        <is>
          <t/>
        </is>
      </c>
      <c r="P212" s="42" t="inlineStr">
        <is>
          <t>+1 (650) 585-4451</t>
        </is>
      </c>
      <c r="Q212" s="43" t="n">
        <v>2007.0</v>
      </c>
      <c r="R212" s="114">
        <f>HYPERLINK("https://my.pitchbook.com?c=103043-17", "View company online")</f>
      </c>
    </row>
    <row r="213">
      <c r="A213" s="9" t="inlineStr">
        <is>
          <t>109789-39</t>
        </is>
      </c>
      <c r="B213" s="10" t="inlineStr">
        <is>
          <t>Windameer</t>
        </is>
      </c>
      <c r="C213" s="11" t="inlineStr">
        <is>
          <t>90049</t>
        </is>
      </c>
      <c r="D213" s="12" t="inlineStr">
        <is>
          <t>Provider of an application for college students to manage the daily tasks and activities specific to their Greek membership and social circle. The application includes an admin panel for content management and is used by new members, active members, executive council officers and alumni as a private chapter management and social connectivity tool.</t>
        </is>
      </c>
      <c r="E213" s="13" t="inlineStr">
        <is>
          <t>Application Software</t>
        </is>
      </c>
      <c r="F213" s="14" t="inlineStr">
        <is>
          <t>Los Angeles, CA</t>
        </is>
      </c>
      <c r="G213" s="15" t="inlineStr">
        <is>
          <t>Privately Held (backing)</t>
        </is>
      </c>
      <c r="H213" s="16" t="inlineStr">
        <is>
          <t>Accelerator/Incubator Backed</t>
        </is>
      </c>
      <c r="I213" s="17" t="inlineStr">
        <is>
          <t>Thunderbolt Studios</t>
        </is>
      </c>
      <c r="J213" s="18" t="inlineStr">
        <is>
          <t>www.ourhouse.us</t>
        </is>
      </c>
      <c r="K213" s="19" t="inlineStr">
        <is>
          <t>support@ourhouse.us</t>
        </is>
      </c>
      <c r="L213" s="20" t="inlineStr">
        <is>
          <t>+1 (310) 663-7638</t>
        </is>
      </c>
      <c r="M213" s="21" t="inlineStr">
        <is>
          <t>Nathan Troum</t>
        </is>
      </c>
      <c r="N213" s="22" t="inlineStr">
        <is>
          <t>Executive</t>
        </is>
      </c>
      <c r="O213" s="23" t="inlineStr">
        <is>
          <t>nathan@ourhouse.us</t>
        </is>
      </c>
      <c r="P213" s="24" t="inlineStr">
        <is>
          <t>+1 (310) 663-7638</t>
        </is>
      </c>
      <c r="Q213" s="25" t="n">
        <v>2013.0</v>
      </c>
      <c r="R213" s="113">
        <f>HYPERLINK("https://my.pitchbook.com?c=109789-39", "View company online")</f>
      </c>
    </row>
    <row r="214">
      <c r="A214" s="27" t="inlineStr">
        <is>
          <t>174219-31</t>
        </is>
      </c>
      <c r="B214" s="28" t="inlineStr">
        <is>
          <t>WinApp</t>
        </is>
      </c>
      <c r="C214" s="86">
        <f>HYPERLINK("https://my.pitchbook.com?rrp=174219-31&amp;type=c", "This Company's information is not available to download. Need this Company? Request availability")</f>
      </c>
      <c r="D214" s="30" t="inlineStr">
        <is>
          <t/>
        </is>
      </c>
      <c r="E214" s="31" t="inlineStr">
        <is>
          <t/>
        </is>
      </c>
      <c r="F214" s="32" t="inlineStr">
        <is>
          <t/>
        </is>
      </c>
      <c r="G214" s="33" t="inlineStr">
        <is>
          <t/>
        </is>
      </c>
      <c r="H214" s="34" t="inlineStr">
        <is>
          <t/>
        </is>
      </c>
      <c r="I214" s="35" t="inlineStr">
        <is>
          <t/>
        </is>
      </c>
      <c r="J214" s="36" t="inlineStr">
        <is>
          <t/>
        </is>
      </c>
      <c r="K214" s="37" t="inlineStr">
        <is>
          <t/>
        </is>
      </c>
      <c r="L214" s="38" t="inlineStr">
        <is>
          <t/>
        </is>
      </c>
      <c r="M214" s="39" t="inlineStr">
        <is>
          <t/>
        </is>
      </c>
      <c r="N214" s="40" t="inlineStr">
        <is>
          <t/>
        </is>
      </c>
      <c r="O214" s="41" t="inlineStr">
        <is>
          <t/>
        </is>
      </c>
      <c r="P214" s="42" t="inlineStr">
        <is>
          <t/>
        </is>
      </c>
      <c r="Q214" s="43" t="inlineStr">
        <is>
          <t/>
        </is>
      </c>
      <c r="R214" s="44" t="inlineStr">
        <is>
          <t/>
        </is>
      </c>
    </row>
    <row r="215">
      <c r="A215" s="9" t="inlineStr">
        <is>
          <t>179853-40</t>
        </is>
      </c>
      <c r="B215" s="10" t="inlineStr">
        <is>
          <t>Willow Neuroscience</t>
        </is>
      </c>
      <c r="C215" s="11" t="inlineStr">
        <is>
          <t>94608</t>
        </is>
      </c>
      <c r="D215" s="12" t="inlineStr">
        <is>
          <t>The company is currently operating in Stealth mode.</t>
        </is>
      </c>
      <c r="E215" s="13" t="inlineStr">
        <is>
          <t>Other Business Products and Services</t>
        </is>
      </c>
      <c r="F215" s="14" t="inlineStr">
        <is>
          <t>Emeryville, CA</t>
        </is>
      </c>
      <c r="G215" s="15" t="inlineStr">
        <is>
          <t>Privately Held (backing)</t>
        </is>
      </c>
      <c r="H215" s="16" t="inlineStr">
        <is>
          <t>Angel-Backed</t>
        </is>
      </c>
      <c r="I215" s="17" t="inlineStr">
        <is>
          <t/>
        </is>
      </c>
      <c r="J215" s="18" t="inlineStr">
        <is>
          <t/>
        </is>
      </c>
      <c r="K215" s="19" t="inlineStr">
        <is>
          <t/>
        </is>
      </c>
      <c r="L215" s="20" t="inlineStr">
        <is>
          <t>+1 (510) 588-8840</t>
        </is>
      </c>
      <c r="M215" s="21" t="inlineStr">
        <is>
          <t>Mark de Souza</t>
        </is>
      </c>
      <c r="N215" s="22" t="inlineStr">
        <is>
          <t>Executive Officer, Director &amp; Board Member</t>
        </is>
      </c>
      <c r="O215" s="23" t="inlineStr">
        <is>
          <t/>
        </is>
      </c>
      <c r="P215" s="24" t="inlineStr">
        <is>
          <t>+1 (510) 588-8840</t>
        </is>
      </c>
      <c r="Q215" s="25" t="n">
        <v>2016.0</v>
      </c>
      <c r="R215" s="113">
        <f>HYPERLINK("https://my.pitchbook.com?c=179853-40", "View company online")</f>
      </c>
    </row>
    <row r="216">
      <c r="A216" s="27" t="inlineStr">
        <is>
          <t>156617-83</t>
        </is>
      </c>
      <c r="B216" s="28" t="inlineStr">
        <is>
          <t>Willow Cup</t>
        </is>
      </c>
      <c r="C216" s="29" t="inlineStr">
        <is>
          <t/>
        </is>
      </c>
      <c r="D216" s="30" t="inlineStr">
        <is>
          <t>Producer of dairy products from plant-based ingredients intended to offer nutritious protein food as a replacement of milk. The company's dairy products extracts proteins from almonds, cashews, potatoes, chickpeas and other plants and processes them to express a rich and creamy texture, uses technology that breaks down healthy fats in a way that produces a similar molecular structure and consistency to that of cow's milk, enabling individuals to experience animal-free and plant based protein which replace milk.</t>
        </is>
      </c>
      <c r="E216" s="31" t="inlineStr">
        <is>
          <t>Biotechnology</t>
        </is>
      </c>
      <c r="F216" s="32" t="inlineStr">
        <is>
          <t>San Francisco, CA</t>
        </is>
      </c>
      <c r="G216" s="33" t="inlineStr">
        <is>
          <t>Privately Held (backing)</t>
        </is>
      </c>
      <c r="H216" s="34" t="inlineStr">
        <is>
          <t>Accelerator/Incubator Backed</t>
        </is>
      </c>
      <c r="I216" s="35" t="inlineStr">
        <is>
          <t>Communitech (Waterloo), SOSV</t>
        </is>
      </c>
      <c r="J216" s="36" t="inlineStr">
        <is>
          <t>www.willowcup.com</t>
        </is>
      </c>
      <c r="K216" s="37" t="inlineStr">
        <is>
          <t/>
        </is>
      </c>
      <c r="L216" s="38" t="inlineStr">
        <is>
          <t/>
        </is>
      </c>
      <c r="M216" s="39" t="inlineStr">
        <is>
          <t>Sara Bonham</t>
        </is>
      </c>
      <c r="N216" s="40" t="inlineStr">
        <is>
          <t>Co-Founder &amp; Chief Executive Officer</t>
        </is>
      </c>
      <c r="O216" s="41" t="inlineStr">
        <is>
          <t>sara@willowcup.com</t>
        </is>
      </c>
      <c r="P216" s="42" t="inlineStr">
        <is>
          <t/>
        </is>
      </c>
      <c r="Q216" s="43" t="n">
        <v>2015.0</v>
      </c>
      <c r="R216" s="114">
        <f>HYPERLINK("https://my.pitchbook.com?c=156617-83", "View company online")</f>
      </c>
    </row>
    <row r="217">
      <c r="A217" s="9" t="inlineStr">
        <is>
          <t>169425-10</t>
        </is>
      </c>
      <c r="B217" s="10" t="inlineStr">
        <is>
          <t>Wild Daisy</t>
        </is>
      </c>
      <c r="C217" s="11" t="inlineStr">
        <is>
          <t>92121</t>
        </is>
      </c>
      <c r="D217" s="12" t="inlineStr">
        <is>
          <t>Provider of an online shopping platform for clothes, footwear and accessories. The company provides online retailing of different items such as as clothing, accessories, shoes and an exclusive line of natural body care and soap products.</t>
        </is>
      </c>
      <c r="E217" s="13" t="inlineStr">
        <is>
          <t>Internet Retail</t>
        </is>
      </c>
      <c r="F217" s="14" t="inlineStr">
        <is>
          <t>San Diego, CA</t>
        </is>
      </c>
      <c r="G217" s="15" t="inlineStr">
        <is>
          <t>Privately Held (backing)</t>
        </is>
      </c>
      <c r="H217" s="16" t="inlineStr">
        <is>
          <t>Accelerator/Incubator Backed</t>
        </is>
      </c>
      <c r="I217" s="17" t="inlineStr">
        <is>
          <t>Catapult Ideas</t>
        </is>
      </c>
      <c r="J217" s="18" t="inlineStr">
        <is>
          <t>www.wilddaisy.com</t>
        </is>
      </c>
      <c r="K217" s="19" t="inlineStr">
        <is>
          <t>hello@wilddaisy.com</t>
        </is>
      </c>
      <c r="L217" s="20" t="inlineStr">
        <is>
          <t/>
        </is>
      </c>
      <c r="M217" s="21" t="inlineStr">
        <is>
          <t>Joyce Hsieh</t>
        </is>
      </c>
      <c r="N217" s="22" t="inlineStr">
        <is>
          <t>Founder &amp; Chief Executive Officer</t>
        </is>
      </c>
      <c r="O217" s="23" t="inlineStr">
        <is>
          <t>joyce@wilddaisy.com</t>
        </is>
      </c>
      <c r="P217" s="24" t="inlineStr">
        <is>
          <t/>
        </is>
      </c>
      <c r="Q217" s="25" t="n">
        <v>2012.0</v>
      </c>
      <c r="R217" s="113">
        <f>HYPERLINK("https://my.pitchbook.com?c=169425-10", "View company online")</f>
      </c>
    </row>
    <row r="218">
      <c r="A218" s="27" t="inlineStr">
        <is>
          <t>104278-78</t>
        </is>
      </c>
      <c r="B218" s="28" t="inlineStr">
        <is>
          <t>WikiRealty</t>
        </is>
      </c>
      <c r="C218" s="29" t="inlineStr">
        <is>
          <t>90401</t>
        </is>
      </c>
      <c r="D218" s="30" t="inlineStr">
        <is>
          <t>Provider of a knowledge sharing platform about residential and commercial real estate. The company provides an online platform where people gather to share local knowledge about both residential and commercial real estate opportunities.</t>
        </is>
      </c>
      <c r="E218" s="31" t="inlineStr">
        <is>
          <t>Social/Platform Software</t>
        </is>
      </c>
      <c r="F218" s="32" t="inlineStr">
        <is>
          <t>Santa Monica, CA</t>
        </is>
      </c>
      <c r="G218" s="33" t="inlineStr">
        <is>
          <t>Privately Held (backing)</t>
        </is>
      </c>
      <c r="H218" s="34" t="inlineStr">
        <is>
          <t>Angel-Backed</t>
        </is>
      </c>
      <c r="I218" s="35" t="inlineStr">
        <is>
          <t>Albert Moscato, Andy Safron, Bill Earls, Bret Waters, Cheryl Deering, Matthew Grabinski, Mike Fardy, Scott Welsh, Steve Watt, Todd Kendall, William Wicka</t>
        </is>
      </c>
      <c r="J218" s="36" t="inlineStr">
        <is>
          <t>www.wikirealty.com</t>
        </is>
      </c>
      <c r="K218" s="37" t="inlineStr">
        <is>
          <t>info@wikirealty.com</t>
        </is>
      </c>
      <c r="L218" s="38" t="inlineStr">
        <is>
          <t/>
        </is>
      </c>
      <c r="M218" s="39" t="inlineStr">
        <is>
          <t>Sanjay Kuttemperoor</t>
        </is>
      </c>
      <c r="N218" s="40" t="inlineStr">
        <is>
          <t>Founder, Chief Executive Officer &amp; President</t>
        </is>
      </c>
      <c r="O218" s="41" t="inlineStr">
        <is>
          <t>sanjay@vkdevelopment.com</t>
        </is>
      </c>
      <c r="P218" s="42" t="inlineStr">
        <is>
          <t/>
        </is>
      </c>
      <c r="Q218" s="43" t="n">
        <v>2012.0</v>
      </c>
      <c r="R218" s="114">
        <f>HYPERLINK("https://my.pitchbook.com?c=104278-78", "View company online")</f>
      </c>
    </row>
    <row r="219">
      <c r="A219" s="9" t="inlineStr">
        <is>
          <t>60290-29</t>
        </is>
      </c>
      <c r="B219" s="10" t="inlineStr">
        <is>
          <t>WiFi Rail</t>
        </is>
      </c>
      <c r="C219" s="11" t="inlineStr">
        <is>
          <t>94607</t>
        </is>
      </c>
      <c r="D219" s="12" t="inlineStr">
        <is>
          <t>Provider of wireless communications services for transit environments. The company provides high-speed broadband wireless services with a specific focus on commuter rail lines and WiFi on trains.</t>
        </is>
      </c>
      <c r="E219" s="13" t="inlineStr">
        <is>
          <t>Wireless Service Providers</t>
        </is>
      </c>
      <c r="F219" s="14" t="inlineStr">
        <is>
          <t>Oakland, CA</t>
        </is>
      </c>
      <c r="G219" s="15" t="inlineStr">
        <is>
          <t>Privately Held (backing)</t>
        </is>
      </c>
      <c r="H219" s="16" t="inlineStr">
        <is>
          <t>Angel-Backed</t>
        </is>
      </c>
      <c r="I219" s="17" t="inlineStr">
        <is>
          <t>Individual Investor</t>
        </is>
      </c>
      <c r="J219" s="18" t="inlineStr">
        <is>
          <t>www.wifirail.net</t>
        </is>
      </c>
      <c r="K219" s="19" t="inlineStr">
        <is>
          <t/>
        </is>
      </c>
      <c r="L219" s="20" t="inlineStr">
        <is>
          <t>+1 (949) 222-4274</t>
        </is>
      </c>
      <c r="M219" s="21" t="inlineStr">
        <is>
          <t>Cooper Lee</t>
        </is>
      </c>
      <c r="N219" s="22" t="inlineStr">
        <is>
          <t>Co-Founder, Chairman &amp; Chief Executive Officer</t>
        </is>
      </c>
      <c r="O219" s="23" t="inlineStr">
        <is>
          <t>clee@wifirail.net</t>
        </is>
      </c>
      <c r="P219" s="24" t="inlineStr">
        <is>
          <t>+1 (949) 375-2856</t>
        </is>
      </c>
      <c r="Q219" s="25" t="n">
        <v>2005.0</v>
      </c>
      <c r="R219" s="113">
        <f>HYPERLINK("https://my.pitchbook.com?c=60290-29", "View company online")</f>
      </c>
    </row>
    <row r="220">
      <c r="A220" s="27" t="inlineStr">
        <is>
          <t>99065-71</t>
        </is>
      </c>
      <c r="B220" s="28" t="inlineStr">
        <is>
          <t>Wicked Loot</t>
        </is>
      </c>
      <c r="C220" s="29" t="inlineStr">
        <is>
          <t>94065</t>
        </is>
      </c>
      <c r="D220" s="30" t="inlineStr">
        <is>
          <t>Owner and operator of a game development studio. The company designs and develops mobile gaming applications and digital downloadable gaming software for their customers.</t>
        </is>
      </c>
      <c r="E220" s="31" t="inlineStr">
        <is>
          <t>Application Software</t>
        </is>
      </c>
      <c r="F220" s="32" t="inlineStr">
        <is>
          <t>Redwood City, CA</t>
        </is>
      </c>
      <c r="G220" s="33" t="inlineStr">
        <is>
          <t>Privately Held (backing)</t>
        </is>
      </c>
      <c r="H220" s="34" t="inlineStr">
        <is>
          <t>Accelerator/Incubator Backed</t>
        </is>
      </c>
      <c r="I220" s="35" t="inlineStr">
        <is>
          <t>Blue Startups</t>
        </is>
      </c>
      <c r="J220" s="36" t="inlineStr">
        <is>
          <t>www.wickedloot.com</t>
        </is>
      </c>
      <c r="K220" s="37" t="inlineStr">
        <is>
          <t/>
        </is>
      </c>
      <c r="L220" s="38" t="inlineStr">
        <is>
          <t>+1 (650) 288-9657</t>
        </is>
      </c>
      <c r="M220" s="39" t="inlineStr">
        <is>
          <t>John Lee</t>
        </is>
      </c>
      <c r="N220" s="40" t="inlineStr">
        <is>
          <t>Co-Founder &amp; Creative Director</t>
        </is>
      </c>
      <c r="O220" s="41" t="inlineStr">
        <is>
          <t>john@wickedloot.com</t>
        </is>
      </c>
      <c r="P220" s="42" t="inlineStr">
        <is>
          <t>+1 (650) 288-9657</t>
        </is>
      </c>
      <c r="Q220" s="43" t="n">
        <v>2013.0</v>
      </c>
      <c r="R220" s="114">
        <f>HYPERLINK("https://my.pitchbook.com?c=99065-71", "View company online")</f>
      </c>
    </row>
    <row r="221">
      <c r="A221" s="9" t="inlineStr">
        <is>
          <t>172653-22</t>
        </is>
      </c>
      <c r="B221" s="10" t="inlineStr">
        <is>
          <t>Whooos Reading</t>
        </is>
      </c>
      <c r="C221" s="85">
        <f>HYPERLINK("https://my.pitchbook.com?rrp=172653-22&amp;type=c", "This Company's information is not available to download. Need this Company? Request availability")</f>
      </c>
      <c r="D221" s="12" t="inlineStr">
        <is>
          <t/>
        </is>
      </c>
      <c r="E221" s="13" t="inlineStr">
        <is>
          <t/>
        </is>
      </c>
      <c r="F221" s="14" t="inlineStr">
        <is>
          <t/>
        </is>
      </c>
      <c r="G221" s="15" t="inlineStr">
        <is>
          <t/>
        </is>
      </c>
      <c r="H221" s="16" t="inlineStr">
        <is>
          <t/>
        </is>
      </c>
      <c r="I221" s="17" t="inlineStr">
        <is>
          <t/>
        </is>
      </c>
      <c r="J221" s="18" t="inlineStr">
        <is>
          <t/>
        </is>
      </c>
      <c r="K221" s="19" t="inlineStr">
        <is>
          <t/>
        </is>
      </c>
      <c r="L221" s="20" t="inlineStr">
        <is>
          <t/>
        </is>
      </c>
      <c r="M221" s="21" t="inlineStr">
        <is>
          <t/>
        </is>
      </c>
      <c r="N221" s="22" t="inlineStr">
        <is>
          <t/>
        </is>
      </c>
      <c r="O221" s="23" t="inlineStr">
        <is>
          <t/>
        </is>
      </c>
      <c r="P221" s="24" t="inlineStr">
        <is>
          <t/>
        </is>
      </c>
      <c r="Q221" s="25" t="inlineStr">
        <is>
          <t/>
        </is>
      </c>
      <c r="R221" s="26" t="inlineStr">
        <is>
          <t/>
        </is>
      </c>
    </row>
    <row r="222">
      <c r="A222" s="27" t="inlineStr">
        <is>
          <t>152942-32</t>
        </is>
      </c>
      <c r="B222" s="28" t="inlineStr">
        <is>
          <t>Wholemeaning Technologies</t>
        </is>
      </c>
      <c r="C222" s="29" t="inlineStr">
        <is>
          <t>94401</t>
        </is>
      </c>
      <c r="D222" s="30" t="inlineStr">
        <is>
          <t>Provider of an online feedback analytics platform. The company offers a Web-based platform that enables business to filters out all the irrelevant data and make well informed decisions.</t>
        </is>
      </c>
      <c r="E222" s="31" t="inlineStr">
        <is>
          <t>Business/Productivity Software</t>
        </is>
      </c>
      <c r="F222" s="32" t="inlineStr">
        <is>
          <t>San Mateo, CA</t>
        </is>
      </c>
      <c r="G222" s="33" t="inlineStr">
        <is>
          <t>Privately Held (backing)</t>
        </is>
      </c>
      <c r="H222" s="34" t="inlineStr">
        <is>
          <t>Accelerator/Incubator Backed</t>
        </is>
      </c>
      <c r="I222" s="35" t="inlineStr">
        <is>
          <t>Alchemist Accelerator</t>
        </is>
      </c>
      <c r="J222" s="36" t="inlineStr">
        <is>
          <t>www.wholemeaning.com</t>
        </is>
      </c>
      <c r="K222" s="37" t="inlineStr">
        <is>
          <t>contact@wholemeaning.com</t>
        </is>
      </c>
      <c r="L222" s="38" t="inlineStr">
        <is>
          <t/>
        </is>
      </c>
      <c r="M222" s="39" t="inlineStr">
        <is>
          <t>Andres Vergara</t>
        </is>
      </c>
      <c r="N222" s="40" t="inlineStr">
        <is>
          <t>Co-Founder &amp; Chief Executive Officer</t>
        </is>
      </c>
      <c r="O222" s="41" t="inlineStr">
        <is>
          <t>avergara@wholemeaning.com</t>
        </is>
      </c>
      <c r="P222" s="42" t="inlineStr">
        <is>
          <t/>
        </is>
      </c>
      <c r="Q222" s="43" t="n">
        <v>2013.0</v>
      </c>
      <c r="R222" s="114">
        <f>HYPERLINK("https://my.pitchbook.com?c=152942-32", "View company online")</f>
      </c>
    </row>
    <row r="223">
      <c r="A223" s="9" t="inlineStr">
        <is>
          <t>61007-41</t>
        </is>
      </c>
      <c r="B223" s="10" t="inlineStr">
        <is>
          <t>WhoAPI</t>
        </is>
      </c>
      <c r="C223" s="11" t="inlineStr">
        <is>
          <t>94041</t>
        </is>
      </c>
      <c r="D223" s="12" t="inlineStr">
        <is>
          <t>Provider of domain data via the API. The company provides domain availability and advanced WHOIS data output.</t>
        </is>
      </c>
      <c r="E223" s="13" t="inlineStr">
        <is>
          <t>Software Development Applications</t>
        </is>
      </c>
      <c r="F223" s="14" t="inlineStr">
        <is>
          <t>Mountain View, CA</t>
        </is>
      </c>
      <c r="G223" s="15" t="inlineStr">
        <is>
          <t>Privately Held (backing)</t>
        </is>
      </c>
      <c r="H223" s="16" t="inlineStr">
        <is>
          <t>Accelerator/Incubator Backed</t>
        </is>
      </c>
      <c r="I223" s="17" t="inlineStr">
        <is>
          <t>500 Startups, Ben Bolen, Bicro, Franko Rados, Isaac Saldana, StartLabs (San Francisco), Voja Lalich</t>
        </is>
      </c>
      <c r="J223" s="18" t="inlineStr">
        <is>
          <t>www.whoapi.com</t>
        </is>
      </c>
      <c r="K223" s="19" t="inlineStr">
        <is>
          <t>support@whoapi.com</t>
        </is>
      </c>
      <c r="L223" s="20" t="inlineStr">
        <is>
          <t>+1 (650) 336-8274</t>
        </is>
      </c>
      <c r="M223" s="21" t="inlineStr">
        <is>
          <t>Goran Duskic</t>
        </is>
      </c>
      <c r="N223" s="22" t="inlineStr">
        <is>
          <t>Co-Founder &amp; Chief Executive Officer</t>
        </is>
      </c>
      <c r="O223" s="23" t="inlineStr">
        <is>
          <t>goran@whoapi.com</t>
        </is>
      </c>
      <c r="P223" s="24" t="inlineStr">
        <is>
          <t>+1 (650) 336-8274</t>
        </is>
      </c>
      <c r="Q223" s="25" t="n">
        <v>2011.0</v>
      </c>
      <c r="R223" s="113">
        <f>HYPERLINK("https://my.pitchbook.com?c=61007-41", "View company online")</f>
      </c>
    </row>
    <row r="224">
      <c r="A224" s="27" t="inlineStr">
        <is>
          <t>121653-46</t>
        </is>
      </c>
      <c r="B224" s="28" t="inlineStr">
        <is>
          <t>Whizz Systems</t>
        </is>
      </c>
      <c r="C224" s="86">
        <f>HYPERLINK("https://my.pitchbook.com?rrp=121653-46&amp;type=c", "This Company's information is not available to download. Need this Company? Request availability")</f>
      </c>
      <c r="D224" s="30" t="inlineStr">
        <is>
          <t/>
        </is>
      </c>
      <c r="E224" s="31" t="inlineStr">
        <is>
          <t/>
        </is>
      </c>
      <c r="F224" s="32" t="inlineStr">
        <is>
          <t/>
        </is>
      </c>
      <c r="G224" s="33" t="inlineStr">
        <is>
          <t/>
        </is>
      </c>
      <c r="H224" s="34" t="inlineStr">
        <is>
          <t/>
        </is>
      </c>
      <c r="I224" s="35" t="inlineStr">
        <is>
          <t/>
        </is>
      </c>
      <c r="J224" s="36" t="inlineStr">
        <is>
          <t/>
        </is>
      </c>
      <c r="K224" s="37" t="inlineStr">
        <is>
          <t/>
        </is>
      </c>
      <c r="L224" s="38" t="inlineStr">
        <is>
          <t/>
        </is>
      </c>
      <c r="M224" s="39" t="inlineStr">
        <is>
          <t/>
        </is>
      </c>
      <c r="N224" s="40" t="inlineStr">
        <is>
          <t/>
        </is>
      </c>
      <c r="O224" s="41" t="inlineStr">
        <is>
          <t/>
        </is>
      </c>
      <c r="P224" s="42" t="inlineStr">
        <is>
          <t/>
        </is>
      </c>
      <c r="Q224" s="43" t="inlineStr">
        <is>
          <t/>
        </is>
      </c>
      <c r="R224" s="44" t="inlineStr">
        <is>
          <t/>
        </is>
      </c>
    </row>
    <row r="225">
      <c r="A225" s="9" t="inlineStr">
        <is>
          <t>171219-70</t>
        </is>
      </c>
      <c r="B225" s="10" t="inlineStr">
        <is>
          <t>Whiz Tutor</t>
        </is>
      </c>
      <c r="C225" s="85">
        <f>HYPERLINK("https://my.pitchbook.com?rrp=171219-70&amp;type=c", "This Company's information is not available to download. Need this Company? Request availability")</f>
      </c>
      <c r="D225" s="12" t="inlineStr">
        <is>
          <t/>
        </is>
      </c>
      <c r="E225" s="13" t="inlineStr">
        <is>
          <t/>
        </is>
      </c>
      <c r="F225" s="14" t="inlineStr">
        <is>
          <t/>
        </is>
      </c>
      <c r="G225" s="15" t="inlineStr">
        <is>
          <t/>
        </is>
      </c>
      <c r="H225" s="16" t="inlineStr">
        <is>
          <t/>
        </is>
      </c>
      <c r="I225" s="17" t="inlineStr">
        <is>
          <t/>
        </is>
      </c>
      <c r="J225" s="18" t="inlineStr">
        <is>
          <t/>
        </is>
      </c>
      <c r="K225" s="19" t="inlineStr">
        <is>
          <t/>
        </is>
      </c>
      <c r="L225" s="20" t="inlineStr">
        <is>
          <t/>
        </is>
      </c>
      <c r="M225" s="21" t="inlineStr">
        <is>
          <t/>
        </is>
      </c>
      <c r="N225" s="22" t="inlineStr">
        <is>
          <t/>
        </is>
      </c>
      <c r="O225" s="23" t="inlineStr">
        <is>
          <t/>
        </is>
      </c>
      <c r="P225" s="24" t="inlineStr">
        <is>
          <t/>
        </is>
      </c>
      <c r="Q225" s="25" t="inlineStr">
        <is>
          <t/>
        </is>
      </c>
      <c r="R225" s="26" t="inlineStr">
        <is>
          <t/>
        </is>
      </c>
    </row>
    <row r="226">
      <c r="A226" s="27" t="inlineStr">
        <is>
          <t>151568-47</t>
        </is>
      </c>
      <c r="B226" s="28" t="inlineStr">
        <is>
          <t>WhiteCoat</t>
        </is>
      </c>
      <c r="C226" s="29" t="inlineStr">
        <is>
          <t>91103</t>
        </is>
      </c>
      <c r="D226" s="30" t="inlineStr">
        <is>
          <t>Provider of an online doctors appointment booking platform. The company offers a Web-based platform that enables users to request and schedule an appointment with a Nurse Practitioner or any healthcare professional online.</t>
        </is>
      </c>
      <c r="E226" s="31" t="inlineStr">
        <is>
          <t>Other Healthcare Services</t>
        </is>
      </c>
      <c r="F226" s="32" t="inlineStr">
        <is>
          <t>Pasadena, CA</t>
        </is>
      </c>
      <c r="G226" s="33" t="inlineStr">
        <is>
          <t>Privately Held (backing)</t>
        </is>
      </c>
      <c r="H226" s="34" t="inlineStr">
        <is>
          <t>Angel-Backed</t>
        </is>
      </c>
      <c r="I226" s="35" t="inlineStr">
        <is>
          <t>Doug Duckjun Lee, Idealab</t>
        </is>
      </c>
      <c r="J226" s="36" t="inlineStr">
        <is>
          <t/>
        </is>
      </c>
      <c r="K226" s="37" t="inlineStr">
        <is>
          <t>hello@whitecoat.healthcare</t>
        </is>
      </c>
      <c r="L226" s="38" t="inlineStr">
        <is>
          <t>+1 (888) 223-1207</t>
        </is>
      </c>
      <c r="M226" s="39" t="inlineStr">
        <is>
          <t>Mike Kwon</t>
        </is>
      </c>
      <c r="N226" s="40" t="inlineStr">
        <is>
          <t>Co-Founder, Chief Executive Officer &amp; Board Member</t>
        </is>
      </c>
      <c r="O226" s="41" t="inlineStr">
        <is>
          <t>mike@whitecoat.healthcare</t>
        </is>
      </c>
      <c r="P226" s="42" t="inlineStr">
        <is>
          <t>+1 (888) 223-1207</t>
        </is>
      </c>
      <c r="Q226" s="43" t="n">
        <v>2015.0</v>
      </c>
      <c r="R226" s="114">
        <f>HYPERLINK("https://my.pitchbook.com?c=151568-47", "View company online")</f>
      </c>
    </row>
    <row r="227">
      <c r="A227" s="9" t="inlineStr">
        <is>
          <t>124234-03</t>
        </is>
      </c>
      <c r="B227" s="10" t="inlineStr">
        <is>
          <t>White Tie Fantasy</t>
        </is>
      </c>
      <c r="C227" s="11" t="inlineStr">
        <is>
          <t>95928</t>
        </is>
      </c>
      <c r="D227" s="12" t="inlineStr">
        <is>
          <t>Developer of an online sports fantasy game. The company develops a fantasy game which allows users to compete and win cash as prizes.</t>
        </is>
      </c>
      <c r="E227" s="13" t="inlineStr">
        <is>
          <t>Entertainment Software</t>
        </is>
      </c>
      <c r="F227" s="14" t="inlineStr">
        <is>
          <t>Chico, CA</t>
        </is>
      </c>
      <c r="G227" s="15" t="inlineStr">
        <is>
          <t>Privately Held (backing)</t>
        </is>
      </c>
      <c r="H227" s="16" t="inlineStr">
        <is>
          <t>Accelerator/Incubator Backed</t>
        </is>
      </c>
      <c r="I227" s="17" t="inlineStr">
        <is>
          <t>Chicostart</t>
        </is>
      </c>
      <c r="J227" s="18" t="inlineStr">
        <is>
          <t>www.whitetiefantasy.com</t>
        </is>
      </c>
      <c r="K227" s="19" t="inlineStr">
        <is>
          <t/>
        </is>
      </c>
      <c r="L227" s="20" t="inlineStr">
        <is>
          <t>+1 (209) 304-2794</t>
        </is>
      </c>
      <c r="M227" s="21" t="inlineStr">
        <is>
          <t>Jered Johnson</t>
        </is>
      </c>
      <c r="N227" s="22" t="inlineStr">
        <is>
          <t>Co-Founder, Board Member, Director &amp; President</t>
        </is>
      </c>
      <c r="O227" s="23" t="inlineStr">
        <is>
          <t>jered@whitetiefantasy.com</t>
        </is>
      </c>
      <c r="P227" s="24" t="inlineStr">
        <is>
          <t>+1 (209) 304-2794</t>
        </is>
      </c>
      <c r="Q227" s="25" t="n">
        <v>2015.0</v>
      </c>
      <c r="R227" s="113">
        <f>HYPERLINK("https://my.pitchbook.com?c=124234-03", "View company online")</f>
      </c>
    </row>
    <row r="228">
      <c r="A228" s="27" t="inlineStr">
        <is>
          <t>156737-71</t>
        </is>
      </c>
      <c r="B228" s="28" t="inlineStr">
        <is>
          <t>White Goods Technologies</t>
        </is>
      </c>
      <c r="C228" s="29" t="inlineStr">
        <is>
          <t>94539</t>
        </is>
      </c>
      <c r="D228" s="30" t="inlineStr">
        <is>
          <t>Developer of technology for consumer appliance industry. The company's technology offers industry leaders to meet consumers needs for validated, high quality products and delivered through known market channels.</t>
        </is>
      </c>
      <c r="E228" s="31" t="inlineStr">
        <is>
          <t>Other Commercial Services</t>
        </is>
      </c>
      <c r="F228" s="32" t="inlineStr">
        <is>
          <t>Fremont, CA</t>
        </is>
      </c>
      <c r="G228" s="33" t="inlineStr">
        <is>
          <t>Privately Held (backing)</t>
        </is>
      </c>
      <c r="H228" s="34" t="inlineStr">
        <is>
          <t>Angel-Backed</t>
        </is>
      </c>
      <c r="I228" s="35" t="inlineStr">
        <is>
          <t/>
        </is>
      </c>
      <c r="J228" s="36" t="inlineStr">
        <is>
          <t>www.wgotech.com</t>
        </is>
      </c>
      <c r="K228" s="37" t="inlineStr">
        <is>
          <t>info@wgotech.com</t>
        </is>
      </c>
      <c r="L228" s="38" t="inlineStr">
        <is>
          <t>+1 (510) 543-3063</t>
        </is>
      </c>
      <c r="M228" s="39" t="inlineStr">
        <is>
          <t>William Prevost</t>
        </is>
      </c>
      <c r="N228" s="40" t="inlineStr">
        <is>
          <t>Executive &amp; Board Member</t>
        </is>
      </c>
      <c r="O228" s="41" t="inlineStr">
        <is>
          <t/>
        </is>
      </c>
      <c r="P228" s="42" t="inlineStr">
        <is>
          <t>+1 (510) 543-3063</t>
        </is>
      </c>
      <c r="Q228" s="43" t="n">
        <v>2013.0</v>
      </c>
      <c r="R228" s="114">
        <f>HYPERLINK("https://my.pitchbook.com?c=156737-71", "View company online")</f>
      </c>
    </row>
    <row r="229">
      <c r="A229" s="9" t="inlineStr">
        <is>
          <t>167441-59</t>
        </is>
      </c>
      <c r="B229" s="10" t="inlineStr">
        <is>
          <t>Whistle (Telecommunications)</t>
        </is>
      </c>
      <c r="C229" s="11" t="inlineStr">
        <is>
          <t/>
        </is>
      </c>
      <c r="D229" s="12" t="inlineStr">
        <is>
          <t>Developer of a mobile application that connects customers and businesses. The company specializes in developing a mobile based application that enables hotels to communicate with guests and other business associates through mobile messaging apps and SMS.</t>
        </is>
      </c>
      <c r="E229" s="13" t="inlineStr">
        <is>
          <t>Application Software</t>
        </is>
      </c>
      <c r="F229" s="14" t="inlineStr">
        <is>
          <t>Los Angeles, CA</t>
        </is>
      </c>
      <c r="G229" s="15" t="inlineStr">
        <is>
          <t>Privately Held (backing)</t>
        </is>
      </c>
      <c r="H229" s="16" t="inlineStr">
        <is>
          <t>Angel-Backed</t>
        </is>
      </c>
      <c r="I229" s="17" t="inlineStr">
        <is>
          <t>LH Ventures, Tech Coast Angels</t>
        </is>
      </c>
      <c r="J229" s="18" t="inlineStr">
        <is>
          <t>www.trywhistle.com</t>
        </is>
      </c>
      <c r="K229" s="19" t="inlineStr">
        <is>
          <t>info@trywhistle.com</t>
        </is>
      </c>
      <c r="L229" s="20" t="inlineStr">
        <is>
          <t>+1 (323) 476-1703</t>
        </is>
      </c>
      <c r="M229" s="21" t="inlineStr">
        <is>
          <t>Christopher Hovanessian</t>
        </is>
      </c>
      <c r="N229" s="22" t="inlineStr">
        <is>
          <t>Co-Founder</t>
        </is>
      </c>
      <c r="O229" s="23" t="inlineStr">
        <is>
          <t/>
        </is>
      </c>
      <c r="P229" s="24" t="inlineStr">
        <is>
          <t>+1 (323) 476-1703</t>
        </is>
      </c>
      <c r="Q229" s="25" t="n">
        <v>2014.0</v>
      </c>
      <c r="R229" s="113">
        <f>HYPERLINK("https://my.pitchbook.com?c=167441-59", "View company online")</f>
      </c>
    </row>
    <row r="230">
      <c r="A230" s="27" t="inlineStr">
        <is>
          <t>118050-49</t>
        </is>
      </c>
      <c r="B230" s="28" t="inlineStr">
        <is>
          <t>Whil</t>
        </is>
      </c>
      <c r="C230" s="29" t="inlineStr">
        <is>
          <t>94109</t>
        </is>
      </c>
      <c r="D230" s="30" t="inlineStr">
        <is>
          <t>Developer of digital training platform designed to help employees reduce stress, increase resiliency and improve performance. The company's digital training platform provides wellness, health and mindfulness training programs to help employees accomplish their most important health, performance, relationship and sleep goals, enabling companies reduce employee stress and improve business outcomes.</t>
        </is>
      </c>
      <c r="E230" s="31" t="inlineStr">
        <is>
          <t>Education and Training Services (B2B)</t>
        </is>
      </c>
      <c r="F230" s="32" t="inlineStr">
        <is>
          <t>San Francisco, CA</t>
        </is>
      </c>
      <c r="G230" s="33" t="inlineStr">
        <is>
          <t>Privately Held (backing)</t>
        </is>
      </c>
      <c r="H230" s="34" t="inlineStr">
        <is>
          <t>Accelerator/Incubator Backed</t>
        </is>
      </c>
      <c r="I230" s="35" t="inlineStr">
        <is>
          <t>Plug and Play Tech Center</t>
        </is>
      </c>
      <c r="J230" s="36" t="inlineStr">
        <is>
          <t>www.whil.com</t>
        </is>
      </c>
      <c r="K230" s="37" t="inlineStr">
        <is>
          <t>connect@whil.com</t>
        </is>
      </c>
      <c r="L230" s="38" t="inlineStr">
        <is>
          <t/>
        </is>
      </c>
      <c r="M230" s="39" t="inlineStr">
        <is>
          <t>Joe Burton</t>
        </is>
      </c>
      <c r="N230" s="40" t="inlineStr">
        <is>
          <t>Founder &amp; Chief Executive Officer</t>
        </is>
      </c>
      <c r="O230" s="41" t="inlineStr">
        <is>
          <t>jburton@whil.com</t>
        </is>
      </c>
      <c r="P230" s="42" t="inlineStr">
        <is>
          <t/>
        </is>
      </c>
      <c r="Q230" s="43" t="n">
        <v>2014.0</v>
      </c>
      <c r="R230" s="114">
        <f>HYPERLINK("https://my.pitchbook.com?c=118050-49", "View company online")</f>
      </c>
    </row>
    <row r="231">
      <c r="A231" s="9" t="inlineStr">
        <is>
          <t>122411-17</t>
        </is>
      </c>
      <c r="B231" s="10" t="inlineStr">
        <is>
          <t>WhereWithWho</t>
        </is>
      </c>
      <c r="C231" s="11" t="inlineStr">
        <is>
          <t/>
        </is>
      </c>
      <c r="D231" s="12" t="inlineStr">
        <is>
          <t>Developer of a social polling application. The company engages in polling between friends as to the place they prefer to visit and also the company.</t>
        </is>
      </c>
      <c r="E231" s="13" t="inlineStr">
        <is>
          <t>Application Software</t>
        </is>
      </c>
      <c r="F231" s="14" t="inlineStr">
        <is>
          <t>Santa Monica, CA</t>
        </is>
      </c>
      <c r="G231" s="15" t="inlineStr">
        <is>
          <t>Privately Held (backing)</t>
        </is>
      </c>
      <c r="H231" s="16" t="inlineStr">
        <is>
          <t>Angel-Backed</t>
        </is>
      </c>
      <c r="I231" s="17" t="inlineStr">
        <is>
          <t>Howard Marks</t>
        </is>
      </c>
      <c r="J231" s="18" t="inlineStr">
        <is>
          <t>www.wherewithwhoapp.com</t>
        </is>
      </c>
      <c r="K231" s="19" t="inlineStr">
        <is>
          <t>help@wherewithwhoapp.com</t>
        </is>
      </c>
      <c r="L231" s="20" t="inlineStr">
        <is>
          <t/>
        </is>
      </c>
      <c r="M231" s="21" t="inlineStr">
        <is>
          <t>Max Siskin</t>
        </is>
      </c>
      <c r="N231" s="22" t="inlineStr">
        <is>
          <t>Co-Founder</t>
        </is>
      </c>
      <c r="O231" s="23" t="inlineStr">
        <is>
          <t>max@nayacoin.com</t>
        </is>
      </c>
      <c r="P231" s="24" t="inlineStr">
        <is>
          <t>+1 (415) 555-1234</t>
        </is>
      </c>
      <c r="Q231" s="25" t="inlineStr">
        <is>
          <t/>
        </is>
      </c>
      <c r="R231" s="113">
        <f>HYPERLINK("https://my.pitchbook.com?c=122411-17", "View company online")</f>
      </c>
    </row>
    <row r="232">
      <c r="A232" s="27" t="inlineStr">
        <is>
          <t>104797-63</t>
        </is>
      </c>
      <c r="B232" s="28" t="inlineStr">
        <is>
          <t>When You Wish</t>
        </is>
      </c>
      <c r="C232" s="29" t="inlineStr">
        <is>
          <t>90292</t>
        </is>
      </c>
      <c r="D232" s="30" t="inlineStr">
        <is>
          <t>Provider of online fund raising platform. The company provides a platform to raise donation where the customers run a campaign drive for their cause.</t>
        </is>
      </c>
      <c r="E232" s="31" t="inlineStr">
        <is>
          <t>Social/Platform Software</t>
        </is>
      </c>
      <c r="F232" s="32" t="inlineStr">
        <is>
          <t>Marina del Rey, CA</t>
        </is>
      </c>
      <c r="G232" s="33" t="inlineStr">
        <is>
          <t>Privately Held (backing)</t>
        </is>
      </c>
      <c r="H232" s="34" t="inlineStr">
        <is>
          <t>Angel-Backed</t>
        </is>
      </c>
      <c r="I232" s="35" t="inlineStr">
        <is>
          <t>John Mackey, Zelda Marzec</t>
        </is>
      </c>
      <c r="J232" s="36" t="inlineStr">
        <is>
          <t>www.whenyouwish.com</t>
        </is>
      </c>
      <c r="K232" s="37" t="inlineStr">
        <is>
          <t>info@whenyouwish.com</t>
        </is>
      </c>
      <c r="L232" s="38" t="inlineStr">
        <is>
          <t/>
        </is>
      </c>
      <c r="M232" s="39" t="inlineStr">
        <is>
          <t>Philipp Czernin</t>
        </is>
      </c>
      <c r="N232" s="40" t="inlineStr">
        <is>
          <t>Chief Financial Officer</t>
        </is>
      </c>
      <c r="O232" s="41" t="inlineStr">
        <is>
          <t>philipp@whenyouwish.com</t>
        </is>
      </c>
      <c r="P232" s="42" t="inlineStr">
        <is>
          <t/>
        </is>
      </c>
      <c r="Q232" s="43" t="n">
        <v>2011.0</v>
      </c>
      <c r="R232" s="114">
        <f>HYPERLINK("https://my.pitchbook.com?c=104797-63", "View company online")</f>
      </c>
    </row>
    <row r="233">
      <c r="A233" s="9" t="inlineStr">
        <is>
          <t>104274-73</t>
        </is>
      </c>
      <c r="B233" s="10" t="inlineStr">
        <is>
          <t>WhatsOpen</t>
        </is>
      </c>
      <c r="C233" s="11" t="inlineStr">
        <is>
          <t/>
        </is>
      </c>
      <c r="D233" s="12" t="inlineStr">
        <is>
          <t>Developer of a search engine platform. The company's software enables users and individuals to look up what, when which stores are open.</t>
        </is>
      </c>
      <c r="E233" s="13" t="inlineStr">
        <is>
          <t>Information Services (B2C)</t>
        </is>
      </c>
      <c r="F233" s="14" t="inlineStr">
        <is>
          <t>Lucerne Valley, CA</t>
        </is>
      </c>
      <c r="G233" s="15" t="inlineStr">
        <is>
          <t>Privately Held (backing)</t>
        </is>
      </c>
      <c r="H233" s="16" t="inlineStr">
        <is>
          <t>Accelerator/Incubator Backed</t>
        </is>
      </c>
      <c r="I233" s="17" t="inlineStr">
        <is>
          <t>Ambistia Ventures</t>
        </is>
      </c>
      <c r="J233" s="18" t="inlineStr">
        <is>
          <t>www.whatsopen.com</t>
        </is>
      </c>
      <c r="K233" s="19" t="inlineStr">
        <is>
          <t>whatsopen.com@gmail.com</t>
        </is>
      </c>
      <c r="L233" s="20" t="inlineStr">
        <is>
          <t/>
        </is>
      </c>
      <c r="M233" s="21" t="inlineStr">
        <is>
          <t>Jason Schultz</t>
        </is>
      </c>
      <c r="N233" s="22" t="inlineStr">
        <is>
          <t>Director</t>
        </is>
      </c>
      <c r="O233" s="23" t="inlineStr">
        <is>
          <t/>
        </is>
      </c>
      <c r="P233" s="24" t="inlineStr">
        <is>
          <t/>
        </is>
      </c>
      <c r="Q233" s="25" t="inlineStr">
        <is>
          <t/>
        </is>
      </c>
      <c r="R233" s="113">
        <f>HYPERLINK("https://my.pitchbook.com?c=104274-73", "View company online")</f>
      </c>
    </row>
    <row r="234">
      <c r="A234" s="27" t="inlineStr">
        <is>
          <t>173981-26</t>
        </is>
      </c>
      <c r="B234" s="28" t="inlineStr">
        <is>
          <t>WhatsCrackin</t>
        </is>
      </c>
      <c r="C234" s="86">
        <f>HYPERLINK("https://my.pitchbook.com?rrp=173981-26&amp;type=c", "This Company's information is not available to download. Need this Company? Request availability")</f>
      </c>
      <c r="D234" s="30" t="inlineStr">
        <is>
          <t/>
        </is>
      </c>
      <c r="E234" s="31" t="inlineStr">
        <is>
          <t/>
        </is>
      </c>
      <c r="F234" s="32" t="inlineStr">
        <is>
          <t/>
        </is>
      </c>
      <c r="G234" s="33" t="inlineStr">
        <is>
          <t/>
        </is>
      </c>
      <c r="H234" s="34" t="inlineStr">
        <is>
          <t/>
        </is>
      </c>
      <c r="I234" s="35" t="inlineStr">
        <is>
          <t/>
        </is>
      </c>
      <c r="J234" s="36" t="inlineStr">
        <is>
          <t/>
        </is>
      </c>
      <c r="K234" s="37" t="inlineStr">
        <is>
          <t/>
        </is>
      </c>
      <c r="L234" s="38" t="inlineStr">
        <is>
          <t/>
        </is>
      </c>
      <c r="M234" s="39" t="inlineStr">
        <is>
          <t/>
        </is>
      </c>
      <c r="N234" s="40" t="inlineStr">
        <is>
          <t/>
        </is>
      </c>
      <c r="O234" s="41" t="inlineStr">
        <is>
          <t/>
        </is>
      </c>
      <c r="P234" s="42" t="inlineStr">
        <is>
          <t/>
        </is>
      </c>
      <c r="Q234" s="43" t="inlineStr">
        <is>
          <t/>
        </is>
      </c>
      <c r="R234" s="44" t="inlineStr">
        <is>
          <t/>
        </is>
      </c>
    </row>
    <row r="235">
      <c r="A235" s="9" t="inlineStr">
        <is>
          <t>111300-22</t>
        </is>
      </c>
      <c r="B235" s="10" t="inlineStr">
        <is>
          <t>What's Up Moms</t>
        </is>
      </c>
      <c r="C235" s="11" t="inlineStr">
        <is>
          <t>90049</t>
        </is>
      </c>
      <c r="D235" s="12" t="inlineStr">
        <is>
          <t>Operator of an online platform which provides videos on parenting tips. The company provides videos that inspire parenting as well as gives valuable tips for babies, toddlers and kids.</t>
        </is>
      </c>
      <c r="E235" s="13" t="inlineStr">
        <is>
          <t>Information Services (B2C)</t>
        </is>
      </c>
      <c r="F235" s="14" t="inlineStr">
        <is>
          <t>Los Angeles, CA</t>
        </is>
      </c>
      <c r="G235" s="15" t="inlineStr">
        <is>
          <t>Privately Held (backing)</t>
        </is>
      </c>
      <c r="H235" s="16" t="inlineStr">
        <is>
          <t>Angel-Backed</t>
        </is>
      </c>
      <c r="I235" s="17" t="inlineStr">
        <is>
          <t/>
        </is>
      </c>
      <c r="J235" s="18" t="inlineStr">
        <is>
          <t>www.whatsupmoms.com</t>
        </is>
      </c>
      <c r="K235" s="19" t="inlineStr">
        <is>
          <t>themoms@whatsupmoms.com</t>
        </is>
      </c>
      <c r="L235" s="20" t="inlineStr">
        <is>
          <t>+1 (310) 966-2371</t>
        </is>
      </c>
      <c r="M235" s="21" t="inlineStr">
        <is>
          <t>Meghan Resnikoff</t>
        </is>
      </c>
      <c r="N235" s="22" t="inlineStr">
        <is>
          <t>Co-Founder</t>
        </is>
      </c>
      <c r="O235" s="23" t="inlineStr">
        <is>
          <t>meg@whatsupmoms.com</t>
        </is>
      </c>
      <c r="P235" s="24" t="inlineStr">
        <is>
          <t>+1 (310) 966-2371</t>
        </is>
      </c>
      <c r="Q235" s="25" t="n">
        <v>2014.0</v>
      </c>
      <c r="R235" s="113">
        <f>HYPERLINK("https://my.pitchbook.com?c=111300-22", "View company online")</f>
      </c>
    </row>
    <row r="236">
      <c r="A236" s="27" t="inlineStr">
        <is>
          <t>99749-62</t>
        </is>
      </c>
      <c r="B236" s="28" t="inlineStr">
        <is>
          <t>What Say You</t>
        </is>
      </c>
      <c r="C236" s="29" t="inlineStr">
        <is>
          <t/>
        </is>
      </c>
      <c r="D236" s="30" t="inlineStr">
        <is>
          <t>Provider of a social communication platform. The company provides a web-based platform for social communication that enables the users to ask questions and receive answers from the online community.</t>
        </is>
      </c>
      <c r="E236" s="31" t="inlineStr">
        <is>
          <t>Social/Platform Software</t>
        </is>
      </c>
      <c r="F236" s="32" t="inlineStr">
        <is>
          <t>San Diego, CA</t>
        </is>
      </c>
      <c r="G236" s="33" t="inlineStr">
        <is>
          <t>Privately Held (backing)</t>
        </is>
      </c>
      <c r="H236" s="34" t="inlineStr">
        <is>
          <t>Accelerator/Incubator Backed</t>
        </is>
      </c>
      <c r="I236" s="35" t="inlineStr">
        <is>
          <t>EvoNexus</t>
        </is>
      </c>
      <c r="J236" s="36" t="inlineStr">
        <is>
          <t>www.whatsayyou.com</t>
        </is>
      </c>
      <c r="K236" s="37" t="inlineStr">
        <is>
          <t/>
        </is>
      </c>
      <c r="L236" s="38" t="inlineStr">
        <is>
          <t/>
        </is>
      </c>
      <c r="M236" s="39" t="inlineStr">
        <is>
          <t>Benjamin Cote</t>
        </is>
      </c>
      <c r="N236" s="40" t="inlineStr">
        <is>
          <t>Co-Founder &amp; Chief Executive Officer</t>
        </is>
      </c>
      <c r="O236" s="41" t="inlineStr">
        <is>
          <t/>
        </is>
      </c>
      <c r="P236" s="42" t="inlineStr">
        <is>
          <t/>
        </is>
      </c>
      <c r="Q236" s="43" t="n">
        <v>2014.0</v>
      </c>
      <c r="R236" s="114">
        <f>HYPERLINK("https://my.pitchbook.com?c=99749-62", "View company online")</f>
      </c>
    </row>
    <row r="237">
      <c r="A237" s="9" t="inlineStr">
        <is>
          <t>113823-01</t>
        </is>
      </c>
      <c r="B237" s="10" t="inlineStr">
        <is>
          <t>WhaleAlerts</t>
        </is>
      </c>
      <c r="C237" s="85">
        <f>HYPERLINK("https://my.pitchbook.com?rrp=113823-01&amp;type=c", "This Company's information is not available to download. Need this Company? Request availability")</f>
      </c>
      <c r="D237" s="12" t="inlineStr">
        <is>
          <t/>
        </is>
      </c>
      <c r="E237" s="13" t="inlineStr">
        <is>
          <t/>
        </is>
      </c>
      <c r="F237" s="14" t="inlineStr">
        <is>
          <t/>
        </is>
      </c>
      <c r="G237" s="15" t="inlineStr">
        <is>
          <t/>
        </is>
      </c>
      <c r="H237" s="16" t="inlineStr">
        <is>
          <t/>
        </is>
      </c>
      <c r="I237" s="17" t="inlineStr">
        <is>
          <t/>
        </is>
      </c>
      <c r="J237" s="18" t="inlineStr">
        <is>
          <t/>
        </is>
      </c>
      <c r="K237" s="19" t="inlineStr">
        <is>
          <t/>
        </is>
      </c>
      <c r="L237" s="20" t="inlineStr">
        <is>
          <t/>
        </is>
      </c>
      <c r="M237" s="21" t="inlineStr">
        <is>
          <t/>
        </is>
      </c>
      <c r="N237" s="22" t="inlineStr">
        <is>
          <t/>
        </is>
      </c>
      <c r="O237" s="23" t="inlineStr">
        <is>
          <t/>
        </is>
      </c>
      <c r="P237" s="24" t="inlineStr">
        <is>
          <t/>
        </is>
      </c>
      <c r="Q237" s="25" t="inlineStr">
        <is>
          <t/>
        </is>
      </c>
      <c r="R237" s="26" t="inlineStr">
        <is>
          <t/>
        </is>
      </c>
    </row>
    <row r="238">
      <c r="A238" s="27" t="inlineStr">
        <is>
          <t>172949-23</t>
        </is>
      </c>
      <c r="B238" s="28" t="inlineStr">
        <is>
          <t>WeTrust</t>
        </is>
      </c>
      <c r="C238" s="29" t="inlineStr">
        <is>
          <t>94538</t>
        </is>
      </c>
      <c r="D238" s="30" t="inlineStr">
        <is>
          <t>Provider of lending and insurance platform intended to improve access to market priced capital. The company's platform ROSCA uses blockchain technology that permits users to save and issue credit as a group, at self-determined and fair interest rates, enabling them to get access to market capital and help them in financial inclusion.</t>
        </is>
      </c>
      <c r="E238" s="31" t="inlineStr">
        <is>
          <t>Financial Software</t>
        </is>
      </c>
      <c r="F238" s="32" t="inlineStr">
        <is>
          <t>Fremont, CA</t>
        </is>
      </c>
      <c r="G238" s="33" t="inlineStr">
        <is>
          <t>Privately Held (backing)</t>
        </is>
      </c>
      <c r="H238" s="34" t="inlineStr">
        <is>
          <t>Angel-Backed</t>
        </is>
      </c>
      <c r="I238" s="35" t="inlineStr">
        <is>
          <t/>
        </is>
      </c>
      <c r="J238" s="36" t="inlineStr">
        <is>
          <t>www.wetrust.io</t>
        </is>
      </c>
      <c r="K238" s="37" t="inlineStr">
        <is>
          <t>hello@wetrust.io</t>
        </is>
      </c>
      <c r="L238" s="38" t="inlineStr">
        <is>
          <t>+1 (650) 285-3493</t>
        </is>
      </c>
      <c r="M238" s="39" t="inlineStr">
        <is>
          <t>George Li</t>
        </is>
      </c>
      <c r="N238" s="40" t="inlineStr">
        <is>
          <t>Co-Founder</t>
        </is>
      </c>
      <c r="O238" s="41" t="inlineStr">
        <is>
          <t>george@cottonbrew.com</t>
        </is>
      </c>
      <c r="P238" s="42" t="inlineStr">
        <is>
          <t>+1 (650) 285-3493</t>
        </is>
      </c>
      <c r="Q238" s="43" t="n">
        <v>2016.0</v>
      </c>
      <c r="R238" s="114">
        <f>HYPERLINK("https://my.pitchbook.com?c=172949-23", "View company online")</f>
      </c>
    </row>
    <row r="239">
      <c r="A239" s="9" t="inlineStr">
        <is>
          <t>61381-27</t>
        </is>
      </c>
      <c r="B239" s="10" t="inlineStr">
        <is>
          <t>Westward Leaning</t>
        </is>
      </c>
      <c r="C239" s="11" t="inlineStr">
        <is>
          <t>94110</t>
        </is>
      </c>
      <c r="D239" s="12" t="inlineStr">
        <is>
          <t>Provider of an online platform for sunglasses. The company provides sunglasses that celebrate human achievement by integrating materials specific to a past or present human triumph.</t>
        </is>
      </c>
      <c r="E239" s="13" t="inlineStr">
        <is>
          <t>Internet Retail</t>
        </is>
      </c>
      <c r="F239" s="14" t="inlineStr">
        <is>
          <t>San Francisco, CA</t>
        </is>
      </c>
      <c r="G239" s="15" t="inlineStr">
        <is>
          <t>Privately Held (backing)</t>
        </is>
      </c>
      <c r="H239" s="16" t="inlineStr">
        <is>
          <t>Angel-Backed</t>
        </is>
      </c>
      <c r="I239" s="17" t="inlineStr">
        <is>
          <t>Finn Capital Partners, Ivan Brockman, Michael Tedesco, Patrick Finn</t>
        </is>
      </c>
      <c r="J239" s="18" t="inlineStr">
        <is>
          <t>www.westwardleaning.com</t>
        </is>
      </c>
      <c r="K239" s="19" t="inlineStr">
        <is>
          <t>help@westwardleaning.com</t>
        </is>
      </c>
      <c r="L239" s="20" t="inlineStr">
        <is>
          <t>+1 (800) 635-9851</t>
        </is>
      </c>
      <c r="M239" s="21" t="inlineStr">
        <is>
          <t>Robert Denning</t>
        </is>
      </c>
      <c r="N239" s="22" t="inlineStr">
        <is>
          <t>Co-Founder &amp; Creative Director</t>
        </is>
      </c>
      <c r="O239" s="23" t="inlineStr">
        <is>
          <t>robert@westwardleaning.com</t>
        </is>
      </c>
      <c r="P239" s="24" t="inlineStr">
        <is>
          <t>+1 (800) 635-9851</t>
        </is>
      </c>
      <c r="Q239" s="25" t="n">
        <v>2011.0</v>
      </c>
      <c r="R239" s="113">
        <f>HYPERLINK("https://my.pitchbook.com?c=61381-27", "View company online")</f>
      </c>
    </row>
    <row r="240">
      <c r="A240" s="27" t="inlineStr">
        <is>
          <t>92407-51</t>
        </is>
      </c>
      <c r="B240" s="28" t="inlineStr">
        <is>
          <t>West Shore Technologies</t>
        </is>
      </c>
      <c r="C240" s="29" t="inlineStr">
        <is>
          <t>94965</t>
        </is>
      </c>
      <c r="D240" s="30" t="inlineStr">
        <is>
          <t>Developer and provider of mobile application for coaching data and player assessment. The comapny develops an application which allows the coaches to perform player assessments as well as gather and distribute information on their players and recruits across coaching and scouting activities.</t>
        </is>
      </c>
      <c r="E240" s="31" t="inlineStr">
        <is>
          <t>Information Services (B2C)</t>
        </is>
      </c>
      <c r="F240" s="32" t="inlineStr">
        <is>
          <t>Sausalito, CA</t>
        </is>
      </c>
      <c r="G240" s="33" t="inlineStr">
        <is>
          <t>Privately Held (backing)</t>
        </is>
      </c>
      <c r="H240" s="34" t="inlineStr">
        <is>
          <t>Angel-Backed</t>
        </is>
      </c>
      <c r="I240" s="35" t="inlineStr">
        <is>
          <t>Mac Hofeditz</t>
        </is>
      </c>
      <c r="J240" s="36" t="inlineStr">
        <is>
          <t>www.sportsboard-win.com</t>
        </is>
      </c>
      <c r="K240" s="37" t="inlineStr">
        <is>
          <t>info@sportsboard-win.com</t>
        </is>
      </c>
      <c r="L240" s="38" t="inlineStr">
        <is>
          <t>+1 (415) 322-1049</t>
        </is>
      </c>
      <c r="M240" s="39" t="inlineStr">
        <is>
          <t>Gregg Jacobs</t>
        </is>
      </c>
      <c r="N240" s="40" t="inlineStr">
        <is>
          <t>Founder &amp; Chief Executive Officer</t>
        </is>
      </c>
      <c r="O240" s="41" t="inlineStr">
        <is>
          <t>gregg.jacobs@sportsboard-win.com</t>
        </is>
      </c>
      <c r="P240" s="42" t="inlineStr">
        <is>
          <t>+1 (415) 322-1049</t>
        </is>
      </c>
      <c r="Q240" s="43" t="n">
        <v>2011.0</v>
      </c>
      <c r="R240" s="114">
        <f>HYPERLINK("https://my.pitchbook.com?c=92407-51", "View company online")</f>
      </c>
    </row>
    <row r="241">
      <c r="A241" s="9" t="inlineStr">
        <is>
          <t>172569-61</t>
        </is>
      </c>
      <c r="B241" s="10" t="inlineStr">
        <is>
          <t>West Bio Services</t>
        </is>
      </c>
      <c r="C241" s="85">
        <f>HYPERLINK("https://my.pitchbook.com?rrp=172569-61&amp;type=c", "This Company's information is not available to download. Need this Company? Request availability")</f>
      </c>
      <c r="D241" s="12" t="inlineStr">
        <is>
          <t/>
        </is>
      </c>
      <c r="E241" s="13" t="inlineStr">
        <is>
          <t/>
        </is>
      </c>
      <c r="F241" s="14" t="inlineStr">
        <is>
          <t/>
        </is>
      </c>
      <c r="G241" s="15" t="inlineStr">
        <is>
          <t/>
        </is>
      </c>
      <c r="H241" s="16" t="inlineStr">
        <is>
          <t/>
        </is>
      </c>
      <c r="I241" s="17" t="inlineStr">
        <is>
          <t/>
        </is>
      </c>
      <c r="J241" s="18" t="inlineStr">
        <is>
          <t/>
        </is>
      </c>
      <c r="K241" s="19" t="inlineStr">
        <is>
          <t/>
        </is>
      </c>
      <c r="L241" s="20" t="inlineStr">
        <is>
          <t/>
        </is>
      </c>
      <c r="M241" s="21" t="inlineStr">
        <is>
          <t/>
        </is>
      </c>
      <c r="N241" s="22" t="inlineStr">
        <is>
          <t/>
        </is>
      </c>
      <c r="O241" s="23" t="inlineStr">
        <is>
          <t/>
        </is>
      </c>
      <c r="P241" s="24" t="inlineStr">
        <is>
          <t/>
        </is>
      </c>
      <c r="Q241" s="25" t="inlineStr">
        <is>
          <t/>
        </is>
      </c>
      <c r="R241" s="26" t="inlineStr">
        <is>
          <t/>
        </is>
      </c>
    </row>
    <row r="242">
      <c r="A242" s="27" t="inlineStr">
        <is>
          <t>178703-56</t>
        </is>
      </c>
      <c r="B242" s="28" t="inlineStr">
        <is>
          <t>WeRecover</t>
        </is>
      </c>
      <c r="C242" s="86">
        <f>HYPERLINK("https://my.pitchbook.com?rrp=178703-56&amp;type=c", "This Company's information is not available to download. Need this Company? Request availability")</f>
      </c>
      <c r="D242" s="30" t="inlineStr">
        <is>
          <t/>
        </is>
      </c>
      <c r="E242" s="31" t="inlineStr">
        <is>
          <t/>
        </is>
      </c>
      <c r="F242" s="32" t="inlineStr">
        <is>
          <t/>
        </is>
      </c>
      <c r="G242" s="33" t="inlineStr">
        <is>
          <t/>
        </is>
      </c>
      <c r="H242" s="34" t="inlineStr">
        <is>
          <t/>
        </is>
      </c>
      <c r="I242" s="35" t="inlineStr">
        <is>
          <t/>
        </is>
      </c>
      <c r="J242" s="36" t="inlineStr">
        <is>
          <t/>
        </is>
      </c>
      <c r="K242" s="37" t="inlineStr">
        <is>
          <t/>
        </is>
      </c>
      <c r="L242" s="38" t="inlineStr">
        <is>
          <t/>
        </is>
      </c>
      <c r="M242" s="39" t="inlineStr">
        <is>
          <t/>
        </is>
      </c>
      <c r="N242" s="40" t="inlineStr">
        <is>
          <t/>
        </is>
      </c>
      <c r="O242" s="41" t="inlineStr">
        <is>
          <t/>
        </is>
      </c>
      <c r="P242" s="42" t="inlineStr">
        <is>
          <t/>
        </is>
      </c>
      <c r="Q242" s="43" t="inlineStr">
        <is>
          <t/>
        </is>
      </c>
      <c r="R242" s="44" t="inlineStr">
        <is>
          <t/>
        </is>
      </c>
    </row>
    <row r="243">
      <c r="A243" s="9" t="inlineStr">
        <is>
          <t>103536-91</t>
        </is>
      </c>
      <c r="B243" s="10" t="inlineStr">
        <is>
          <t>Wepower Eco</t>
        </is>
      </c>
      <c r="C243" s="11" t="inlineStr">
        <is>
          <t>92656</t>
        </is>
      </c>
      <c r="D243" s="12" t="inlineStr">
        <is>
          <t>Developer of renewable energy systems. The company specializes in developing markets vertical axis wind turbines and solar thermal water heating systems.</t>
        </is>
      </c>
      <c r="E243" s="13" t="inlineStr">
        <is>
          <t>Alternative Energy Equipment</t>
        </is>
      </c>
      <c r="F243" s="14" t="inlineStr">
        <is>
          <t>Aliso Viejo, CA</t>
        </is>
      </c>
      <c r="G243" s="15" t="inlineStr">
        <is>
          <t>Privately Held (backing)</t>
        </is>
      </c>
      <c r="H243" s="16" t="inlineStr">
        <is>
          <t>Angel-Backed</t>
        </is>
      </c>
      <c r="I243" s="17" t="inlineStr">
        <is>
          <t/>
        </is>
      </c>
      <c r="J243" s="18" t="inlineStr">
        <is>
          <t>www.wepowereco.com</t>
        </is>
      </c>
      <c r="K243" s="19" t="inlineStr">
        <is>
          <t>support@wepowereco.com</t>
        </is>
      </c>
      <c r="L243" s="20" t="inlineStr">
        <is>
          <t>+1 (888) 766-8311</t>
        </is>
      </c>
      <c r="M243" s="21" t="inlineStr">
        <is>
          <t>Kevin Donovan</t>
        </is>
      </c>
      <c r="N243" s="22" t="inlineStr">
        <is>
          <t>Co-Founder, Chief Executive Officer, President &amp; Board Member</t>
        </is>
      </c>
      <c r="O243" s="23" t="inlineStr">
        <is>
          <t>kdonovan@wepowereco.com</t>
        </is>
      </c>
      <c r="P243" s="24" t="inlineStr">
        <is>
          <t>+1 (888) 766-8311</t>
        </is>
      </c>
      <c r="Q243" s="25" t="n">
        <v>2001.0</v>
      </c>
      <c r="R243" s="113">
        <f>HYPERLINK("https://my.pitchbook.com?c=103536-91", "View company online")</f>
      </c>
    </row>
    <row r="244">
      <c r="A244" s="27" t="inlineStr">
        <is>
          <t>172318-60</t>
        </is>
      </c>
      <c r="B244" s="28" t="inlineStr">
        <is>
          <t>Wemersive</t>
        </is>
      </c>
      <c r="C244" s="86">
        <f>HYPERLINK("https://my.pitchbook.com?rrp=172318-60&amp;type=c", "This Company's information is not available to download. Need this Company? Request availability")</f>
      </c>
      <c r="D244" s="30" t="inlineStr">
        <is>
          <t/>
        </is>
      </c>
      <c r="E244" s="31" t="inlineStr">
        <is>
          <t/>
        </is>
      </c>
      <c r="F244" s="32" t="inlineStr">
        <is>
          <t/>
        </is>
      </c>
      <c r="G244" s="33" t="inlineStr">
        <is>
          <t/>
        </is>
      </c>
      <c r="H244" s="34" t="inlineStr">
        <is>
          <t/>
        </is>
      </c>
      <c r="I244" s="35" t="inlineStr">
        <is>
          <t/>
        </is>
      </c>
      <c r="J244" s="36" t="inlineStr">
        <is>
          <t/>
        </is>
      </c>
      <c r="K244" s="37" t="inlineStr">
        <is>
          <t/>
        </is>
      </c>
      <c r="L244" s="38" t="inlineStr">
        <is>
          <t/>
        </is>
      </c>
      <c r="M244" s="39" t="inlineStr">
        <is>
          <t/>
        </is>
      </c>
      <c r="N244" s="40" t="inlineStr">
        <is>
          <t/>
        </is>
      </c>
      <c r="O244" s="41" t="inlineStr">
        <is>
          <t/>
        </is>
      </c>
      <c r="P244" s="42" t="inlineStr">
        <is>
          <t/>
        </is>
      </c>
      <c r="Q244" s="43" t="inlineStr">
        <is>
          <t/>
        </is>
      </c>
      <c r="R244" s="44" t="inlineStr">
        <is>
          <t/>
        </is>
      </c>
    </row>
    <row r="245">
      <c r="A245" s="9" t="inlineStr">
        <is>
          <t>103649-05</t>
        </is>
      </c>
      <c r="B245" s="10" t="inlineStr">
        <is>
          <t>Wembli</t>
        </is>
      </c>
      <c r="C245" s="11" t="inlineStr">
        <is>
          <t/>
        </is>
      </c>
      <c r="D245" s="12" t="inlineStr">
        <is>
          <t>Developer of a mobile and web platform for planning out outing to concerts, theater and sporting events. The company's platform enables nabbing tickets, parking, restaurants &amp; hotels in one move.</t>
        </is>
      </c>
      <c r="E245" s="13" t="inlineStr">
        <is>
          <t>Social/Platform Software</t>
        </is>
      </c>
      <c r="F245" s="14" t="inlineStr">
        <is>
          <t>San Diego, CA</t>
        </is>
      </c>
      <c r="G245" s="15" t="inlineStr">
        <is>
          <t>Privately Held (backing)</t>
        </is>
      </c>
      <c r="H245" s="16" t="inlineStr">
        <is>
          <t>Accelerator/Incubator Backed</t>
        </is>
      </c>
      <c r="I245" s="17" t="inlineStr">
        <is>
          <t>Founder Institute</t>
        </is>
      </c>
      <c r="J245" s="18" t="inlineStr">
        <is>
          <t>www.wembli.com</t>
        </is>
      </c>
      <c r="K245" s="19" t="inlineStr">
        <is>
          <t>info@wembli.com</t>
        </is>
      </c>
      <c r="L245" s="20" t="inlineStr">
        <is>
          <t/>
        </is>
      </c>
      <c r="M245" s="21" t="inlineStr">
        <is>
          <t/>
        </is>
      </c>
      <c r="N245" s="22" t="inlineStr">
        <is>
          <t/>
        </is>
      </c>
      <c r="O245" s="23" t="inlineStr">
        <is>
          <t/>
        </is>
      </c>
      <c r="P245" s="24" t="inlineStr">
        <is>
          <t/>
        </is>
      </c>
      <c r="Q245" s="25" t="inlineStr">
        <is>
          <t/>
        </is>
      </c>
      <c r="R245" s="113">
        <f>HYPERLINK("https://my.pitchbook.com?c=103649-05", "View company online")</f>
      </c>
    </row>
    <row r="246">
      <c r="A246" s="27" t="inlineStr">
        <is>
          <t>110558-35</t>
        </is>
      </c>
      <c r="B246" s="28" t="inlineStr">
        <is>
          <t>Wellspring Biosciences</t>
        </is>
      </c>
      <c r="C246" s="29" t="inlineStr">
        <is>
          <t>92037</t>
        </is>
      </c>
      <c r="D246" s="30" t="inlineStr">
        <is>
          <t>Provider of a platform designed for the treatment of cancer and other diseases. The company's platform focuses on the discovery and development of small molecule drugs that target signal transduction networks for the treatment of cancer and other diseases.</t>
        </is>
      </c>
      <c r="E246" s="31" t="inlineStr">
        <is>
          <t>Drug Discovery</t>
        </is>
      </c>
      <c r="F246" s="32" t="inlineStr">
        <is>
          <t>San Diego, CA</t>
        </is>
      </c>
      <c r="G246" s="33" t="inlineStr">
        <is>
          <t>Privately Held (backing)</t>
        </is>
      </c>
      <c r="H246" s="34" t="inlineStr">
        <is>
          <t>Accelerator/Incubator Backed</t>
        </is>
      </c>
      <c r="I246" s="35" t="inlineStr">
        <is>
          <t>JLabs, Karl Handelsman, U.S. Department of Health and Human Services, UCSF Medical Center</t>
        </is>
      </c>
      <c r="J246" s="36" t="inlineStr">
        <is>
          <t>www.wellspringbiosciences.com</t>
        </is>
      </c>
      <c r="K246" s="37" t="inlineStr">
        <is>
          <t>inquiries@wellspringbiosciences.com</t>
        </is>
      </c>
      <c r="L246" s="38" t="inlineStr">
        <is>
          <t>+1 (858) 500-8800</t>
        </is>
      </c>
      <c r="M246" s="39" t="inlineStr">
        <is>
          <t>Frank McCormick</t>
        </is>
      </c>
      <c r="N246" s="40" t="inlineStr">
        <is>
          <t>Co-Founder</t>
        </is>
      </c>
      <c r="O246" s="41" t="inlineStr">
        <is>
          <t/>
        </is>
      </c>
      <c r="P246" s="42" t="inlineStr">
        <is>
          <t>+1 (858) 500-8800</t>
        </is>
      </c>
      <c r="Q246" s="43" t="n">
        <v>2012.0</v>
      </c>
      <c r="R246" s="114">
        <f>HYPERLINK("https://my.pitchbook.com?c=110558-35", "View company online")</f>
      </c>
    </row>
    <row r="247">
      <c r="A247" s="9" t="inlineStr">
        <is>
          <t>54834-58</t>
        </is>
      </c>
      <c r="B247" s="10" t="inlineStr">
        <is>
          <t>WellFX</t>
        </is>
      </c>
      <c r="C247" s="11" t="inlineStr">
        <is>
          <t>94954</t>
        </is>
      </c>
      <c r="D247" s="12" t="inlineStr">
        <is>
          <t>Provider of a platform which helps the providers to engage patients in their own care. The company offers a platform which enables the providers to provide the patients with information and educational materials and also helps in the creation of patient-to-patient support communities to engage patients in their own care.</t>
        </is>
      </c>
      <c r="E247" s="13" t="inlineStr">
        <is>
          <t>Other Healthcare Technology Systems</t>
        </is>
      </c>
      <c r="F247" s="14" t="inlineStr">
        <is>
          <t>Petaluma, CA</t>
        </is>
      </c>
      <c r="G247" s="15" t="inlineStr">
        <is>
          <t>Privately Held (backing)</t>
        </is>
      </c>
      <c r="H247" s="16" t="inlineStr">
        <is>
          <t>Angel-Backed</t>
        </is>
      </c>
      <c r="I247" s="17" t="inlineStr">
        <is>
          <t>CMT Associates</t>
        </is>
      </c>
      <c r="J247" s="18" t="inlineStr">
        <is>
          <t>www.well-fx.com</t>
        </is>
      </c>
      <c r="K247" s="19" t="inlineStr">
        <is>
          <t>info@well-fx.com</t>
        </is>
      </c>
      <c r="L247" s="20" t="inlineStr">
        <is>
          <t>+1 (888) 244-0107</t>
        </is>
      </c>
      <c r="M247" s="21" t="inlineStr">
        <is>
          <t>Jock Putney</t>
        </is>
      </c>
      <c r="N247" s="22" t="inlineStr">
        <is>
          <t>Co-Founder, President &amp; Chief Executive Officer</t>
        </is>
      </c>
      <c r="O247" s="23" t="inlineStr">
        <is>
          <t>jock@well-fx.com</t>
        </is>
      </c>
      <c r="P247" s="24" t="inlineStr">
        <is>
          <t>+1 (888) 244-0107</t>
        </is>
      </c>
      <c r="Q247" s="25" t="n">
        <v>2011.0</v>
      </c>
      <c r="R247" s="113">
        <f>HYPERLINK("https://my.pitchbook.com?c=54834-58", "View company online")</f>
      </c>
    </row>
    <row r="248">
      <c r="A248" s="27" t="inlineStr">
        <is>
          <t>122206-51</t>
        </is>
      </c>
      <c r="B248" s="28" t="inlineStr">
        <is>
          <t>Wellcare Partners</t>
        </is>
      </c>
      <c r="C248" s="29" t="inlineStr">
        <is>
          <t>90266</t>
        </is>
      </c>
      <c r="D248" s="30" t="inlineStr">
        <is>
          <t>The company is currently operating in Stealth mode.</t>
        </is>
      </c>
      <c r="E248" s="31" t="inlineStr">
        <is>
          <t>Other Business Products and Services</t>
        </is>
      </c>
      <c r="F248" s="32" t="inlineStr">
        <is>
          <t>Manhattan Beach, CA</t>
        </is>
      </c>
      <c r="G248" s="33" t="inlineStr">
        <is>
          <t>Privately Held (backing)</t>
        </is>
      </c>
      <c r="H248" s="34" t="inlineStr">
        <is>
          <t>Angel-Backed</t>
        </is>
      </c>
      <c r="I248" s="35" t="inlineStr">
        <is>
          <t/>
        </is>
      </c>
      <c r="J248" s="36" t="inlineStr">
        <is>
          <t/>
        </is>
      </c>
      <c r="K248" s="37" t="inlineStr">
        <is>
          <t/>
        </is>
      </c>
      <c r="L248" s="38" t="inlineStr">
        <is>
          <t>+1 (424) 277-8200</t>
        </is>
      </c>
      <c r="M248" s="39" t="inlineStr">
        <is>
          <t>Mark Shalvarjian</t>
        </is>
      </c>
      <c r="N248" s="40" t="inlineStr">
        <is>
          <t>Chief Executive Officer, President &amp; Board Member</t>
        </is>
      </c>
      <c r="O248" s="41" t="inlineStr">
        <is>
          <t/>
        </is>
      </c>
      <c r="P248" s="42" t="inlineStr">
        <is>
          <t>+1 (424) 277-8200</t>
        </is>
      </c>
      <c r="Q248" s="43" t="n">
        <v>2014.0</v>
      </c>
      <c r="R248" s="114">
        <f>HYPERLINK("https://my.pitchbook.com?c=122206-51", "View company online")</f>
      </c>
    </row>
    <row r="249">
      <c r="A249" s="9" t="inlineStr">
        <is>
          <t>154969-66</t>
        </is>
      </c>
      <c r="B249" s="10" t="inlineStr">
        <is>
          <t>WellBrain</t>
        </is>
      </c>
      <c r="C249" s="11" t="inlineStr">
        <is>
          <t>94523</t>
        </is>
      </c>
      <c r="D249" s="12" t="inlineStr">
        <is>
          <t>Provider of real-time assessment and treatment tool. The company offers evidence-based treatment to patients with chronic pain, depression, anxiety, substance abuse, and other mental health disorders.</t>
        </is>
      </c>
      <c r="E249" s="13" t="inlineStr">
        <is>
          <t>Other Healthcare Technology Systems</t>
        </is>
      </c>
      <c r="F249" s="14" t="inlineStr">
        <is>
          <t>Pleasant Hill, CA</t>
        </is>
      </c>
      <c r="G249" s="15" t="inlineStr">
        <is>
          <t>Privately Held (backing)</t>
        </is>
      </c>
      <c r="H249" s="16" t="inlineStr">
        <is>
          <t>Accelerator/Incubator Backed</t>
        </is>
      </c>
      <c r="I249" s="17" t="inlineStr">
        <is>
          <t>Launchpad Digital Health</t>
        </is>
      </c>
      <c r="J249" s="18" t="inlineStr">
        <is>
          <t>www.wellbrain.io</t>
        </is>
      </c>
      <c r="K249" s="19" t="inlineStr">
        <is>
          <t>info@wellbrain.io</t>
        </is>
      </c>
      <c r="L249" s="20" t="inlineStr">
        <is>
          <t>+1 (925) 287-1256</t>
        </is>
      </c>
      <c r="M249" s="21" t="inlineStr">
        <is>
          <t>Ruben Kalra</t>
        </is>
      </c>
      <c r="N249" s="22" t="inlineStr">
        <is>
          <t>Co-Founder, Chief Executive Officer and Board Member</t>
        </is>
      </c>
      <c r="O249" s="23" t="inlineStr">
        <is>
          <t>ruben@wellbrain.io</t>
        </is>
      </c>
      <c r="P249" s="24" t="inlineStr">
        <is>
          <t>+1 (925) 287-1256</t>
        </is>
      </c>
      <c r="Q249" s="25" t="n">
        <v>2014.0</v>
      </c>
      <c r="R249" s="113">
        <f>HYPERLINK("https://my.pitchbook.com?c=154969-66", "View company online")</f>
      </c>
    </row>
    <row r="250">
      <c r="A250" s="27" t="inlineStr">
        <is>
          <t>54892-54</t>
        </is>
      </c>
      <c r="B250" s="28" t="inlineStr">
        <is>
          <t>WeLink</t>
        </is>
      </c>
      <c r="C250" s="29" t="inlineStr">
        <is>
          <t>95126</t>
        </is>
      </c>
      <c r="D250" s="30" t="inlineStr">
        <is>
          <t>Provider of a location tracking platform. The company offers geographical location based platform which helps users to track and monitor their location.</t>
        </is>
      </c>
      <c r="E250" s="31" t="inlineStr">
        <is>
          <t>Application Software</t>
        </is>
      </c>
      <c r="F250" s="32" t="inlineStr">
        <is>
          <t>San Jose, CA</t>
        </is>
      </c>
      <c r="G250" s="33" t="inlineStr">
        <is>
          <t>Privately Held (backing)</t>
        </is>
      </c>
      <c r="H250" s="34" t="inlineStr">
        <is>
          <t>Accelerator/Incubator Backed</t>
        </is>
      </c>
      <c r="I250" s="35" t="inlineStr">
        <is>
          <t>Alchemist Accelerator, Rising Tide Fund, StartEngine.com</t>
        </is>
      </c>
      <c r="J250" s="36" t="inlineStr">
        <is>
          <t>www.welink.com</t>
        </is>
      </c>
      <c r="K250" s="37" t="inlineStr">
        <is>
          <t>contact@welink.com</t>
        </is>
      </c>
      <c r="L250" s="38" t="inlineStr">
        <is>
          <t>+1 (650) 600-3847</t>
        </is>
      </c>
      <c r="M250" s="39" t="inlineStr">
        <is>
          <t>Nathan Chandra</t>
        </is>
      </c>
      <c r="N250" s="40" t="inlineStr">
        <is>
          <t>Co-Founder &amp; Chief Operating Officer</t>
        </is>
      </c>
      <c r="O250" s="41" t="inlineStr">
        <is>
          <t/>
        </is>
      </c>
      <c r="P250" s="42" t="inlineStr">
        <is>
          <t>+1 (650) 600-3847</t>
        </is>
      </c>
      <c r="Q250" s="43" t="n">
        <v>2011.0</v>
      </c>
      <c r="R250" s="114">
        <f>HYPERLINK("https://my.pitchbook.com?c=54892-54", "View company online")</f>
      </c>
    </row>
    <row r="251">
      <c r="A251" s="9" t="inlineStr">
        <is>
          <t>166962-61</t>
        </is>
      </c>
      <c r="B251" s="10" t="inlineStr">
        <is>
          <t>WeFuel</t>
        </is>
      </c>
      <c r="C251" s="11" t="inlineStr">
        <is>
          <t>95134</t>
        </is>
      </c>
      <c r="D251" s="12" t="inlineStr">
        <is>
          <t>Provider of an application for on-demand fuel delivery. The company develops a mobile application for on-demand gasoline service and also helps users to re-fuel gas into their vehicles anywhere and anytime.</t>
        </is>
      </c>
      <c r="E251" s="13" t="inlineStr">
        <is>
          <t>Other Services (B2C Non-Financial)</t>
        </is>
      </c>
      <c r="F251" s="14" t="inlineStr">
        <is>
          <t>San Jose, CA</t>
        </is>
      </c>
      <c r="G251" s="15" t="inlineStr">
        <is>
          <t>Privately Held (backing)</t>
        </is>
      </c>
      <c r="H251" s="16" t="inlineStr">
        <is>
          <t>Accelerator/Incubator Backed</t>
        </is>
      </c>
      <c r="I251" s="17" t="inlineStr">
        <is>
          <t>StartX</t>
        </is>
      </c>
      <c r="J251" s="18" t="inlineStr">
        <is>
          <t>www.wefuel.com</t>
        </is>
      </c>
      <c r="K251" s="19" t="inlineStr">
        <is>
          <t>wecare@wefuel.com</t>
        </is>
      </c>
      <c r="L251" s="20" t="inlineStr">
        <is>
          <t/>
        </is>
      </c>
      <c r="M251" s="21" t="inlineStr">
        <is>
          <t>Ale Donzis</t>
        </is>
      </c>
      <c r="N251" s="22" t="inlineStr">
        <is>
          <t>Co-Founder &amp; Chief Executive Officer</t>
        </is>
      </c>
      <c r="O251" s="23" t="inlineStr">
        <is>
          <t>ale@wefuel.com</t>
        </is>
      </c>
      <c r="P251" s="24" t="inlineStr">
        <is>
          <t/>
        </is>
      </c>
      <c r="Q251" s="25" t="n">
        <v>2015.0</v>
      </c>
      <c r="R251" s="113">
        <f>HYPERLINK("https://my.pitchbook.com?c=166962-61", "View company online")</f>
      </c>
    </row>
    <row r="252">
      <c r="A252" s="27" t="inlineStr">
        <is>
          <t>102717-55</t>
        </is>
      </c>
      <c r="B252" s="28" t="inlineStr">
        <is>
          <t>weeSPIN</t>
        </is>
      </c>
      <c r="C252" s="29" t="inlineStr">
        <is>
          <t>90404</t>
        </is>
      </c>
      <c r="D252" s="30" t="inlineStr">
        <is>
          <t>Developer of a musically driven social networking application designed to bridge the gap between Soundcloud, Spotify and social media to foster a community connected by music. The company's social networking application allows users to compile song playlists using Spotify or Soundcloud, add pictures, share them and meet people who are like minded, enabling artists and creators to broadcast live music content and engage with fans through real-time video and chat.</t>
        </is>
      </c>
      <c r="E252" s="31" t="inlineStr">
        <is>
          <t>Entertainment Software</t>
        </is>
      </c>
      <c r="F252" s="32" t="inlineStr">
        <is>
          <t>Santa Monica, CA</t>
        </is>
      </c>
      <c r="G252" s="33" t="inlineStr">
        <is>
          <t>Privately Held (backing)</t>
        </is>
      </c>
      <c r="H252" s="34" t="inlineStr">
        <is>
          <t>Angel-Backed</t>
        </is>
      </c>
      <c r="I252" s="35" t="inlineStr">
        <is>
          <t>Individual Investor, Lawrence Chu</t>
        </is>
      </c>
      <c r="J252" s="36" t="inlineStr">
        <is>
          <t>www.weespin.com</t>
        </is>
      </c>
      <c r="K252" s="37" t="inlineStr">
        <is>
          <t>founders@weespin.com</t>
        </is>
      </c>
      <c r="L252" s="38" t="inlineStr">
        <is>
          <t>+1 (818) 570-3664</t>
        </is>
      </c>
      <c r="M252" s="39" t="inlineStr">
        <is>
          <t>Darius Fong</t>
        </is>
      </c>
      <c r="N252" s="40" t="inlineStr">
        <is>
          <t>Chief Executive Officer, President, Board Member &amp; Co-Founder</t>
        </is>
      </c>
      <c r="O252" s="41" t="inlineStr">
        <is>
          <t>darius@weespin.com</t>
        </is>
      </c>
      <c r="P252" s="42" t="inlineStr">
        <is>
          <t>+1 (818) 570-3664</t>
        </is>
      </c>
      <c r="Q252" s="43" t="n">
        <v>2013.0</v>
      </c>
      <c r="R252" s="114">
        <f>HYPERLINK("https://my.pitchbook.com?c=102717-55", "View company online")</f>
      </c>
    </row>
    <row r="253">
      <c r="A253" s="9" t="inlineStr">
        <is>
          <t>103720-96</t>
        </is>
      </c>
      <c r="B253" s="10" t="inlineStr">
        <is>
          <t>WeedWall</t>
        </is>
      </c>
      <c r="C253" s="11" t="inlineStr">
        <is>
          <t>90210</t>
        </is>
      </c>
      <c r="D253" s="12" t="inlineStr">
        <is>
          <t>Provider of a platform for the marijuana community to connect. The company provides a platform for patients and users to learn about medical marijuana strains, where to find a dispensary and how to obtain a doctor’s recommendation as well as deals on marijuana products.</t>
        </is>
      </c>
      <c r="E253" s="13" t="inlineStr">
        <is>
          <t>Social/Platform Software</t>
        </is>
      </c>
      <c r="F253" s="14" t="inlineStr">
        <is>
          <t>Beverly Hills, CA</t>
        </is>
      </c>
      <c r="G253" s="15" t="inlineStr">
        <is>
          <t>Privately Held (backing)</t>
        </is>
      </c>
      <c r="H253" s="16" t="inlineStr">
        <is>
          <t>Angel-Backed</t>
        </is>
      </c>
      <c r="I253" s="17" t="inlineStr">
        <is>
          <t/>
        </is>
      </c>
      <c r="J253" s="18" t="inlineStr">
        <is>
          <t>www.weedwall.com</t>
        </is>
      </c>
      <c r="K253" s="19" t="inlineStr">
        <is>
          <t>support@weedwall.com</t>
        </is>
      </c>
      <c r="L253" s="20" t="inlineStr">
        <is>
          <t>+1 (732) 567-0876</t>
        </is>
      </c>
      <c r="M253" s="21" t="inlineStr">
        <is>
          <t>Sergio Stephano</t>
        </is>
      </c>
      <c r="N253" s="22" t="inlineStr">
        <is>
          <t>Founder &amp; Chief Executive Officer</t>
        </is>
      </c>
      <c r="O253" s="23" t="inlineStr">
        <is>
          <t>sergio@weedwall.com</t>
        </is>
      </c>
      <c r="P253" s="24" t="inlineStr">
        <is>
          <t>+1 (732) 567-0876</t>
        </is>
      </c>
      <c r="Q253" s="25" t="n">
        <v>2011.0</v>
      </c>
      <c r="R253" s="113">
        <f>HYPERLINK("https://my.pitchbook.com?c=103720-96", "View company online")</f>
      </c>
    </row>
    <row r="254">
      <c r="A254" s="27" t="inlineStr">
        <is>
          <t>158853-34</t>
        </is>
      </c>
      <c r="B254" s="28" t="inlineStr">
        <is>
          <t>Weedeel</t>
        </is>
      </c>
      <c r="C254" s="29" t="inlineStr">
        <is>
          <t>94107</t>
        </is>
      </c>
      <c r="D254" s="30" t="inlineStr">
        <is>
          <t>Developer of a social business application. The company develops an application which serves as a distributed social business protocol and allows people to share and pay bounties.</t>
        </is>
      </c>
      <c r="E254" s="31" t="inlineStr">
        <is>
          <t>Application Software</t>
        </is>
      </c>
      <c r="F254" s="32" t="inlineStr">
        <is>
          <t>San Francisco, CA</t>
        </is>
      </c>
      <c r="G254" s="33" t="inlineStr">
        <is>
          <t>Privately Held (backing)</t>
        </is>
      </c>
      <c r="H254" s="34" t="inlineStr">
        <is>
          <t>Accelerator/Incubator Backed</t>
        </is>
      </c>
      <c r="I254" s="35" t="inlineStr">
        <is>
          <t>Orevon</t>
        </is>
      </c>
      <c r="J254" s="36" t="inlineStr">
        <is>
          <t>www.weedeel.com</t>
        </is>
      </c>
      <c r="K254" s="37" t="inlineStr">
        <is>
          <t>contact@weedeel.com</t>
        </is>
      </c>
      <c r="L254" s="38" t="inlineStr">
        <is>
          <t/>
        </is>
      </c>
      <c r="M254" s="39" t="inlineStr">
        <is>
          <t>Yvan Donadey</t>
        </is>
      </c>
      <c r="N254" s="40" t="inlineStr">
        <is>
          <t>Co-Founder, President, Chairman &amp; Chief Executive Officer</t>
        </is>
      </c>
      <c r="O254" s="41" t="inlineStr">
        <is>
          <t>yvan@weedeel.com</t>
        </is>
      </c>
      <c r="P254" s="42" t="inlineStr">
        <is>
          <t/>
        </is>
      </c>
      <c r="Q254" s="43" t="n">
        <v>2014.0</v>
      </c>
      <c r="R254" s="114">
        <f>HYPERLINK("https://my.pitchbook.com?c=158853-34", "View company online")</f>
      </c>
    </row>
    <row r="255">
      <c r="A255" s="9" t="inlineStr">
        <is>
          <t>117272-17</t>
        </is>
      </c>
      <c r="B255" s="10" t="inlineStr">
        <is>
          <t>WeedClub</t>
        </is>
      </c>
      <c r="C255" s="11" t="inlineStr">
        <is>
          <t/>
        </is>
      </c>
      <c r="D255" s="12" t="inlineStr">
        <is>
          <t>Developer of a networking site for the cannabis industry. The company provides a website and mobile application for potreprenuars, dispensaries and patients to connect and communicate with others in the industry.</t>
        </is>
      </c>
      <c r="E255" s="13" t="inlineStr">
        <is>
          <t>Application Software</t>
        </is>
      </c>
      <c r="F255" s="14" t="inlineStr">
        <is>
          <t>San Francisco, CA</t>
        </is>
      </c>
      <c r="G255" s="15" t="inlineStr">
        <is>
          <t>Privately Held (backing)</t>
        </is>
      </c>
      <c r="H255" s="16" t="inlineStr">
        <is>
          <t>Accelerator/Incubator Backed</t>
        </is>
      </c>
      <c r="I255" s="17" t="inlineStr">
        <is>
          <t>Runway Incubator</t>
        </is>
      </c>
      <c r="J255" s="18" t="inlineStr">
        <is>
          <t>www.weedclub.com</t>
        </is>
      </c>
      <c r="K255" s="19" t="inlineStr">
        <is>
          <t>help@weedclub.com</t>
        </is>
      </c>
      <c r="L255" s="20" t="inlineStr">
        <is>
          <t>+1 (888) 420-6856</t>
        </is>
      </c>
      <c r="M255" s="21" t="inlineStr">
        <is>
          <t>Michael Landau</t>
        </is>
      </c>
      <c r="N255" s="22" t="inlineStr">
        <is>
          <t>Founder &amp; Chief Technology Officer, Technology</t>
        </is>
      </c>
      <c r="O255" s="23" t="inlineStr">
        <is>
          <t/>
        </is>
      </c>
      <c r="P255" s="24" t="inlineStr">
        <is>
          <t>+1 (888) 420-6856</t>
        </is>
      </c>
      <c r="Q255" s="25" t="n">
        <v>2014.0</v>
      </c>
      <c r="R255" s="113">
        <f>HYPERLINK("https://my.pitchbook.com?c=117272-17", "View company online")</f>
      </c>
    </row>
    <row r="256">
      <c r="A256" s="27" t="inlineStr">
        <is>
          <t>157904-74</t>
        </is>
      </c>
      <c r="B256" s="28" t="inlineStr">
        <is>
          <t>WeDo App</t>
        </is>
      </c>
      <c r="C256" s="29" t="inlineStr">
        <is>
          <t/>
        </is>
      </c>
      <c r="D256" s="30" t="inlineStr">
        <is>
          <t>Developer of a task management application. The company develops an application that enables user to add to-do lists and calendar meetings and also collaborate, comment and share it with other users.</t>
        </is>
      </c>
      <c r="E256" s="31" t="inlineStr">
        <is>
          <t>Application Software</t>
        </is>
      </c>
      <c r="F256" s="32" t="inlineStr">
        <is>
          <t>Los Angeles, CA</t>
        </is>
      </c>
      <c r="G256" s="33" t="inlineStr">
        <is>
          <t>Privately Held (backing)</t>
        </is>
      </c>
      <c r="H256" s="34" t="inlineStr">
        <is>
          <t>Angel-Backed</t>
        </is>
      </c>
      <c r="I256" s="35" t="inlineStr">
        <is>
          <t>Amplify.LA, Double M Partners</t>
        </is>
      </c>
      <c r="J256" s="36" t="inlineStr">
        <is>
          <t>www.wedo.com</t>
        </is>
      </c>
      <c r="K256" s="37" t="inlineStr">
        <is>
          <t>hello@wedo.com</t>
        </is>
      </c>
      <c r="L256" s="38" t="inlineStr">
        <is>
          <t/>
        </is>
      </c>
      <c r="M256" s="39" t="inlineStr">
        <is>
          <t>Raad Mobrem</t>
        </is>
      </c>
      <c r="N256" s="40" t="inlineStr">
        <is>
          <t>Co-Founder</t>
        </is>
      </c>
      <c r="O256" s="41" t="inlineStr">
        <is>
          <t>raad@lettuceapps.com</t>
        </is>
      </c>
      <c r="P256" s="42" t="inlineStr">
        <is>
          <t>+1 (310) 961-3580</t>
        </is>
      </c>
      <c r="Q256" s="43" t="n">
        <v>2015.0</v>
      </c>
      <c r="R256" s="114">
        <f>HYPERLINK("https://my.pitchbook.com?c=157904-74", "View company online")</f>
      </c>
    </row>
    <row r="257">
      <c r="A257" s="9" t="inlineStr">
        <is>
          <t>59090-68</t>
        </is>
      </c>
      <c r="B257" s="10" t="inlineStr">
        <is>
          <t>Wednesdays</t>
        </is>
      </c>
      <c r="C257" s="11" t="inlineStr">
        <is>
          <t>94105</t>
        </is>
      </c>
      <c r="D257" s="12" t="inlineStr">
        <is>
          <t>Provider of an online application that organizes lunch programs. The company helps friends, co-workers or classmates stay in touch with each other over a lunch on Wednesdays helping comapnies to foster engagement among employees as well as customers.</t>
        </is>
      </c>
      <c r="E257" s="13" t="inlineStr">
        <is>
          <t>Application Software</t>
        </is>
      </c>
      <c r="F257" s="14" t="inlineStr">
        <is>
          <t>San Francisco, CA</t>
        </is>
      </c>
      <c r="G257" s="15" t="inlineStr">
        <is>
          <t>Privately Held (backing)</t>
        </is>
      </c>
      <c r="H257" s="16" t="inlineStr">
        <is>
          <t>Accelerator/Incubator Backed</t>
        </is>
      </c>
      <c r="I257" s="17" t="inlineStr">
        <is>
          <t>500 Startups</t>
        </is>
      </c>
      <c r="J257" s="18" t="inlineStr">
        <is>
          <t>www.wednesdays.com</t>
        </is>
      </c>
      <c r="K257" s="19" t="inlineStr">
        <is>
          <t/>
        </is>
      </c>
      <c r="L257" s="20" t="inlineStr">
        <is>
          <t/>
        </is>
      </c>
      <c r="M257" s="21" t="inlineStr">
        <is>
          <t>Claudia Villarica</t>
        </is>
      </c>
      <c r="N257" s="22" t="inlineStr">
        <is>
          <t>Sales Director</t>
        </is>
      </c>
      <c r="O257" s="23" t="inlineStr">
        <is>
          <t>claudia.villarica@wednesdays.com</t>
        </is>
      </c>
      <c r="P257" s="24" t="inlineStr">
        <is>
          <t/>
        </is>
      </c>
      <c r="Q257" s="25" t="n">
        <v>2011.0</v>
      </c>
      <c r="R257" s="113">
        <f>HYPERLINK("https://my.pitchbook.com?c=59090-68", "View company online")</f>
      </c>
    </row>
    <row r="258">
      <c r="A258" s="27" t="inlineStr">
        <is>
          <t>54795-97</t>
        </is>
      </c>
      <c r="B258" s="28" t="inlineStr">
        <is>
          <t>WeddingLovely</t>
        </is>
      </c>
      <c r="C258" s="29" t="inlineStr">
        <is>
          <t/>
        </is>
      </c>
      <c r="D258" s="30" t="inlineStr">
        <is>
          <t>Developer of an online wedding planning application. The company provides a platform for local and independent wedding vendors to come together and plan a wedding.</t>
        </is>
      </c>
      <c r="E258" s="31" t="inlineStr">
        <is>
          <t>Other Services (B2C Non-Financial)</t>
        </is>
      </c>
      <c r="F258" s="32" t="inlineStr">
        <is>
          <t>San Francisco, CA</t>
        </is>
      </c>
      <c r="G258" s="33" t="inlineStr">
        <is>
          <t>Privately Held (backing)</t>
        </is>
      </c>
      <c r="H258" s="34" t="inlineStr">
        <is>
          <t>Accelerator/Incubator Backed</t>
        </is>
      </c>
      <c r="I258" s="35" t="inlineStr">
        <is>
          <t>500 Startups, Christine Tsai, David McClure, Designer Fund, Paul Singh</t>
        </is>
      </c>
      <c r="J258" s="36" t="inlineStr">
        <is>
          <t>www.weddinglovely.com</t>
        </is>
      </c>
      <c r="K258" s="37" t="inlineStr">
        <is>
          <t>hi@weddinglovely.com</t>
        </is>
      </c>
      <c r="L258" s="38" t="inlineStr">
        <is>
          <t/>
        </is>
      </c>
      <c r="M258" s="39" t="inlineStr">
        <is>
          <t>Tracy Osborn</t>
        </is>
      </c>
      <c r="N258" s="40" t="inlineStr">
        <is>
          <t>Co-Founder &amp; Chief Executive Officer</t>
        </is>
      </c>
      <c r="O258" s="41" t="inlineStr">
        <is>
          <t>tracy@weddinglovely.com</t>
        </is>
      </c>
      <c r="P258" s="42" t="inlineStr">
        <is>
          <t/>
        </is>
      </c>
      <c r="Q258" s="43" t="n">
        <v>2010.0</v>
      </c>
      <c r="R258" s="114">
        <f>HYPERLINK("https://my.pitchbook.com?c=54795-97", "View company online")</f>
      </c>
    </row>
    <row r="259">
      <c r="A259" s="9" t="inlineStr">
        <is>
          <t>171571-06</t>
        </is>
      </c>
      <c r="B259" s="10" t="inlineStr">
        <is>
          <t>WeBuyYourCar</t>
        </is>
      </c>
      <c r="C259" s="11" t="inlineStr">
        <is>
          <t>94063</t>
        </is>
      </c>
      <c r="D259" s="12" t="inlineStr">
        <is>
          <t>Provider of an online car selling platform intended to improve car selling experience. The company's car selling platform permits evaluation of car price through a transparent process and offers a guaranteed purchase price, enabling car sellers to conveniently and automatically sell their cars and receive a better deal.</t>
        </is>
      </c>
      <c r="E259" s="13" t="inlineStr">
        <is>
          <t>Social/Platform Software</t>
        </is>
      </c>
      <c r="F259" s="14" t="inlineStr">
        <is>
          <t>Redwood City, CA</t>
        </is>
      </c>
      <c r="G259" s="15" t="inlineStr">
        <is>
          <t>Privately Held (backing)</t>
        </is>
      </c>
      <c r="H259" s="16" t="inlineStr">
        <is>
          <t>Accelerator/Incubator Backed</t>
        </is>
      </c>
      <c r="I259" s="17" t="inlineStr">
        <is>
          <t>German Accelerator</t>
        </is>
      </c>
      <c r="J259" s="18" t="inlineStr">
        <is>
          <t>www.webuyyourcar.com</t>
        </is>
      </c>
      <c r="K259" s="19" t="inlineStr">
        <is>
          <t>info@webuyyourcar.com</t>
        </is>
      </c>
      <c r="L259" s="20" t="inlineStr">
        <is>
          <t>+1 (650) 360-5431</t>
        </is>
      </c>
      <c r="M259" s="21" t="inlineStr">
        <is>
          <t>Carlo Jesse</t>
        </is>
      </c>
      <c r="N259" s="22" t="inlineStr">
        <is>
          <t>Founder &amp; Chief Executive Officer</t>
        </is>
      </c>
      <c r="O259" s="23" t="inlineStr">
        <is>
          <t>j@webuyyourcargroup.com</t>
        </is>
      </c>
      <c r="P259" s="24" t="inlineStr">
        <is>
          <t>+1 (650) 360-5431</t>
        </is>
      </c>
      <c r="Q259" s="25" t="n">
        <v>2014.0</v>
      </c>
      <c r="R259" s="113">
        <f>HYPERLINK("https://my.pitchbook.com?c=171571-06", "View company online")</f>
      </c>
    </row>
    <row r="260">
      <c r="A260" s="27" t="inlineStr">
        <is>
          <t>55853-83</t>
        </is>
      </c>
      <c r="B260" s="28" t="inlineStr">
        <is>
          <t>Webtalk</t>
        </is>
      </c>
      <c r="C260" s="29" t="inlineStr">
        <is>
          <t>33701</t>
        </is>
      </c>
      <c r="D260" s="30" t="inlineStr">
        <is>
          <t>Provider of social and professional community platform created to help users with professional networking. The company's networking community platform provides an alternative to both Facebook and LinkedIn within a single community. It provides its users with small group based sharing and collaboration tools to local and internet businesses as an advertising model and real cash incentives to refer friends enabling users to grow their career while professional networking.</t>
        </is>
      </c>
      <c r="E260" s="31" t="inlineStr">
        <is>
          <t>Social/Platform Software</t>
        </is>
      </c>
      <c r="F260" s="32" t="inlineStr">
        <is>
          <t>Saint Petersburg, FL</t>
        </is>
      </c>
      <c r="G260" s="33" t="inlineStr">
        <is>
          <t>Privately Held (backing)</t>
        </is>
      </c>
      <c r="H260" s="34" t="inlineStr">
        <is>
          <t>Angel-Backed</t>
        </is>
      </c>
      <c r="I260" s="35" t="inlineStr">
        <is>
          <t>Microsoft Accelerator</t>
        </is>
      </c>
      <c r="J260" s="36" t="inlineStr">
        <is>
          <t>www.webtalk.org</t>
        </is>
      </c>
      <c r="K260" s="37" t="inlineStr">
        <is>
          <t/>
        </is>
      </c>
      <c r="L260" s="38" t="inlineStr">
        <is>
          <t/>
        </is>
      </c>
      <c r="M260" s="39" t="inlineStr">
        <is>
          <t>Robert Garbowicz</t>
        </is>
      </c>
      <c r="N260" s="40" t="inlineStr">
        <is>
          <t>Co-Founder &amp; Chief Executive Officer</t>
        </is>
      </c>
      <c r="O260" s="41" t="inlineStr">
        <is>
          <t>rj@webtalk.org</t>
        </is>
      </c>
      <c r="P260" s="42" t="inlineStr">
        <is>
          <t/>
        </is>
      </c>
      <c r="Q260" s="43" t="n">
        <v>2010.0</v>
      </c>
      <c r="R260" s="114">
        <f>HYPERLINK("https://my.pitchbook.com?c=55853-83", "View company online")</f>
      </c>
    </row>
    <row r="261">
      <c r="A261" s="9" t="inlineStr">
        <is>
          <t>170840-62</t>
        </is>
      </c>
      <c r="B261" s="10" t="inlineStr">
        <is>
          <t>Webpeer</t>
        </is>
      </c>
      <c r="C261" s="11" t="inlineStr">
        <is>
          <t>95134</t>
        </is>
      </c>
      <c r="D261" s="12" t="inlineStr">
        <is>
          <t>Developer of WebRTC technology intended to integrate communication services. The company's communication platform is configured to directly link users, enabling them to start video conferences, send messages and share files instantly without having to sign in.</t>
        </is>
      </c>
      <c r="E261" s="13" t="inlineStr">
        <is>
          <t>Communication Software</t>
        </is>
      </c>
      <c r="F261" s="14" t="inlineStr">
        <is>
          <t>San Jose, CA</t>
        </is>
      </c>
      <c r="G261" s="15" t="inlineStr">
        <is>
          <t>Privately Held (backing)</t>
        </is>
      </c>
      <c r="H261" s="16" t="inlineStr">
        <is>
          <t>Accelerator/Incubator Backed</t>
        </is>
      </c>
      <c r="I261" s="17" t="inlineStr">
        <is>
          <t>KIC Europe</t>
        </is>
      </c>
      <c r="J261" s="18" t="inlineStr">
        <is>
          <t>www.webpeer.io</t>
        </is>
      </c>
      <c r="K261" s="19" t="inlineStr">
        <is>
          <t>akn@akn.io</t>
        </is>
      </c>
      <c r="L261" s="20" t="inlineStr">
        <is>
          <t>+1 (747) 777-6090</t>
        </is>
      </c>
      <c r="M261" s="21" t="inlineStr">
        <is>
          <t>HyukHoon Shim</t>
        </is>
      </c>
      <c r="N261" s="22" t="inlineStr">
        <is>
          <t>Founder</t>
        </is>
      </c>
      <c r="O261" s="23" t="inlineStr">
        <is>
          <t>shim@akn.io</t>
        </is>
      </c>
      <c r="P261" s="24" t="inlineStr">
        <is>
          <t>+1 (747) 777-6090</t>
        </is>
      </c>
      <c r="Q261" s="25" t="n">
        <v>2014.0</v>
      </c>
      <c r="R261" s="113">
        <f>HYPERLINK("https://my.pitchbook.com?c=170840-62", "View company online")</f>
      </c>
    </row>
    <row r="262">
      <c r="A262" s="27" t="inlineStr">
        <is>
          <t>113872-51</t>
        </is>
      </c>
      <c r="B262" s="28" t="inlineStr">
        <is>
          <t>WeBounty</t>
        </is>
      </c>
      <c r="C262" s="86">
        <f>HYPERLINK("https://my.pitchbook.com?rrp=113872-51&amp;type=c", "This Company's information is not available to download. Need this Company? Request availability")</f>
      </c>
      <c r="D262" s="30" t="inlineStr">
        <is>
          <t/>
        </is>
      </c>
      <c r="E262" s="31" t="inlineStr">
        <is>
          <t/>
        </is>
      </c>
      <c r="F262" s="32" t="inlineStr">
        <is>
          <t/>
        </is>
      </c>
      <c r="G262" s="33" t="inlineStr">
        <is>
          <t/>
        </is>
      </c>
      <c r="H262" s="34" t="inlineStr">
        <is>
          <t/>
        </is>
      </c>
      <c r="I262" s="35" t="inlineStr">
        <is>
          <t/>
        </is>
      </c>
      <c r="J262" s="36" t="inlineStr">
        <is>
          <t/>
        </is>
      </c>
      <c r="K262" s="37" t="inlineStr">
        <is>
          <t/>
        </is>
      </c>
      <c r="L262" s="38" t="inlineStr">
        <is>
          <t/>
        </is>
      </c>
      <c r="M262" s="39" t="inlineStr">
        <is>
          <t/>
        </is>
      </c>
      <c r="N262" s="40" t="inlineStr">
        <is>
          <t/>
        </is>
      </c>
      <c r="O262" s="41" t="inlineStr">
        <is>
          <t/>
        </is>
      </c>
      <c r="P262" s="42" t="inlineStr">
        <is>
          <t/>
        </is>
      </c>
      <c r="Q262" s="43" t="inlineStr">
        <is>
          <t/>
        </is>
      </c>
      <c r="R262" s="44" t="inlineStr">
        <is>
          <t/>
        </is>
      </c>
    </row>
    <row r="263">
      <c r="A263" s="9" t="inlineStr">
        <is>
          <t>110416-24</t>
        </is>
      </c>
      <c r="B263" s="10" t="inlineStr">
        <is>
          <t>WebHostpro</t>
        </is>
      </c>
      <c r="C263" s="11" t="inlineStr">
        <is>
          <t>91505</t>
        </is>
      </c>
      <c r="D263" s="12" t="inlineStr">
        <is>
          <t>Provider of website hosting services. The company provides domain and website hosting services to both individuals and enterprises.</t>
        </is>
      </c>
      <c r="E263" s="13" t="inlineStr">
        <is>
          <t>Other Commercial Services</t>
        </is>
      </c>
      <c r="F263" s="14" t="inlineStr">
        <is>
          <t>Burbank, CA</t>
        </is>
      </c>
      <c r="G263" s="15" t="inlineStr">
        <is>
          <t>Privately Held (backing)</t>
        </is>
      </c>
      <c r="H263" s="16" t="inlineStr">
        <is>
          <t>Angel-Backed</t>
        </is>
      </c>
      <c r="I263" s="17" t="inlineStr">
        <is>
          <t/>
        </is>
      </c>
      <c r="J263" s="18" t="inlineStr">
        <is>
          <t>www.webhost.pro</t>
        </is>
      </c>
      <c r="K263" s="19" t="inlineStr">
        <is>
          <t/>
        </is>
      </c>
      <c r="L263" s="20" t="inlineStr">
        <is>
          <t>+1 (213) 984-4678</t>
        </is>
      </c>
      <c r="M263" s="21" t="inlineStr">
        <is>
          <t>Charles Yarbrough</t>
        </is>
      </c>
      <c r="N263" s="22" t="inlineStr">
        <is>
          <t>President &amp; Manager</t>
        </is>
      </c>
      <c r="O263" s="23" t="inlineStr">
        <is>
          <t>charles@webhost.pro</t>
        </is>
      </c>
      <c r="P263" s="24" t="inlineStr">
        <is>
          <t>+1 (213) 984-4678</t>
        </is>
      </c>
      <c r="Q263" s="25" t="n">
        <v>2001.0</v>
      </c>
      <c r="R263" s="113">
        <f>HYPERLINK("https://my.pitchbook.com?c=110416-24", "View company online")</f>
      </c>
    </row>
    <row r="264">
      <c r="A264" s="27" t="inlineStr">
        <is>
          <t>169575-58</t>
        </is>
      </c>
      <c r="B264" s="28" t="inlineStr">
        <is>
          <t>WebCMSNow</t>
        </is>
      </c>
      <c r="C264" s="29" t="inlineStr">
        <is>
          <t/>
        </is>
      </c>
      <c r="D264" s="30" t="inlineStr">
        <is>
          <t>Provider of cloud platform for designing websites. The company specializes in corporate website designing, customized mobile application software development and search engine optimization to help enterprises in digital marketing.</t>
        </is>
      </c>
      <c r="E264" s="31" t="inlineStr">
        <is>
          <t>Software Development Applications</t>
        </is>
      </c>
      <c r="F264" s="32" t="inlineStr">
        <is>
          <t>Redding, CA</t>
        </is>
      </c>
      <c r="G264" s="33" t="inlineStr">
        <is>
          <t>Privately Held (backing)</t>
        </is>
      </c>
      <c r="H264" s="34" t="inlineStr">
        <is>
          <t>Accelerator/Incubator Backed</t>
        </is>
      </c>
      <c r="I264" s="35" t="inlineStr">
        <is>
          <t>Chicostart</t>
        </is>
      </c>
      <c r="J264" s="36" t="inlineStr">
        <is>
          <t>www.webcmsnow.com</t>
        </is>
      </c>
      <c r="K264" s="37" t="inlineStr">
        <is>
          <t/>
        </is>
      </c>
      <c r="L264" s="38" t="inlineStr">
        <is>
          <t/>
        </is>
      </c>
      <c r="M264" s="39" t="inlineStr">
        <is>
          <t>Mark Y.</t>
        </is>
      </c>
      <c r="N264" s="40" t="inlineStr">
        <is>
          <t>Chief Executive Officer</t>
        </is>
      </c>
      <c r="O264" s="41" t="inlineStr">
        <is>
          <t>mark@webcmsnow.com</t>
        </is>
      </c>
      <c r="P264" s="42" t="inlineStr">
        <is>
          <t/>
        </is>
      </c>
      <c r="Q264" s="43" t="n">
        <v>2012.0</v>
      </c>
      <c r="R264" s="114">
        <f>HYPERLINK("https://my.pitchbook.com?c=169575-58", "View company online")</f>
      </c>
    </row>
    <row r="265">
      <c r="A265" s="9" t="inlineStr">
        <is>
          <t>104481-64</t>
        </is>
      </c>
      <c r="B265" s="10" t="inlineStr">
        <is>
          <t>WebChalet</t>
        </is>
      </c>
      <c r="C265" s="11" t="inlineStr">
        <is>
          <t/>
        </is>
      </c>
      <c r="D265" s="12" t="inlineStr">
        <is>
          <t>Developer of a mobile travel assistant designed for booking vacation rentals. The company's cloud-based travel assistant platform for travelers offering text message based hotel booking by connecting the traveler to a travel expert who researches the best options from a network of trusted professionals and owners worldwide enabling travelers to expedite and personalize their travel booking process.</t>
        </is>
      </c>
      <c r="E265" s="13" t="inlineStr">
        <is>
          <t>Application Software</t>
        </is>
      </c>
      <c r="F265" s="14" t="inlineStr">
        <is>
          <t>San Francisco, CA</t>
        </is>
      </c>
      <c r="G265" s="15" t="inlineStr">
        <is>
          <t>Privately Held (backing)</t>
        </is>
      </c>
      <c r="H265" s="16" t="inlineStr">
        <is>
          <t>Angel-Backed</t>
        </is>
      </c>
      <c r="I265" s="17" t="inlineStr">
        <is>
          <t>AngelPad</t>
        </is>
      </c>
      <c r="J265" s="18" t="inlineStr">
        <is>
          <t>www.webchalet.com</t>
        </is>
      </c>
      <c r="K265" s="19" t="inlineStr">
        <is>
          <t>info@webchalet.com</t>
        </is>
      </c>
      <c r="L265" s="20" t="inlineStr">
        <is>
          <t>+1 (855) 777-2284</t>
        </is>
      </c>
      <c r="M265" s="21" t="inlineStr">
        <is>
          <t>Chad Brubaker</t>
        </is>
      </c>
      <c r="N265" s="22" t="inlineStr">
        <is>
          <t>Co-Founder, Chief Executive Officer &amp; Board Member</t>
        </is>
      </c>
      <c r="O265" s="23" t="inlineStr">
        <is>
          <t>chad@onerooftop.com</t>
        </is>
      </c>
      <c r="P265" s="24" t="inlineStr">
        <is>
          <t>+1 (855) 777-2284</t>
        </is>
      </c>
      <c r="Q265" s="25" t="n">
        <v>2010.0</v>
      </c>
      <c r="R265" s="113">
        <f>HYPERLINK("https://my.pitchbook.com?c=104481-64", "View company online")</f>
      </c>
    </row>
    <row r="266">
      <c r="A266" s="27" t="inlineStr">
        <is>
          <t>175642-21</t>
        </is>
      </c>
      <c r="B266" s="28" t="inlineStr">
        <is>
          <t>Wealthstake</t>
        </is>
      </c>
      <c r="C266" s="86">
        <f>HYPERLINK("https://my.pitchbook.com?rrp=175642-21&amp;type=c", "This Company's information is not available to download. Need this Company? Request availability")</f>
      </c>
      <c r="D266" s="30" t="inlineStr">
        <is>
          <t/>
        </is>
      </c>
      <c r="E266" s="31" t="inlineStr">
        <is>
          <t/>
        </is>
      </c>
      <c r="F266" s="32" t="inlineStr">
        <is>
          <t/>
        </is>
      </c>
      <c r="G266" s="33" t="inlineStr">
        <is>
          <t/>
        </is>
      </c>
      <c r="H266" s="34" t="inlineStr">
        <is>
          <t/>
        </is>
      </c>
      <c r="I266" s="35" t="inlineStr">
        <is>
          <t/>
        </is>
      </c>
      <c r="J266" s="36" t="inlineStr">
        <is>
          <t/>
        </is>
      </c>
      <c r="K266" s="37" t="inlineStr">
        <is>
          <t/>
        </is>
      </c>
      <c r="L266" s="38" t="inlineStr">
        <is>
          <t/>
        </is>
      </c>
      <c r="M266" s="39" t="inlineStr">
        <is>
          <t/>
        </is>
      </c>
      <c r="N266" s="40" t="inlineStr">
        <is>
          <t/>
        </is>
      </c>
      <c r="O266" s="41" t="inlineStr">
        <is>
          <t/>
        </is>
      </c>
      <c r="P266" s="42" t="inlineStr">
        <is>
          <t/>
        </is>
      </c>
      <c r="Q266" s="43" t="inlineStr">
        <is>
          <t/>
        </is>
      </c>
      <c r="R266" s="44" t="inlineStr">
        <is>
          <t/>
        </is>
      </c>
    </row>
    <row r="267">
      <c r="A267" s="9" t="inlineStr">
        <is>
          <t>169575-31</t>
        </is>
      </c>
      <c r="B267" s="10" t="inlineStr">
        <is>
          <t>We Rad Dads</t>
        </is>
      </c>
      <c r="C267" s="11" t="inlineStr">
        <is>
          <t/>
        </is>
      </c>
      <c r="D267" s="12" t="inlineStr">
        <is>
          <t>Provider of a podcast platform that offers paternity consultancy services. The company specializes in providing a web and podcast platform that offers paternity and childcare consulting services to single fathers.</t>
        </is>
      </c>
      <c r="E267" s="13" t="inlineStr">
        <is>
          <t>Other Services (B2C Non-Financial)</t>
        </is>
      </c>
      <c r="F267" s="14" t="inlineStr">
        <is>
          <t>Chico, CA</t>
        </is>
      </c>
      <c r="G267" s="15" t="inlineStr">
        <is>
          <t>Privately Held (backing)</t>
        </is>
      </c>
      <c r="H267" s="16" t="inlineStr">
        <is>
          <t>Accelerator/Incubator Backed</t>
        </is>
      </c>
      <c r="I267" s="17" t="inlineStr">
        <is>
          <t>Chicostart</t>
        </is>
      </c>
      <c r="J267" s="18" t="inlineStr">
        <is>
          <t>www.weraddads.com</t>
        </is>
      </c>
      <c r="K267" s="19" t="inlineStr">
        <is>
          <t/>
        </is>
      </c>
      <c r="L267" s="20" t="inlineStr">
        <is>
          <t/>
        </is>
      </c>
      <c r="M267" s="21" t="inlineStr">
        <is>
          <t>Walter Eggers</t>
        </is>
      </c>
      <c r="N267" s="22" t="inlineStr">
        <is>
          <t>Founder</t>
        </is>
      </c>
      <c r="O267" s="23" t="inlineStr">
        <is>
          <t>walter@weraddads.com</t>
        </is>
      </c>
      <c r="P267" s="24" t="inlineStr">
        <is>
          <t/>
        </is>
      </c>
      <c r="Q267" s="25" t="n">
        <v>2006.0</v>
      </c>
      <c r="R267" s="113">
        <f>HYPERLINK("https://my.pitchbook.com?c=169575-31", "View company online")</f>
      </c>
    </row>
    <row r="268">
      <c r="A268" s="27" t="inlineStr">
        <is>
          <t>104285-26</t>
        </is>
      </c>
      <c r="B268" s="28" t="inlineStr">
        <is>
          <t>We Labs</t>
        </is>
      </c>
      <c r="C268" s="29" t="inlineStr">
        <is>
          <t>90802</t>
        </is>
      </c>
      <c r="D268" s="30" t="inlineStr">
        <is>
          <t>Provider of co-working facilities for startups. The company offers a co-working and business community for small businesses, freelancers and entrepreneurs.</t>
        </is>
      </c>
      <c r="E268" s="31" t="inlineStr">
        <is>
          <t>Other Commercial Services</t>
        </is>
      </c>
      <c r="F268" s="32" t="inlineStr">
        <is>
          <t>Long Beach, CA</t>
        </is>
      </c>
      <c r="G268" s="33" t="inlineStr">
        <is>
          <t>Privately Held (backing)</t>
        </is>
      </c>
      <c r="H268" s="34" t="inlineStr">
        <is>
          <t>Angel-Backed</t>
        </is>
      </c>
      <c r="I268" s="35" t="inlineStr">
        <is>
          <t/>
        </is>
      </c>
      <c r="J268" s="36" t="inlineStr">
        <is>
          <t>www.welabs.us</t>
        </is>
      </c>
      <c r="K268" s="37" t="inlineStr">
        <is>
          <t/>
        </is>
      </c>
      <c r="L268" s="38" t="inlineStr">
        <is>
          <t>+1 (562) 264-5883</t>
        </is>
      </c>
      <c r="M268" s="39" t="inlineStr">
        <is>
          <t>Robbie Brown</t>
        </is>
      </c>
      <c r="N268" s="40" t="inlineStr">
        <is>
          <t>Co-Founder, Operations Director, Chief Executive Officer &amp; Managing Partner</t>
        </is>
      </c>
      <c r="O268" s="41" t="inlineStr">
        <is>
          <t>robbie.brown@welabs.us</t>
        </is>
      </c>
      <c r="P268" s="42" t="inlineStr">
        <is>
          <t>+1 (562) 264-5883</t>
        </is>
      </c>
      <c r="Q268" s="43" t="n">
        <v>2012.0</v>
      </c>
      <c r="R268" s="114">
        <f>HYPERLINK("https://my.pitchbook.com?c=104285-26", "View company online")</f>
      </c>
    </row>
    <row r="269">
      <c r="A269" s="9" t="inlineStr">
        <is>
          <t>168340-87</t>
        </is>
      </c>
      <c r="B269" s="10" t="inlineStr">
        <is>
          <t>We Are Onyx</t>
        </is>
      </c>
      <c r="C269" s="11" t="inlineStr">
        <is>
          <t/>
        </is>
      </c>
      <c r="D269" s="12" t="inlineStr">
        <is>
          <t>Provider of hair, beauty, skin, and nail care products. The company offers a subscription service that allows members to try beauty products and see what suits a dark complexioned women.</t>
        </is>
      </c>
      <c r="E269" s="13" t="inlineStr">
        <is>
          <t>Personal Products</t>
        </is>
      </c>
      <c r="F269" s="14" t="inlineStr">
        <is>
          <t>Los Angeles, CA</t>
        </is>
      </c>
      <c r="G269" s="15" t="inlineStr">
        <is>
          <t>Privately Held (backing)</t>
        </is>
      </c>
      <c r="H269" s="16" t="inlineStr">
        <is>
          <t>Accelerator/Incubator Backed</t>
        </is>
      </c>
      <c r="I269" s="17" t="inlineStr">
        <is>
          <t>500 Startups</t>
        </is>
      </c>
      <c r="J269" s="18" t="inlineStr">
        <is>
          <t>weareonyx.com</t>
        </is>
      </c>
      <c r="K269" s="19" t="inlineStr">
        <is>
          <t>contact@weareonyx.com</t>
        </is>
      </c>
      <c r="L269" s="20" t="inlineStr">
        <is>
          <t>+1 (323) 302-5234</t>
        </is>
      </c>
      <c r="M269" s="21" t="inlineStr">
        <is>
          <t>Delali Kpodzo</t>
        </is>
      </c>
      <c r="N269" s="22" t="inlineStr">
        <is>
          <t>Co-Founder</t>
        </is>
      </c>
      <c r="O269" s="23" t="inlineStr">
        <is>
          <t>delali@weareonyx.com</t>
        </is>
      </c>
      <c r="P269" s="24" t="inlineStr">
        <is>
          <t>+1 (323) 302-5234</t>
        </is>
      </c>
      <c r="Q269" s="25" t="n">
        <v>2012.0</v>
      </c>
      <c r="R269" s="113">
        <f>HYPERLINK("https://my.pitchbook.com?c=168340-87", "View company online")</f>
      </c>
    </row>
    <row r="270">
      <c r="A270" s="27" t="inlineStr">
        <is>
          <t>104784-85</t>
        </is>
      </c>
      <c r="B270" s="28" t="inlineStr">
        <is>
          <t>We</t>
        </is>
      </c>
      <c r="C270" s="29" t="inlineStr">
        <is>
          <t>94107</t>
        </is>
      </c>
      <c r="D270" s="30" t="inlineStr">
        <is>
          <t>Developer and provider of a platform for mobile communications. The comapny provides a platform for mobile communications and human computer interaction.</t>
        </is>
      </c>
      <c r="E270" s="31" t="inlineStr">
        <is>
          <t>Application Software</t>
        </is>
      </c>
      <c r="F270" s="32" t="inlineStr">
        <is>
          <t>San Francisco, CA</t>
        </is>
      </c>
      <c r="G270" s="33" t="inlineStr">
        <is>
          <t>Privately Held (backing)</t>
        </is>
      </c>
      <c r="H270" s="34" t="inlineStr">
        <is>
          <t>Angel-Backed</t>
        </is>
      </c>
      <c r="I270" s="35" t="inlineStr">
        <is>
          <t/>
        </is>
      </c>
      <c r="J270" s="36" t="inlineStr">
        <is>
          <t>www.wecommunicate.co</t>
        </is>
      </c>
      <c r="K270" s="37" t="inlineStr">
        <is>
          <t/>
        </is>
      </c>
      <c r="L270" s="38" t="inlineStr">
        <is>
          <t/>
        </is>
      </c>
      <c r="M270" s="39" t="inlineStr">
        <is>
          <t>Guy Ravine</t>
        </is>
      </c>
      <c r="N270" s="40" t="inlineStr">
        <is>
          <t>Founder &amp; Chief Executive Officer</t>
        </is>
      </c>
      <c r="O270" s="41" t="inlineStr">
        <is>
          <t>guy@wecommunicate.co</t>
        </is>
      </c>
      <c r="P270" s="42" t="inlineStr">
        <is>
          <t/>
        </is>
      </c>
      <c r="Q270" s="43" t="n">
        <v>2012.0</v>
      </c>
      <c r="R270" s="114">
        <f>HYPERLINK("https://my.pitchbook.com?c=104784-85", "View company online")</f>
      </c>
    </row>
    <row r="271">
      <c r="A271" s="9" t="inlineStr">
        <is>
          <t>103505-77</t>
        </is>
      </c>
      <c r="B271" s="10" t="inlineStr">
        <is>
          <t>Wazala!</t>
        </is>
      </c>
      <c r="C271" s="11" t="inlineStr">
        <is>
          <t>90048</t>
        </is>
      </c>
      <c r="D271" s="12" t="inlineStr">
        <is>
          <t>Developer and provider of a website application for building an online store within the users website or blog. The company provides an application which can be plugged to any website, blog or facebook page thus helping to sell digital and physical goods within a single store.</t>
        </is>
      </c>
      <c r="E271" s="13" t="inlineStr">
        <is>
          <t>Internet Retail</t>
        </is>
      </c>
      <c r="F271" s="14" t="inlineStr">
        <is>
          <t>Los Angeles, CA</t>
        </is>
      </c>
      <c r="G271" s="15" t="inlineStr">
        <is>
          <t>Privately Held (backing)</t>
        </is>
      </c>
      <c r="H271" s="16" t="inlineStr">
        <is>
          <t>Accelerator/Incubator Backed</t>
        </is>
      </c>
      <c r="I271" s="17" t="inlineStr">
        <is>
          <t>Boxador</t>
        </is>
      </c>
      <c r="J271" s="18" t="inlineStr">
        <is>
          <t>www.wazala.com</t>
        </is>
      </c>
      <c r="K271" s="19" t="inlineStr">
        <is>
          <t>hello@wazala.com</t>
        </is>
      </c>
      <c r="L271" s="20" t="inlineStr">
        <is>
          <t/>
        </is>
      </c>
      <c r="M271" s="21" t="inlineStr">
        <is>
          <t>Zeena Bushnaq</t>
        </is>
      </c>
      <c r="N271" s="22" t="inlineStr">
        <is>
          <t>Managing Director</t>
        </is>
      </c>
      <c r="O271" s="23" t="inlineStr">
        <is>
          <t>zeena.bushnaq@wazala.com</t>
        </is>
      </c>
      <c r="P271" s="24" t="inlineStr">
        <is>
          <t/>
        </is>
      </c>
      <c r="Q271" s="25" t="n">
        <v>2010.0</v>
      </c>
      <c r="R271" s="113">
        <f>HYPERLINK("https://my.pitchbook.com?c=103505-77", "View company online")</f>
      </c>
    </row>
    <row r="272">
      <c r="A272" s="27" t="inlineStr">
        <is>
          <t>160277-50</t>
        </is>
      </c>
      <c r="B272" s="28" t="inlineStr">
        <is>
          <t>Wayzme</t>
        </is>
      </c>
      <c r="C272" s="29" t="inlineStr">
        <is>
          <t>95128</t>
        </is>
      </c>
      <c r="D272" s="30" t="inlineStr">
        <is>
          <t>The company is currently operating in Stealth mode.</t>
        </is>
      </c>
      <c r="E272" s="31" t="inlineStr">
        <is>
          <t>Other Business Products and Services</t>
        </is>
      </c>
      <c r="F272" s="32" t="inlineStr">
        <is>
          <t>San Jose, CA</t>
        </is>
      </c>
      <c r="G272" s="33" t="inlineStr">
        <is>
          <t>Privately Held (backing)</t>
        </is>
      </c>
      <c r="H272" s="34" t="inlineStr">
        <is>
          <t>Angel-Backed</t>
        </is>
      </c>
      <c r="I272" s="35" t="inlineStr">
        <is>
          <t/>
        </is>
      </c>
      <c r="J272" s="36" t="inlineStr">
        <is>
          <t/>
        </is>
      </c>
      <c r="K272" s="37" t="inlineStr">
        <is>
          <t/>
        </is>
      </c>
      <c r="L272" s="38" t="inlineStr">
        <is>
          <t>+1 (720) 412-9900</t>
        </is>
      </c>
      <c r="M272" s="39" t="inlineStr">
        <is>
          <t>Benjamin Gillens</t>
        </is>
      </c>
      <c r="N272" s="40" t="inlineStr">
        <is>
          <t>Executive &amp; Board Member</t>
        </is>
      </c>
      <c r="O272" s="41" t="inlineStr">
        <is>
          <t/>
        </is>
      </c>
      <c r="P272" s="42" t="inlineStr">
        <is>
          <t>+1 (720) 412-9900</t>
        </is>
      </c>
      <c r="Q272" s="43" t="n">
        <v>2015.0</v>
      </c>
      <c r="R272" s="114">
        <f>HYPERLINK("https://my.pitchbook.com?c=160277-50", "View company online")</f>
      </c>
    </row>
    <row r="273">
      <c r="A273" s="9" t="inlineStr">
        <is>
          <t>103153-33</t>
        </is>
      </c>
      <c r="B273" s="10" t="inlineStr">
        <is>
          <t>WaysGo</t>
        </is>
      </c>
      <c r="C273" s="11" t="inlineStr">
        <is>
          <t>95113</t>
        </is>
      </c>
      <c r="D273" s="12" t="inlineStr">
        <is>
          <t>Provider of an opinion expressing and product review platform. The comapny offers a web based platform allowing business, experts and the public to debate and dialogue on features and reviews of products, places, services and events.</t>
        </is>
      </c>
      <c r="E273" s="13" t="inlineStr">
        <is>
          <t>Social/Platform Software</t>
        </is>
      </c>
      <c r="F273" s="14" t="inlineStr">
        <is>
          <t>San Jose, CA</t>
        </is>
      </c>
      <c r="G273" s="15" t="inlineStr">
        <is>
          <t>Privately Held (backing)</t>
        </is>
      </c>
      <c r="H273" s="16" t="inlineStr">
        <is>
          <t>Angel-Backed</t>
        </is>
      </c>
      <c r="I273" s="17" t="inlineStr">
        <is>
          <t/>
        </is>
      </c>
      <c r="J273" s="18" t="inlineStr">
        <is>
          <t>www.waysgo.com</t>
        </is>
      </c>
      <c r="K273" s="19" t="inlineStr">
        <is>
          <t/>
        </is>
      </c>
      <c r="L273" s="20" t="inlineStr">
        <is>
          <t/>
        </is>
      </c>
      <c r="M273" s="21" t="inlineStr">
        <is>
          <t>Vadym Kochergin</t>
        </is>
      </c>
      <c r="N273" s="22" t="inlineStr">
        <is>
          <t>Chief Financial Officer</t>
        </is>
      </c>
      <c r="O273" s="23" t="inlineStr">
        <is>
          <t/>
        </is>
      </c>
      <c r="P273" s="24" t="inlineStr">
        <is>
          <t/>
        </is>
      </c>
      <c r="Q273" s="25" t="n">
        <v>2009.0</v>
      </c>
      <c r="R273" s="113">
        <f>HYPERLINK("https://my.pitchbook.com?c=103153-33", "View company online")</f>
      </c>
    </row>
    <row r="274">
      <c r="A274" s="27" t="inlineStr">
        <is>
          <t>169143-76</t>
        </is>
      </c>
      <c r="B274" s="28" t="inlineStr">
        <is>
          <t>Waymo</t>
        </is>
      </c>
      <c r="C274" s="29" t="inlineStr">
        <is>
          <t/>
        </is>
      </c>
      <c r="D274" s="30" t="inlineStr">
        <is>
          <t>Developer of autonomous automobiles intended to transform mobility by making it easier and safer. The company's autonomous cars are self-driven without a steering wheel, pedals and are also integrated with sensors and software that are designed to detect pedestrians, cyclists, vehicles and road works, enabling users to have a safer and enjoyable traveling experience.</t>
        </is>
      </c>
      <c r="E274" s="31" t="inlineStr">
        <is>
          <t>Automotive</t>
        </is>
      </c>
      <c r="F274" s="32" t="inlineStr">
        <is>
          <t>Mountain View, CA</t>
        </is>
      </c>
      <c r="G274" s="33" t="inlineStr">
        <is>
          <t>Privately Held (backing)</t>
        </is>
      </c>
      <c r="H274" s="34" t="inlineStr">
        <is>
          <t>Accelerator/Incubator Backed</t>
        </is>
      </c>
      <c r="I274" s="35" t="inlineStr">
        <is>
          <t>X - Google Acclerator</t>
        </is>
      </c>
      <c r="J274" s="36" t="inlineStr">
        <is>
          <t>www.waymo.com</t>
        </is>
      </c>
      <c r="K274" s="37" t="inlineStr">
        <is>
          <t>team@waymo.com</t>
        </is>
      </c>
      <c r="L274" s="38" t="inlineStr">
        <is>
          <t/>
        </is>
      </c>
      <c r="M274" s="39" t="inlineStr">
        <is>
          <t>John Krafcik</t>
        </is>
      </c>
      <c r="N274" s="40" t="inlineStr">
        <is>
          <t>Chief Executive Officer</t>
        </is>
      </c>
      <c r="O274" s="41" t="inlineStr">
        <is>
          <t>jkrafcik@google.com</t>
        </is>
      </c>
      <c r="P274" s="42" t="inlineStr">
        <is>
          <t>+1 (650) 253-0000</t>
        </is>
      </c>
      <c r="Q274" s="43" t="n">
        <v>2009.0</v>
      </c>
      <c r="R274" s="114">
        <f>HYPERLINK("https://my.pitchbook.com?c=169143-76", "View company online")</f>
      </c>
    </row>
    <row r="275">
      <c r="A275" s="9" t="inlineStr">
        <is>
          <t>167071-15</t>
        </is>
      </c>
      <c r="B275" s="10" t="inlineStr">
        <is>
          <t>Wayfarer</t>
        </is>
      </c>
      <c r="C275" s="11" t="inlineStr">
        <is>
          <t>90292</t>
        </is>
      </c>
      <c r="D275" s="12" t="inlineStr">
        <is>
          <t>Producer of media content for non-profit organizations and advertising agencies. The company specializes in producing media content and offers film and television production services to corporations, non-profit organizations, advertising agencies, educational foundations, schools and start-ups.</t>
        </is>
      </c>
      <c r="E275" s="13" t="inlineStr">
        <is>
          <t>Media and Information Services (B2B)</t>
        </is>
      </c>
      <c r="F275" s="14" t="inlineStr">
        <is>
          <t>Los Angeles, CA</t>
        </is>
      </c>
      <c r="G275" s="15" t="inlineStr">
        <is>
          <t>Privately Held (backing)</t>
        </is>
      </c>
      <c r="H275" s="16" t="inlineStr">
        <is>
          <t>Accelerator/Incubator Backed</t>
        </is>
      </c>
      <c r="I275" s="17" t="inlineStr">
        <is>
          <t>One Planet Ops</t>
        </is>
      </c>
      <c r="J275" s="18" t="inlineStr">
        <is>
          <t>www.wearewayfarer.com</t>
        </is>
      </c>
      <c r="K275" s="19" t="inlineStr">
        <is>
          <t>hello@wearewayfarer.com</t>
        </is>
      </c>
      <c r="L275" s="20" t="inlineStr">
        <is>
          <t>+1 (310) 473-2786</t>
        </is>
      </c>
      <c r="M275" s="21" t="inlineStr">
        <is>
          <t>Justin Baldoni</t>
        </is>
      </c>
      <c r="N275" s="22" t="inlineStr">
        <is>
          <t>Co-Founder &amp; Chief Executive Officer</t>
        </is>
      </c>
      <c r="O275" s="23" t="inlineStr">
        <is>
          <t/>
        </is>
      </c>
      <c r="P275" s="24" t="inlineStr">
        <is>
          <t>+1 (310) 473-2786</t>
        </is>
      </c>
      <c r="Q275" s="25" t="n">
        <v>2013.0</v>
      </c>
      <c r="R275" s="113">
        <f>HYPERLINK("https://my.pitchbook.com?c=167071-15", "View company online")</f>
      </c>
    </row>
    <row r="276">
      <c r="A276" s="27" t="inlineStr">
        <is>
          <t>89468-92</t>
        </is>
      </c>
      <c r="B276" s="28" t="inlineStr">
        <is>
          <t>Wax Music</t>
        </is>
      </c>
      <c r="C276" s="29" t="inlineStr">
        <is>
          <t>90036</t>
        </is>
      </c>
      <c r="D276" s="30" t="inlineStr">
        <is>
          <t>Developer of a social application for finding concerts and music events. The company's application helps people in sharing and discovering information about music and music related events and concerts. The company's platform also helps music fans in discovering new artists and buying tickets of their live shows.</t>
        </is>
      </c>
      <c r="E276" s="31" t="inlineStr">
        <is>
          <t>Application Software</t>
        </is>
      </c>
      <c r="F276" s="32" t="inlineStr">
        <is>
          <t>Los Angeles, CA</t>
        </is>
      </c>
      <c r="G276" s="33" t="inlineStr">
        <is>
          <t>Privately Held (backing)</t>
        </is>
      </c>
      <c r="H276" s="34" t="inlineStr">
        <is>
          <t>Accelerator/Incubator Backed</t>
        </is>
      </c>
      <c r="I276" s="35" t="inlineStr">
        <is>
          <t>Individual Investor, The Brandery</t>
        </is>
      </c>
      <c r="J276" s="36" t="inlineStr">
        <is>
          <t>www.luckypennie.com</t>
        </is>
      </c>
      <c r="K276" s="37" t="inlineStr">
        <is>
          <t>friends@luckypennie.com</t>
        </is>
      </c>
      <c r="L276" s="38" t="inlineStr">
        <is>
          <t/>
        </is>
      </c>
      <c r="M276" s="39" t="inlineStr">
        <is>
          <t>John Wolanin</t>
        </is>
      </c>
      <c r="N276" s="40" t="inlineStr">
        <is>
          <t>Co-Founder &amp; Chief Product Officer</t>
        </is>
      </c>
      <c r="O276" s="41" t="inlineStr">
        <is>
          <t>john@dave.com</t>
        </is>
      </c>
      <c r="P276" s="42" t="inlineStr">
        <is>
          <t/>
        </is>
      </c>
      <c r="Q276" s="43" t="n">
        <v>2013.0</v>
      </c>
      <c r="R276" s="114">
        <f>HYPERLINK("https://my.pitchbook.com?c=89468-92", "View company online")</f>
      </c>
    </row>
    <row r="277">
      <c r="A277" s="9" t="inlineStr">
        <is>
          <t>160606-36</t>
        </is>
      </c>
      <c r="B277" s="10" t="inlineStr">
        <is>
          <t>Waviot</t>
        </is>
      </c>
      <c r="C277" s="11" t="inlineStr">
        <is>
          <t>77056</t>
        </is>
      </c>
      <c r="D277" s="12" t="inlineStr">
        <is>
          <t>Developer of an IoT connectivity electrical equipment. The company provides IoT connectivity product that uses low-power wide-area network to power the machine to machine telemetry and internet of things.</t>
        </is>
      </c>
      <c r="E277" s="13" t="inlineStr">
        <is>
          <t>Connectivity Products</t>
        </is>
      </c>
      <c r="F277" s="14" t="inlineStr">
        <is>
          <t>Houston, TX</t>
        </is>
      </c>
      <c r="G277" s="15" t="inlineStr">
        <is>
          <t>Privately Held (backing)</t>
        </is>
      </c>
      <c r="H277" s="16" t="inlineStr">
        <is>
          <t>Accelerator/Incubator Backed</t>
        </is>
      </c>
      <c r="I277" s="17" t="inlineStr">
        <is>
          <t>OwlSpark</t>
        </is>
      </c>
      <c r="J277" s="18" t="inlineStr">
        <is>
          <t>www.dgmatics.com</t>
        </is>
      </c>
      <c r="K277" s="19" t="inlineStr">
        <is>
          <t>info@dgmatics.com</t>
        </is>
      </c>
      <c r="L277" s="20" t="inlineStr">
        <is>
          <t>+1 (832) 308-8230</t>
        </is>
      </c>
      <c r="M277" s="21" t="inlineStr">
        <is>
          <t>Yegor Popov</t>
        </is>
      </c>
      <c r="N277" s="22" t="inlineStr">
        <is>
          <t>Co-Founder, Managing Director &amp; Chief Executive Officer</t>
        </is>
      </c>
      <c r="O277" s="23" t="inlineStr">
        <is>
          <t>yegor@dgmatics.com</t>
        </is>
      </c>
      <c r="P277" s="24" t="inlineStr">
        <is>
          <t>+1 (832) 308-8230</t>
        </is>
      </c>
      <c r="Q277" s="25" t="n">
        <v>2011.0</v>
      </c>
      <c r="R277" s="113">
        <f>HYPERLINK("https://my.pitchbook.com?c=160606-36", "View company online")</f>
      </c>
    </row>
    <row r="278">
      <c r="A278" s="27" t="inlineStr">
        <is>
          <t>58034-44</t>
        </is>
      </c>
      <c r="B278" s="28" t="inlineStr">
        <is>
          <t>WattzOn</t>
        </is>
      </c>
      <c r="C278" s="29" t="inlineStr">
        <is>
          <t>94040</t>
        </is>
      </c>
      <c r="D278" s="30" t="inlineStr">
        <is>
          <t>Provider of a software platform to acquire customer utility data. The company's platform enables users to manage and track energy consumption. It also enables users to analyze the data and engage consumers to increase solar adoption and deliver verified energy savings.</t>
        </is>
      </c>
      <c r="E278" s="31" t="inlineStr">
        <is>
          <t>Other Energy Services</t>
        </is>
      </c>
      <c r="F278" s="32" t="inlineStr">
        <is>
          <t>Mountain View, CA</t>
        </is>
      </c>
      <c r="G278" s="33" t="inlineStr">
        <is>
          <t>Privately Held (backing)</t>
        </is>
      </c>
      <c r="H278" s="34" t="inlineStr">
        <is>
          <t>Accelerator/Incubator Backed</t>
        </is>
      </c>
      <c r="I278" s="35" t="inlineStr">
        <is>
          <t>Environmental Business Cluster, Finovate</t>
        </is>
      </c>
      <c r="J278" s="36" t="inlineStr">
        <is>
          <t>www.wattzon.com</t>
        </is>
      </c>
      <c r="K278" s="37" t="inlineStr">
        <is>
          <t>info@wattzon.com</t>
        </is>
      </c>
      <c r="L278" s="38" t="inlineStr">
        <is>
          <t>+1 (650) 948-2004</t>
        </is>
      </c>
      <c r="M278" s="39" t="inlineStr">
        <is>
          <t>Martha Amram</t>
        </is>
      </c>
      <c r="N278" s="40" t="inlineStr">
        <is>
          <t>Founder, Chief Executive Officer &amp; Board Member</t>
        </is>
      </c>
      <c r="O278" s="41" t="inlineStr">
        <is>
          <t>martha@wattzon.com</t>
        </is>
      </c>
      <c r="P278" s="42" t="inlineStr">
        <is>
          <t>+1 (650) 948-2004</t>
        </is>
      </c>
      <c r="Q278" s="43" t="n">
        <v>2007.0</v>
      </c>
      <c r="R278" s="114">
        <f>HYPERLINK("https://my.pitchbook.com?c=58034-44", "View company online")</f>
      </c>
    </row>
    <row r="279">
      <c r="A279" s="9" t="inlineStr">
        <is>
          <t>123815-53</t>
        </is>
      </c>
      <c r="B279" s="10" t="inlineStr">
        <is>
          <t>WattTime</t>
        </is>
      </c>
      <c r="C279" s="11" t="inlineStr">
        <is>
          <t>94720</t>
        </is>
      </c>
      <c r="D279" s="12" t="inlineStr">
        <is>
          <t>Developer of a platform for connecting clean energy to smart devices. The company provides data, software and expertise that enables smart devices to prioritize energy from clean power sources.</t>
        </is>
      </c>
      <c r="E279" s="13" t="inlineStr">
        <is>
          <t>Application Software</t>
        </is>
      </c>
      <c r="F279" s="14" t="inlineStr">
        <is>
          <t>Berkeley, CA</t>
        </is>
      </c>
      <c r="G279" s="15" t="inlineStr">
        <is>
          <t>Privately Held (backing)</t>
        </is>
      </c>
      <c r="H279" s="16" t="inlineStr">
        <is>
          <t>Accelerator/Incubator Backed</t>
        </is>
      </c>
      <c r="I279" s="17" t="inlineStr">
        <is>
          <t>CITRIS Foundry, Echoing Green, FastForward Accelerator</t>
        </is>
      </c>
      <c r="J279" s="18" t="inlineStr">
        <is>
          <t>www.watttime.org</t>
        </is>
      </c>
      <c r="K279" s="19" t="inlineStr">
        <is>
          <t/>
        </is>
      </c>
      <c r="L279" s="20" t="inlineStr">
        <is>
          <t>+1 (510) 201-9877</t>
        </is>
      </c>
      <c r="M279" s="21" t="inlineStr">
        <is>
          <t>Nathan Davis</t>
        </is>
      </c>
      <c r="N279" s="22" t="inlineStr">
        <is>
          <t>Chief Financial Officer and Co-Founder</t>
        </is>
      </c>
      <c r="O279" s="23" t="inlineStr">
        <is>
          <t>nate@watttime.org</t>
        </is>
      </c>
      <c r="P279" s="24" t="inlineStr">
        <is>
          <t>+1 (510) 201-9877</t>
        </is>
      </c>
      <c r="Q279" s="25" t="n">
        <v>2014.0</v>
      </c>
      <c r="R279" s="113">
        <f>HYPERLINK("https://my.pitchbook.com?c=123815-53", "View company online")</f>
      </c>
    </row>
    <row r="280">
      <c r="A280" s="27" t="inlineStr">
        <is>
          <t>104261-50</t>
        </is>
      </c>
      <c r="B280" s="28" t="inlineStr">
        <is>
          <t>Wattbot</t>
        </is>
      </c>
      <c r="C280" s="29" t="inlineStr">
        <is>
          <t>94114</t>
        </is>
      </c>
      <c r="D280" s="30" t="inlineStr">
        <is>
          <t>Provider of web-based consultancy services for clean energy. The company provides web-based consultancy services for clean energy and provides cost-effective ways to reduce energy bills.</t>
        </is>
      </c>
      <c r="E280" s="31" t="inlineStr">
        <is>
          <t>Consulting Services (B2B)</t>
        </is>
      </c>
      <c r="F280" s="32" t="inlineStr">
        <is>
          <t>San Francisco, CA</t>
        </is>
      </c>
      <c r="G280" s="33" t="inlineStr">
        <is>
          <t>Privately Held (backing)</t>
        </is>
      </c>
      <c r="H280" s="34" t="inlineStr">
        <is>
          <t>Angel-Backed</t>
        </is>
      </c>
      <c r="I280" s="35" t="inlineStr">
        <is>
          <t/>
        </is>
      </c>
      <c r="J280" s="36" t="inlineStr">
        <is>
          <t>www.wattbot.com</t>
        </is>
      </c>
      <c r="K280" s="37" t="inlineStr">
        <is>
          <t>premanrockstar@gmail.com</t>
        </is>
      </c>
      <c r="L280" s="38" t="inlineStr">
        <is>
          <t/>
        </is>
      </c>
      <c r="M280" s="39" t="inlineStr">
        <is>
          <t/>
        </is>
      </c>
      <c r="N280" s="40" t="inlineStr">
        <is>
          <t/>
        </is>
      </c>
      <c r="O280" s="41" t="inlineStr">
        <is>
          <t/>
        </is>
      </c>
      <c r="P280" s="42" t="inlineStr">
        <is>
          <t/>
        </is>
      </c>
      <c r="Q280" s="43" t="n">
        <v>2007.0</v>
      </c>
      <c r="R280" s="114">
        <f>HYPERLINK("https://my.pitchbook.com?c=104261-50", "View company online")</f>
      </c>
    </row>
    <row r="281">
      <c r="A281" s="9" t="inlineStr">
        <is>
          <t>56015-83</t>
        </is>
      </c>
      <c r="B281" s="10" t="inlineStr">
        <is>
          <t>Watsi</t>
        </is>
      </c>
      <c r="C281" s="11" t="inlineStr">
        <is>
          <t>94103</t>
        </is>
      </c>
      <c r="D281" s="12" t="inlineStr">
        <is>
          <t>Provider of an online peer-to-peer crowd funding platform created to fund charitable causes and projects. The company's platform helps users to fund life-changing medical treatments for under served people in developing countries enabling them to directly support their cause and make a difference.</t>
        </is>
      </c>
      <c r="E281" s="13" t="inlineStr">
        <is>
          <t>Other Financial Services</t>
        </is>
      </c>
      <c r="F281" s="14" t="inlineStr">
        <is>
          <t>San Francisco, CA</t>
        </is>
      </c>
      <c r="G281" s="15" t="inlineStr">
        <is>
          <t>Privately Held (backing)</t>
        </is>
      </c>
      <c r="H281" s="16" t="inlineStr">
        <is>
          <t>Accelerator/Incubator Backed</t>
        </is>
      </c>
      <c r="I281" s="17" t="inlineStr">
        <is>
          <t>Anand Agarawala, Beloved in Christ Foundation, Bobby Goodlatte, Draper Richards Kaplan Foundation, Eric Wu, Geoff Ralston, Ilkka Paananen, InnoSpring (Shanghai) Company, Jasmine Social Investments, Joe Greenstein, Mikko Kodisoja, Paul Buchheit, Paul Graham, Pershing Square Capital Management, Ronald Conway, Sidgmore Family Foundation, Tabreez Verjee, Tencent Industry Win-Win Fund, The Nasiri Foundation, Tsingyuan Ventures, Vinod Khosla, Y Combinator, YC Research</t>
        </is>
      </c>
      <c r="J281" s="18" t="inlineStr">
        <is>
          <t>www.watsi.org</t>
        </is>
      </c>
      <c r="K281" s="19" t="inlineStr">
        <is>
          <t>connect@watsi.org</t>
        </is>
      </c>
      <c r="L281" s="20" t="inlineStr">
        <is>
          <t>+1 (256) 792-8747</t>
        </is>
      </c>
      <c r="M281" s="21" t="inlineStr">
        <is>
          <t>Chase Adam</t>
        </is>
      </c>
      <c r="N281" s="22" t="inlineStr">
        <is>
          <t>Co-Founder &amp; Chief Executive Officer</t>
        </is>
      </c>
      <c r="O281" s="23" t="inlineStr">
        <is>
          <t>chase@watsi.org</t>
        </is>
      </c>
      <c r="P281" s="24" t="inlineStr">
        <is>
          <t>+1 (256) 792-8747</t>
        </is>
      </c>
      <c r="Q281" s="25" t="n">
        <v>2011.0</v>
      </c>
      <c r="R281" s="113">
        <f>HYPERLINK("https://my.pitchbook.com?c=56015-83", "View company online")</f>
      </c>
    </row>
    <row r="282">
      <c r="A282" s="27" t="inlineStr">
        <is>
          <t>127667-35</t>
        </is>
      </c>
      <c r="B282" s="28" t="inlineStr">
        <is>
          <t>Watlington Foods</t>
        </is>
      </c>
      <c r="C282" s="29" t="inlineStr">
        <is>
          <t>94109</t>
        </is>
      </c>
      <c r="D282" s="30" t="inlineStr">
        <is>
          <t>Owner and operator of a confectionery store. The company manufactures chocolates and various type of snacks and confectionery products and also offers gifting and personal consumption packaging services. The company is also expanding into bio-pharma health-building versions of its products.</t>
        </is>
      </c>
      <c r="E282" s="31" t="inlineStr">
        <is>
          <t>Food Products</t>
        </is>
      </c>
      <c r="F282" s="32" t="inlineStr">
        <is>
          <t>San Francisco, CA</t>
        </is>
      </c>
      <c r="G282" s="33" t="inlineStr">
        <is>
          <t>Privately Held (backing)</t>
        </is>
      </c>
      <c r="H282" s="34" t="inlineStr">
        <is>
          <t>Angel-Backed</t>
        </is>
      </c>
      <c r="I282" s="35" t="inlineStr">
        <is>
          <t/>
        </is>
      </c>
      <c r="J282" s="36" t="inlineStr">
        <is>
          <t>www.watfoods.com</t>
        </is>
      </c>
      <c r="K282" s="37" t="inlineStr">
        <is>
          <t>admin@watfoods.com</t>
        </is>
      </c>
      <c r="L282" s="38" t="inlineStr">
        <is>
          <t>+1 (415) 441-7800</t>
        </is>
      </c>
      <c r="M282" s="39" t="inlineStr">
        <is>
          <t>Jack Doty</t>
        </is>
      </c>
      <c r="N282" s="40" t="inlineStr">
        <is>
          <t>Chief Executive Officer, President and Chief Financial Officer</t>
        </is>
      </c>
      <c r="O282" s="41" t="inlineStr">
        <is>
          <t>jed@watfoods.com</t>
        </is>
      </c>
      <c r="P282" s="42" t="inlineStr">
        <is>
          <t>+1 (415) 441-7800</t>
        </is>
      </c>
      <c r="Q282" s="43" t="n">
        <v>2010.0</v>
      </c>
      <c r="R282" s="114">
        <f>HYPERLINK("https://my.pitchbook.com?c=127667-35", "View company online")</f>
      </c>
    </row>
    <row r="283">
      <c r="A283" s="9" t="inlineStr">
        <is>
          <t>121437-10</t>
        </is>
      </c>
      <c r="B283" s="10" t="inlineStr">
        <is>
          <t>Watercluster</t>
        </is>
      </c>
      <c r="C283" s="85">
        <f>HYPERLINK("https://my.pitchbook.com?rrp=121437-10&amp;type=c", "This Company's information is not available to download. Need this Company? Request availability")</f>
      </c>
      <c r="D283" s="12" t="inlineStr">
        <is>
          <t/>
        </is>
      </c>
      <c r="E283" s="13" t="inlineStr">
        <is>
          <t/>
        </is>
      </c>
      <c r="F283" s="14" t="inlineStr">
        <is>
          <t/>
        </is>
      </c>
      <c r="G283" s="15" t="inlineStr">
        <is>
          <t/>
        </is>
      </c>
      <c r="H283" s="16" t="inlineStr">
        <is>
          <t/>
        </is>
      </c>
      <c r="I283" s="17" t="inlineStr">
        <is>
          <t/>
        </is>
      </c>
      <c r="J283" s="18" t="inlineStr">
        <is>
          <t/>
        </is>
      </c>
      <c r="K283" s="19" t="inlineStr">
        <is>
          <t/>
        </is>
      </c>
      <c r="L283" s="20" t="inlineStr">
        <is>
          <t/>
        </is>
      </c>
      <c r="M283" s="21" t="inlineStr">
        <is>
          <t/>
        </is>
      </c>
      <c r="N283" s="22" t="inlineStr">
        <is>
          <t/>
        </is>
      </c>
      <c r="O283" s="23" t="inlineStr">
        <is>
          <t/>
        </is>
      </c>
      <c r="P283" s="24" t="inlineStr">
        <is>
          <t/>
        </is>
      </c>
      <c r="Q283" s="25" t="inlineStr">
        <is>
          <t/>
        </is>
      </c>
      <c r="R283" s="26" t="inlineStr">
        <is>
          <t/>
        </is>
      </c>
    </row>
    <row r="284">
      <c r="A284" s="27" t="inlineStr">
        <is>
          <t>172664-65</t>
        </is>
      </c>
      <c r="B284" s="28" t="inlineStr">
        <is>
          <t>Water Strider</t>
        </is>
      </c>
      <c r="C284" s="29" t="inlineStr">
        <is>
          <t/>
        </is>
      </c>
      <c r="D284" s="30" t="inlineStr">
        <is>
          <t>Developer of touch sensor designed for both surface and space usage. The company's touch sensor has high resolution that can be applied to home appliances, robotics, heavy industries and many other fields, enabling customers to resolve technical and cost issues faced for utilizing sensors.</t>
        </is>
      </c>
      <c r="E284" s="31" t="inlineStr">
        <is>
          <t>Electronics (B2C)</t>
        </is>
      </c>
      <c r="F284" s="32" t="inlineStr">
        <is>
          <t>San Francisco, CA</t>
        </is>
      </c>
      <c r="G284" s="33" t="inlineStr">
        <is>
          <t>Privately Held (backing)</t>
        </is>
      </c>
      <c r="H284" s="34" t="inlineStr">
        <is>
          <t>Accelerator/Incubator Backed</t>
        </is>
      </c>
      <c r="I284" s="35" t="inlineStr">
        <is>
          <t>SparkLabs</t>
        </is>
      </c>
      <c r="J284" s="36" t="inlineStr">
        <is>
          <t/>
        </is>
      </c>
      <c r="K284" s="37" t="inlineStr">
        <is>
          <t>open21gilbert@gmail.com</t>
        </is>
      </c>
      <c r="L284" s="38" t="inlineStr">
        <is>
          <t/>
        </is>
      </c>
      <c r="M284" s="39" t="inlineStr">
        <is>
          <t>Kibum Kim</t>
        </is>
      </c>
      <c r="N284" s="40" t="inlineStr">
        <is>
          <t>Founder &amp; Chief Executive Officer</t>
        </is>
      </c>
      <c r="O284" s="41" t="inlineStr">
        <is>
          <t/>
        </is>
      </c>
      <c r="P284" s="42" t="inlineStr">
        <is>
          <t/>
        </is>
      </c>
      <c r="Q284" s="43" t="n">
        <v>2014.0</v>
      </c>
      <c r="R284" s="114">
        <f>HYPERLINK("https://my.pitchbook.com?c=172664-65", "View company online")</f>
      </c>
    </row>
    <row r="285">
      <c r="A285" s="9" t="inlineStr">
        <is>
          <t>167551-48</t>
        </is>
      </c>
      <c r="B285" s="10" t="inlineStr">
        <is>
          <t>Water Pigeon</t>
        </is>
      </c>
      <c r="C285" s="11" t="inlineStr">
        <is>
          <t>92130</t>
        </is>
      </c>
      <c r="D285" s="12" t="inlineStr">
        <is>
          <t>Developer of automated metering infrastructure for water. The company offers implementation and installation services for water metering utilities without replacing water meters or building private wireless networks.</t>
        </is>
      </c>
      <c r="E285" s="13" t="inlineStr">
        <is>
          <t>Water Utilities</t>
        </is>
      </c>
      <c r="F285" s="14" t="inlineStr">
        <is>
          <t>San Diego, CA</t>
        </is>
      </c>
      <c r="G285" s="15" t="inlineStr">
        <is>
          <t>Privately Held (backing)</t>
        </is>
      </c>
      <c r="H285" s="16" t="inlineStr">
        <is>
          <t>Accelerator/Incubator Backed</t>
        </is>
      </c>
      <c r="I285" s="17" t="inlineStr">
        <is>
          <t>EvoNexus</t>
        </is>
      </c>
      <c r="J285" s="18" t="inlineStr">
        <is>
          <t>www.waterpigeon.com</t>
        </is>
      </c>
      <c r="K285" s="19" t="inlineStr">
        <is>
          <t/>
        </is>
      </c>
      <c r="L285" s="20" t="inlineStr">
        <is>
          <t/>
        </is>
      </c>
      <c r="M285" s="21" t="inlineStr">
        <is>
          <t>Sarp Sekeroglu</t>
        </is>
      </c>
      <c r="N285" s="22" t="inlineStr">
        <is>
          <t>Co-Founder</t>
        </is>
      </c>
      <c r="O285" s="23" t="inlineStr">
        <is>
          <t>sarp@waterpigeon.com</t>
        </is>
      </c>
      <c r="P285" s="24" t="inlineStr">
        <is>
          <t/>
        </is>
      </c>
      <c r="Q285" s="25" t="n">
        <v>2016.0</v>
      </c>
      <c r="R285" s="113">
        <f>HYPERLINK("https://my.pitchbook.com?c=167551-48", "View company online")</f>
      </c>
    </row>
    <row r="286">
      <c r="A286" s="27" t="inlineStr">
        <is>
          <t>171168-13</t>
        </is>
      </c>
      <c r="B286" s="28" t="inlineStr">
        <is>
          <t>Water Canary</t>
        </is>
      </c>
      <c r="C286" s="29" t="inlineStr">
        <is>
          <t/>
        </is>
      </c>
      <c r="D286" s="30" t="inlineStr">
        <is>
          <t>Developer of water testing devices designed to provide water quality data in real-time. The company's water testing devices instantly tests the water quality and transmits the data in real time enabling users to prevent from waterborne illness and water-related emergencies with the available water-quality information.</t>
        </is>
      </c>
      <c r="E286" s="31" t="inlineStr">
        <is>
          <t>Other Commercial Products</t>
        </is>
      </c>
      <c r="F286" s="32" t="inlineStr">
        <is>
          <t>Los Angeles, CA</t>
        </is>
      </c>
      <c r="G286" s="33" t="inlineStr">
        <is>
          <t>Privately Held (backing)</t>
        </is>
      </c>
      <c r="H286" s="34" t="inlineStr">
        <is>
          <t>Accelerator/Incubator Backed</t>
        </is>
      </c>
      <c r="I286" s="35" t="inlineStr">
        <is>
          <t>Los Angeles Cleantech Incubator</t>
        </is>
      </c>
      <c r="J286" s="36" t="inlineStr">
        <is>
          <t>www.watercanary.com</t>
        </is>
      </c>
      <c r="K286" s="37" t="inlineStr">
        <is>
          <t>info@watercanary.com</t>
        </is>
      </c>
      <c r="L286" s="38" t="inlineStr">
        <is>
          <t/>
        </is>
      </c>
      <c r="M286" s="39" t="inlineStr">
        <is>
          <t>Sonaar Luthra</t>
        </is>
      </c>
      <c r="N286" s="40" t="inlineStr">
        <is>
          <t>Co-Founder &amp; Chief Executive Officer</t>
        </is>
      </c>
      <c r="O286" s="41" t="inlineStr">
        <is>
          <t>sonaar@watercanary.com</t>
        </is>
      </c>
      <c r="P286" s="42" t="inlineStr">
        <is>
          <t/>
        </is>
      </c>
      <c r="Q286" s="43" t="n">
        <v>2010.0</v>
      </c>
      <c r="R286" s="114">
        <f>HYPERLINK("https://my.pitchbook.com?c=171168-13", "View company online")</f>
      </c>
    </row>
    <row r="287">
      <c r="A287" s="9" t="inlineStr">
        <is>
          <t>117667-00</t>
        </is>
      </c>
      <c r="B287" s="10" t="inlineStr">
        <is>
          <t>Washos</t>
        </is>
      </c>
      <c r="C287" s="11" t="inlineStr">
        <is>
          <t>91206</t>
        </is>
      </c>
      <c r="D287" s="12" t="inlineStr">
        <is>
          <t>Developer of an application designed to deliver car services at doorstep. The company's application connects users with local car servicing centers and lets them place on-demand car services including car washing, car repairing and preliminary parts fitting, enabling car owners to get their cars serviced anytime without having to visit car cleaning centers in person.</t>
        </is>
      </c>
      <c r="E287" s="13" t="inlineStr">
        <is>
          <t>Application Software</t>
        </is>
      </c>
      <c r="F287" s="14" t="inlineStr">
        <is>
          <t>Glendale, CA</t>
        </is>
      </c>
      <c r="G287" s="15" t="inlineStr">
        <is>
          <t>Privately Held (backing)</t>
        </is>
      </c>
      <c r="H287" s="16" t="inlineStr">
        <is>
          <t>Accelerator/Incubator Backed</t>
        </is>
      </c>
      <c r="I287" s="17" t="inlineStr">
        <is>
          <t>French Accelerator</t>
        </is>
      </c>
      <c r="J287" s="18" t="inlineStr">
        <is>
          <t>www.washos.com</t>
        </is>
      </c>
      <c r="K287" s="19" t="inlineStr">
        <is>
          <t/>
        </is>
      </c>
      <c r="L287" s="20" t="inlineStr">
        <is>
          <t>+1 (323) 210-4874</t>
        </is>
      </c>
      <c r="M287" s="21" t="inlineStr">
        <is>
          <t>Bertrand Patriarca</t>
        </is>
      </c>
      <c r="N287" s="22" t="inlineStr">
        <is>
          <t>Co-Founder &amp; Chief Executive Officer</t>
        </is>
      </c>
      <c r="O287" s="23" t="inlineStr">
        <is>
          <t>bertrand@washos.com</t>
        </is>
      </c>
      <c r="P287" s="24" t="inlineStr">
        <is>
          <t>+1 (323) 210-4874</t>
        </is>
      </c>
      <c r="Q287" s="25" t="n">
        <v>2015.0</v>
      </c>
      <c r="R287" s="113">
        <f>HYPERLINK("https://my.pitchbook.com?c=117667-00", "View company online")</f>
      </c>
    </row>
    <row r="288">
      <c r="A288" s="27" t="inlineStr">
        <is>
          <t>56187-01</t>
        </is>
      </c>
      <c r="B288" s="28" t="inlineStr">
        <is>
          <t>Warply</t>
        </is>
      </c>
      <c r="C288" s="29" t="inlineStr">
        <is>
          <t>105 51</t>
        </is>
      </c>
      <c r="D288" s="30" t="inlineStr">
        <is>
          <t>Provider of a mobile marketing toolbox designed to offer a mobile marketing and mobile loyalty programs. The company's mobile marketing toolbox provides personalized communication and marketing automation innovation to bring omni-channel customer experiences that drive loyalty, engagement and sales, enabling brands and developers to directly send interactive mobile marketing campaigns to their customer base via push notifications.</t>
        </is>
      </c>
      <c r="E288" s="31" t="inlineStr">
        <is>
          <t>Business/Productivity Software</t>
        </is>
      </c>
      <c r="F288" s="32" t="inlineStr">
        <is>
          <t>Athens, Greece</t>
        </is>
      </c>
      <c r="G288" s="33" t="inlineStr">
        <is>
          <t>Privately Held (backing)</t>
        </is>
      </c>
      <c r="H288" s="34" t="inlineStr">
        <is>
          <t>Angel-Backed</t>
        </is>
      </c>
      <c r="I288" s="35" t="inlineStr">
        <is>
          <t/>
        </is>
      </c>
      <c r="J288" s="36" t="inlineStr">
        <is>
          <t>warp.ly</t>
        </is>
      </c>
      <c r="K288" s="37" t="inlineStr">
        <is>
          <t>info@warp.ly</t>
        </is>
      </c>
      <c r="L288" s="38" t="inlineStr">
        <is>
          <t>+30 210 323 4175</t>
        </is>
      </c>
      <c r="M288" s="39" t="inlineStr">
        <is>
          <t>John Doxaras</t>
        </is>
      </c>
      <c r="N288" s="40" t="inlineStr">
        <is>
          <t>Chief Executive Officer &amp; Co-Founder</t>
        </is>
      </c>
      <c r="O288" s="41" t="inlineStr">
        <is>
          <t>john@warp.ly</t>
        </is>
      </c>
      <c r="P288" s="42" t="inlineStr">
        <is>
          <t>+30 210 323 4175</t>
        </is>
      </c>
      <c r="Q288" s="43" t="n">
        <v>2011.0</v>
      </c>
      <c r="R288" s="114">
        <f>HYPERLINK("https://my.pitchbook.com?c=56187-01", "View company online")</f>
      </c>
    </row>
    <row r="289">
      <c r="A289" s="9" t="inlineStr">
        <is>
          <t>99745-12</t>
        </is>
      </c>
      <c r="B289" s="10" t="inlineStr">
        <is>
          <t>Warehouse Innovations</t>
        </is>
      </c>
      <c r="C289" s="11" t="inlineStr">
        <is>
          <t>94105</t>
        </is>
      </c>
      <c r="D289" s="12" t="inlineStr">
        <is>
          <t>Manufacturer of a lockable plastic container. The company designs and manufactures time-lock containers that can be opened when the timer reaches zero to help people fight food temptation.</t>
        </is>
      </c>
      <c r="E289" s="13" t="inlineStr">
        <is>
          <t>Other Consumer Durables</t>
        </is>
      </c>
      <c r="F289" s="14" t="inlineStr">
        <is>
          <t>San Francisco, CA</t>
        </is>
      </c>
      <c r="G289" s="15" t="inlineStr">
        <is>
          <t>Privately Held (backing)</t>
        </is>
      </c>
      <c r="H289" s="16" t="inlineStr">
        <is>
          <t>Accelerator/Incubator Backed</t>
        </is>
      </c>
      <c r="I289" s="17" t="inlineStr">
        <is>
          <t>EvoNexus</t>
        </is>
      </c>
      <c r="J289" s="18" t="inlineStr">
        <is>
          <t>www.thekitchensafe.com</t>
        </is>
      </c>
      <c r="K289" s="19" t="inlineStr">
        <is>
          <t>info@thekitchensafe.com</t>
        </is>
      </c>
      <c r="L289" s="20" t="inlineStr">
        <is>
          <t>+1 (415) 213-4001</t>
        </is>
      </c>
      <c r="M289" s="21" t="inlineStr">
        <is>
          <t>David Krippendorf</t>
        </is>
      </c>
      <c r="N289" s="22" t="inlineStr">
        <is>
          <t>Co-Founder</t>
        </is>
      </c>
      <c r="O289" s="23" t="inlineStr">
        <is>
          <t>david@thekitchensafe.com</t>
        </is>
      </c>
      <c r="P289" s="24" t="inlineStr">
        <is>
          <t>+1 (415) 213-4001</t>
        </is>
      </c>
      <c r="Q289" s="25" t="n">
        <v>2013.0</v>
      </c>
      <c r="R289" s="113">
        <f>HYPERLINK("https://my.pitchbook.com?c=99745-12", "View company online")</f>
      </c>
    </row>
    <row r="290">
      <c r="A290" s="27" t="inlineStr">
        <is>
          <t>103502-08</t>
        </is>
      </c>
      <c r="B290" s="28" t="inlineStr">
        <is>
          <t>Waraire Boswell</t>
        </is>
      </c>
      <c r="C290" s="29" t="inlineStr">
        <is>
          <t>90014</t>
        </is>
      </c>
      <c r="D290" s="30" t="inlineStr">
        <is>
          <t>Designer of apparel for men. The company designs luxury suiting and shirting apparel for men.</t>
        </is>
      </c>
      <c r="E290" s="31" t="inlineStr">
        <is>
          <t>Clothing</t>
        </is>
      </c>
      <c r="F290" s="32" t="inlineStr">
        <is>
          <t>Los Angeles, CA</t>
        </is>
      </c>
      <c r="G290" s="33" t="inlineStr">
        <is>
          <t>Privately Held (backing)</t>
        </is>
      </c>
      <c r="H290" s="34" t="inlineStr">
        <is>
          <t>Angel-Backed</t>
        </is>
      </c>
      <c r="I290" s="35" t="inlineStr">
        <is>
          <t>Erika Toriz, Jose Calderon, Paul Kurkijan</t>
        </is>
      </c>
      <c r="J290" s="36" t="inlineStr">
        <is>
          <t>www.waraireboswell.com</t>
        </is>
      </c>
      <c r="K290" s="37" t="inlineStr">
        <is>
          <t>info@wbi.me</t>
        </is>
      </c>
      <c r="L290" s="38" t="inlineStr">
        <is>
          <t/>
        </is>
      </c>
      <c r="M290" s="39" t="inlineStr">
        <is>
          <t>Waraire Boswell</t>
        </is>
      </c>
      <c r="N290" s="40" t="inlineStr">
        <is>
          <t>Co-Founder &amp; Designer</t>
        </is>
      </c>
      <c r="O290" s="41" t="inlineStr">
        <is>
          <t/>
        </is>
      </c>
      <c r="P290" s="42" t="inlineStr">
        <is>
          <t/>
        </is>
      </c>
      <c r="Q290" s="43" t="n">
        <v>2001.0</v>
      </c>
      <c r="R290" s="114">
        <f>HYPERLINK("https://my.pitchbook.com?c=103502-08", "View company online")</f>
      </c>
    </row>
    <row r="291">
      <c r="A291" s="9" t="inlineStr">
        <is>
          <t>55801-36</t>
        </is>
      </c>
      <c r="B291" s="10" t="inlineStr">
        <is>
          <t>Wappwolf</t>
        </is>
      </c>
      <c r="C291" s="11" t="inlineStr">
        <is>
          <t>94105</t>
        </is>
      </c>
      <c r="D291" s="12" t="inlineStr">
        <is>
          <t>Developer of automates file processing software. The company develops automators to create automatic tasks for files added to each cloud storage system for Dropbox and Google Drive.</t>
        </is>
      </c>
      <c r="E291" s="13" t="inlineStr">
        <is>
          <t>Database Software</t>
        </is>
      </c>
      <c r="F291" s="14" t="inlineStr">
        <is>
          <t>San Francisco, CA</t>
        </is>
      </c>
      <c r="G291" s="15" t="inlineStr">
        <is>
          <t>Privately Held (backing)</t>
        </is>
      </c>
      <c r="H291" s="16" t="inlineStr">
        <is>
          <t>Accelerator/Incubator Backed</t>
        </is>
      </c>
      <c r="I291" s="17" t="inlineStr">
        <is>
          <t>Blackbox, Christian Leeb, Individual Investor</t>
        </is>
      </c>
      <c r="J291" s="18" t="inlineStr">
        <is>
          <t>www.wappwolf.com</t>
        </is>
      </c>
      <c r="K291" s="19" t="inlineStr">
        <is>
          <t>support@wappwolf.com</t>
        </is>
      </c>
      <c r="L291" s="20" t="inlineStr">
        <is>
          <t/>
        </is>
      </c>
      <c r="M291" s="21" t="inlineStr">
        <is>
          <t>Harald Weiss</t>
        </is>
      </c>
      <c r="N291" s="22" t="inlineStr">
        <is>
          <t>Co-Founder, President &amp; Chief Financial Officer</t>
        </is>
      </c>
      <c r="O291" s="23" t="inlineStr">
        <is>
          <t>harald@talenthouse.com</t>
        </is>
      </c>
      <c r="P291" s="24" t="inlineStr">
        <is>
          <t>+1 (310) 295-0273</t>
        </is>
      </c>
      <c r="Q291" s="25" t="n">
        <v>2010.0</v>
      </c>
      <c r="R291" s="113">
        <f>HYPERLINK("https://my.pitchbook.com?c=55801-36", "View company online")</f>
      </c>
    </row>
    <row r="292">
      <c r="A292" s="27" t="inlineStr">
        <is>
          <t>102672-46</t>
        </is>
      </c>
      <c r="B292" s="28" t="inlineStr">
        <is>
          <t>Wantboards</t>
        </is>
      </c>
      <c r="C292" s="29" t="inlineStr">
        <is>
          <t>92618</t>
        </is>
      </c>
      <c r="D292" s="30" t="inlineStr">
        <is>
          <t>Developer of a demand based online marketplace. The company's platform allows buyers to post what they want and connects consumers to businesses.</t>
        </is>
      </c>
      <c r="E292" s="31" t="inlineStr">
        <is>
          <t>Internet Retail</t>
        </is>
      </c>
      <c r="F292" s="32" t="inlineStr">
        <is>
          <t>Irvine, CA</t>
        </is>
      </c>
      <c r="G292" s="33" t="inlineStr">
        <is>
          <t>Privately Held (backing)</t>
        </is>
      </c>
      <c r="H292" s="34" t="inlineStr">
        <is>
          <t>Angel-Backed</t>
        </is>
      </c>
      <c r="I292" s="35" t="inlineStr">
        <is>
          <t/>
        </is>
      </c>
      <c r="J292" s="36" t="inlineStr">
        <is>
          <t>www.wantboards.com</t>
        </is>
      </c>
      <c r="K292" s="37" t="inlineStr">
        <is>
          <t>contact@wantboards.com</t>
        </is>
      </c>
      <c r="L292" s="38" t="inlineStr">
        <is>
          <t/>
        </is>
      </c>
      <c r="M292" s="39" t="inlineStr">
        <is>
          <t>Ray Hahn</t>
        </is>
      </c>
      <c r="N292" s="40" t="inlineStr">
        <is>
          <t>Co-Founder</t>
        </is>
      </c>
      <c r="O292" s="41" t="inlineStr">
        <is>
          <t>ray@wantboards.com</t>
        </is>
      </c>
      <c r="P292" s="42" t="inlineStr">
        <is>
          <t/>
        </is>
      </c>
      <c r="Q292" s="43" t="n">
        <v>2012.0</v>
      </c>
      <c r="R292" s="114">
        <f>HYPERLINK("https://my.pitchbook.com?c=102672-46", "View company online")</f>
      </c>
    </row>
    <row r="293">
      <c r="A293" s="9" t="inlineStr">
        <is>
          <t>147471-58</t>
        </is>
      </c>
      <c r="B293" s="10" t="inlineStr">
        <is>
          <t>Wallis State Bank</t>
        </is>
      </c>
      <c r="C293" s="11" t="inlineStr">
        <is>
          <t>77075</t>
        </is>
      </c>
      <c r="D293" s="12" t="inlineStr">
        <is>
          <t>Operator of a community bank. The company operates a community bank which offers banking and financial services to rural customers as well as international customers.</t>
        </is>
      </c>
      <c r="E293" s="13" t="inlineStr">
        <is>
          <t>Regional Banks</t>
        </is>
      </c>
      <c r="F293" s="14" t="inlineStr">
        <is>
          <t>Houston, TX</t>
        </is>
      </c>
      <c r="G293" s="15" t="inlineStr">
        <is>
          <t>Privately Held (backing)</t>
        </is>
      </c>
      <c r="H293" s="16" t="inlineStr">
        <is>
          <t>Angel-Backed</t>
        </is>
      </c>
      <c r="I293" s="17" t="inlineStr">
        <is>
          <t/>
        </is>
      </c>
      <c r="J293" s="18" t="inlineStr">
        <is>
          <t>www.wallisbank.com</t>
        </is>
      </c>
      <c r="K293" s="19" t="inlineStr">
        <is>
          <t/>
        </is>
      </c>
      <c r="L293" s="20" t="inlineStr">
        <is>
          <t>+1 (713) 580-9970</t>
        </is>
      </c>
      <c r="M293" s="21" t="inlineStr">
        <is>
          <t>Roger Sebesta</t>
        </is>
      </c>
      <c r="N293" s="22" t="inlineStr">
        <is>
          <t>Chief Financial Officer &amp; Board Member</t>
        </is>
      </c>
      <c r="O293" s="23" t="inlineStr">
        <is>
          <t>roger.sebesta@wallisbank.com</t>
        </is>
      </c>
      <c r="P293" s="24" t="inlineStr">
        <is>
          <t>+1 (713) 580-9970</t>
        </is>
      </c>
      <c r="Q293" s="25" t="n">
        <v>1906.0</v>
      </c>
      <c r="R293" s="113">
        <f>HYPERLINK("https://my.pitchbook.com?c=147471-58", "View company online")</f>
      </c>
    </row>
    <row r="294">
      <c r="A294" s="27" t="inlineStr">
        <is>
          <t>88038-64</t>
        </is>
      </c>
      <c r="B294" s="28" t="inlineStr">
        <is>
          <t>Wallie</t>
        </is>
      </c>
      <c r="C294" s="29" t="inlineStr">
        <is>
          <t>94105</t>
        </is>
      </c>
      <c r="D294" s="30" t="inlineStr">
        <is>
          <t>Provider of an online shopping application that maximizes the rewards available from credit cards and loyalty programs. The company's platform tracks and monitors rewards data. Once a website with relevant offers is accessed, an alert will automatically pop-up letting the user know which card gives them the best value.</t>
        </is>
      </c>
      <c r="E294" s="31" t="inlineStr">
        <is>
          <t>Social/Platform Software</t>
        </is>
      </c>
      <c r="F294" s="32" t="inlineStr">
        <is>
          <t>San Francisco, CA</t>
        </is>
      </c>
      <c r="G294" s="33" t="inlineStr">
        <is>
          <t>Privately Held (backing)</t>
        </is>
      </c>
      <c r="H294" s="34" t="inlineStr">
        <is>
          <t>Accelerator/Incubator Backed</t>
        </is>
      </c>
      <c r="I294" s="35" t="inlineStr">
        <is>
          <t>Elevator Fund, Marco Marinucci, Mind the Bridge Foundation</t>
        </is>
      </c>
      <c r="J294" s="36" t="inlineStr">
        <is>
          <t>www.myze.co</t>
        </is>
      </c>
      <c r="K294" s="37" t="inlineStr">
        <is>
          <t>info@bemyze.com</t>
        </is>
      </c>
      <c r="L294" s="38" t="inlineStr">
        <is>
          <t/>
        </is>
      </c>
      <c r="M294" s="39" t="inlineStr">
        <is>
          <t>Yuval Yifrach</t>
        </is>
      </c>
      <c r="N294" s="40" t="inlineStr">
        <is>
          <t>Co-Founder &amp; Chief Executive Officer</t>
        </is>
      </c>
      <c r="O294" s="41" t="inlineStr">
        <is>
          <t>yuval@themarketbeyond.com</t>
        </is>
      </c>
      <c r="P294" s="42" t="inlineStr">
        <is>
          <t>+972 (0)73 224 4682</t>
        </is>
      </c>
      <c r="Q294" s="43" t="n">
        <v>2012.0</v>
      </c>
      <c r="R294" s="114">
        <f>HYPERLINK("https://my.pitchbook.com?c=88038-64", "View company online")</f>
      </c>
    </row>
    <row r="295">
      <c r="A295" s="9" t="inlineStr">
        <is>
          <t>91292-77</t>
        </is>
      </c>
      <c r="B295" s="10" t="inlineStr">
        <is>
          <t>Walla</t>
        </is>
      </c>
      <c r="C295" s="11" t="inlineStr">
        <is>
          <t/>
        </is>
      </c>
      <c r="D295" s="12" t="inlineStr">
        <is>
          <t>Developer of an online platform for media distribution. The company provides studios, distributors and filmmakers services for self distribution on leading digital platforms.</t>
        </is>
      </c>
      <c r="E295" s="13" t="inlineStr">
        <is>
          <t>Social/Platform Software</t>
        </is>
      </c>
      <c r="F295" s="14" t="inlineStr">
        <is>
          <t>Beverly Hills, CA</t>
        </is>
      </c>
      <c r="G295" s="15" t="inlineStr">
        <is>
          <t>Privately Held (backing)</t>
        </is>
      </c>
      <c r="H295" s="16" t="inlineStr">
        <is>
          <t>Angel-Backed</t>
        </is>
      </c>
      <c r="I295" s="17" t="inlineStr">
        <is>
          <t/>
        </is>
      </c>
      <c r="J295" s="18" t="inlineStr">
        <is>
          <t>www.walla.la</t>
        </is>
      </c>
      <c r="K295" s="19" t="inlineStr">
        <is>
          <t>info@walla.la</t>
        </is>
      </c>
      <c r="L295" s="20" t="inlineStr">
        <is>
          <t/>
        </is>
      </c>
      <c r="M295" s="21" t="inlineStr">
        <is>
          <t>Erik Pence</t>
        </is>
      </c>
      <c r="N295" s="22" t="inlineStr">
        <is>
          <t>Co-Founder &amp; Managing Partner</t>
        </is>
      </c>
      <c r="O295" s="23" t="inlineStr">
        <is>
          <t>epence@inceptionmg.com</t>
        </is>
      </c>
      <c r="P295" s="24" t="inlineStr">
        <is>
          <t>+1 (818) 338-2146</t>
        </is>
      </c>
      <c r="Q295" s="25" t="n">
        <v>2011.0</v>
      </c>
      <c r="R295" s="113">
        <f>HYPERLINK("https://my.pitchbook.com?c=91292-77", "View company online")</f>
      </c>
    </row>
    <row r="296">
      <c r="A296" s="27" t="inlineStr">
        <is>
          <t>152058-52</t>
        </is>
      </c>
      <c r="B296" s="28" t="inlineStr">
        <is>
          <t>WaiveCar</t>
        </is>
      </c>
      <c r="C296" s="29" t="inlineStr">
        <is>
          <t>90401</t>
        </is>
      </c>
      <c r="D296" s="30" t="inlineStr">
        <is>
          <t>Provider of an all-electric car-sharing service. The company provides a mobile application that grants access to free car-sharing services. The company enables users to drive free of charge for 2 hours and charges an hourly rate for any additional driving time, subsidizing the first few hours of driving through sold advertisement space on the cars' exteriors.</t>
        </is>
      </c>
      <c r="E296" s="31" t="inlineStr">
        <is>
          <t>Application Software</t>
        </is>
      </c>
      <c r="F296" s="32" t="inlineStr">
        <is>
          <t>Santa Monica, CA</t>
        </is>
      </c>
      <c r="G296" s="33" t="inlineStr">
        <is>
          <t>Privately Held (backing)</t>
        </is>
      </c>
      <c r="H296" s="34" t="inlineStr">
        <is>
          <t>Angel-Backed</t>
        </is>
      </c>
      <c r="I296" s="35" t="inlineStr">
        <is>
          <t>Jason Jason Lieber</t>
        </is>
      </c>
      <c r="J296" s="36" t="inlineStr">
        <is>
          <t>www.waivecar.com</t>
        </is>
      </c>
      <c r="K296" s="37" t="inlineStr">
        <is>
          <t>info@waivecar.com</t>
        </is>
      </c>
      <c r="L296" s="38" t="inlineStr">
        <is>
          <t>+1 (855) 924-8355</t>
        </is>
      </c>
      <c r="M296" s="39" t="inlineStr">
        <is>
          <t>Isaac Deutsch</t>
        </is>
      </c>
      <c r="N296" s="40" t="inlineStr">
        <is>
          <t>Chief Executive Officer and Co-Founder</t>
        </is>
      </c>
      <c r="O296" s="41" t="inlineStr">
        <is>
          <t>ideutsch@waivecar.com</t>
        </is>
      </c>
      <c r="P296" s="42" t="inlineStr">
        <is>
          <t>+1 (855) 924-8355</t>
        </is>
      </c>
      <c r="Q296" s="43" t="n">
        <v>2015.0</v>
      </c>
      <c r="R296" s="114">
        <f>HYPERLINK("https://my.pitchbook.com?c=152058-52", "View company online")</f>
      </c>
    </row>
    <row r="297">
      <c r="A297" s="9" t="inlineStr">
        <is>
          <t>152734-69</t>
        </is>
      </c>
      <c r="B297" s="10" t="inlineStr">
        <is>
          <t>WageSpot</t>
        </is>
      </c>
      <c r="C297" s="11" t="inlineStr">
        <is>
          <t>91436</t>
        </is>
      </c>
      <c r="D297" s="12" t="inlineStr">
        <is>
          <t>Developer of a location based mobile search application. The company's software allows job seekers to find salary and wage ranges for similar jobs in the industry based on local compensation searches.</t>
        </is>
      </c>
      <c r="E297" s="13" t="inlineStr">
        <is>
          <t>Information Services (B2C)</t>
        </is>
      </c>
      <c r="F297" s="14" t="inlineStr">
        <is>
          <t>Los Angeles, CA</t>
        </is>
      </c>
      <c r="G297" s="15" t="inlineStr">
        <is>
          <t>Privately Held (backing)</t>
        </is>
      </c>
      <c r="H297" s="16" t="inlineStr">
        <is>
          <t>Angel-Backed</t>
        </is>
      </c>
      <c r="I297" s="17" t="inlineStr">
        <is>
          <t>Itzik Lerner</t>
        </is>
      </c>
      <c r="J297" s="18" t="inlineStr">
        <is>
          <t>www.wagespot.com</t>
        </is>
      </c>
      <c r="K297" s="19" t="inlineStr">
        <is>
          <t>info@wagespot.com</t>
        </is>
      </c>
      <c r="L297" s="20" t="inlineStr">
        <is>
          <t/>
        </is>
      </c>
      <c r="M297" s="21" t="inlineStr">
        <is>
          <t>Raphael Morozov</t>
        </is>
      </c>
      <c r="N297" s="22" t="inlineStr">
        <is>
          <t>Co-Founder</t>
        </is>
      </c>
      <c r="O297" s="23" t="inlineStr">
        <is>
          <t/>
        </is>
      </c>
      <c r="P297" s="24" t="inlineStr">
        <is>
          <t/>
        </is>
      </c>
      <c r="Q297" s="25" t="n">
        <v>2015.0</v>
      </c>
      <c r="R297" s="113">
        <f>HYPERLINK("https://my.pitchbook.com?c=152734-69", "View company online")</f>
      </c>
    </row>
    <row r="298">
      <c r="A298" s="27" t="inlineStr">
        <is>
          <t>166745-53</t>
        </is>
      </c>
      <c r="B298" s="28" t="inlineStr">
        <is>
          <t>WageKick</t>
        </is>
      </c>
      <c r="C298" s="29" t="inlineStr">
        <is>
          <t>95008</t>
        </is>
      </c>
      <c r="D298" s="30" t="inlineStr">
        <is>
          <t>Provider of an online job search platform. The company's platform helps job seekers to find jobs on the basis of their education and preferences and also helps companies to find and hire employees by creating personalized profiles on its online platform.</t>
        </is>
      </c>
      <c r="E298" s="31" t="inlineStr">
        <is>
          <t>Application Software</t>
        </is>
      </c>
      <c r="F298" s="32" t="inlineStr">
        <is>
          <t>Campbell, CA</t>
        </is>
      </c>
      <c r="G298" s="33" t="inlineStr">
        <is>
          <t>Privately Held (backing)</t>
        </is>
      </c>
      <c r="H298" s="34" t="inlineStr">
        <is>
          <t>Accelerator/Incubator Backed</t>
        </is>
      </c>
      <c r="I298" s="35" t="inlineStr">
        <is>
          <t>Boomtown Accelerator</t>
        </is>
      </c>
      <c r="J298" s="36" t="inlineStr">
        <is>
          <t>www.alpha.wagekick.com</t>
        </is>
      </c>
      <c r="K298" s="37" t="inlineStr">
        <is>
          <t/>
        </is>
      </c>
      <c r="L298" s="38" t="inlineStr">
        <is>
          <t/>
        </is>
      </c>
      <c r="M298" s="39" t="inlineStr">
        <is>
          <t>Tim Murphy</t>
        </is>
      </c>
      <c r="N298" s="40" t="inlineStr">
        <is>
          <t>Co-Founder &amp; Chief Executive Officer</t>
        </is>
      </c>
      <c r="O298" s="41" t="inlineStr">
        <is>
          <t>tim.murphy@wagekick.com</t>
        </is>
      </c>
      <c r="P298" s="42" t="inlineStr">
        <is>
          <t/>
        </is>
      </c>
      <c r="Q298" s="43" t="n">
        <v>2015.0</v>
      </c>
      <c r="R298" s="114">
        <f>HYPERLINK("https://my.pitchbook.com?c=166745-53", "View company online")</f>
      </c>
    </row>
    <row r="299">
      <c r="A299" s="9" t="inlineStr">
        <is>
          <t>174294-01</t>
        </is>
      </c>
      <c r="B299" s="10" t="inlineStr">
        <is>
          <t>VYRL</t>
        </is>
      </c>
      <c r="C299" s="85">
        <f>HYPERLINK("https://my.pitchbook.com?rrp=174294-01&amp;type=c", "This Company's information is not available to download. Need this Company? Request availability")</f>
      </c>
      <c r="D299" s="12" t="inlineStr">
        <is>
          <t/>
        </is>
      </c>
      <c r="E299" s="13" t="inlineStr">
        <is>
          <t/>
        </is>
      </c>
      <c r="F299" s="14" t="inlineStr">
        <is>
          <t/>
        </is>
      </c>
      <c r="G299" s="15" t="inlineStr">
        <is>
          <t/>
        </is>
      </c>
      <c r="H299" s="16" t="inlineStr">
        <is>
          <t/>
        </is>
      </c>
      <c r="I299" s="17" t="inlineStr">
        <is>
          <t/>
        </is>
      </c>
      <c r="J299" s="18" t="inlineStr">
        <is>
          <t/>
        </is>
      </c>
      <c r="K299" s="19" t="inlineStr">
        <is>
          <t/>
        </is>
      </c>
      <c r="L299" s="20" t="inlineStr">
        <is>
          <t/>
        </is>
      </c>
      <c r="M299" s="21" t="inlineStr">
        <is>
          <t/>
        </is>
      </c>
      <c r="N299" s="22" t="inlineStr">
        <is>
          <t/>
        </is>
      </c>
      <c r="O299" s="23" t="inlineStr">
        <is>
          <t/>
        </is>
      </c>
      <c r="P299" s="24" t="inlineStr">
        <is>
          <t/>
        </is>
      </c>
      <c r="Q299" s="25" t="inlineStr">
        <is>
          <t/>
        </is>
      </c>
      <c r="R299" s="26" t="inlineStr">
        <is>
          <t/>
        </is>
      </c>
    </row>
    <row r="300">
      <c r="A300" s="27" t="inlineStr">
        <is>
          <t>120315-79</t>
        </is>
      </c>
      <c r="B300" s="28" t="inlineStr">
        <is>
          <t>Vyrill</t>
        </is>
      </c>
      <c r="C300" s="29" t="inlineStr">
        <is>
          <t>94111</t>
        </is>
      </c>
      <c r="D300" s="30" t="inlineStr">
        <is>
          <t>Developer of an online search engine designed to help users to check product videos from across the web and purchase the product directly after viewing the videos. The company's online search engine offers product demos, expert reviews, fan reviews, news clips and installation guidance, enabling consumers to make purchase decision on the basis of these videos and reviews.</t>
        </is>
      </c>
      <c r="E300" s="31" t="inlineStr">
        <is>
          <t>Information Services (B2C)</t>
        </is>
      </c>
      <c r="F300" s="32" t="inlineStr">
        <is>
          <t>San Francisco, CA</t>
        </is>
      </c>
      <c r="G300" s="33" t="inlineStr">
        <is>
          <t>Privately Held (backing)</t>
        </is>
      </c>
      <c r="H300" s="34" t="inlineStr">
        <is>
          <t>Accelerator/Incubator Backed</t>
        </is>
      </c>
      <c r="I300" s="35" t="inlineStr">
        <is>
          <t>Founder.org, Gener8tor, Marti Hearst, Skydeck | Berkeley</t>
        </is>
      </c>
      <c r="J300" s="36" t="inlineStr">
        <is>
          <t>www.vyrill.com</t>
        </is>
      </c>
      <c r="K300" s="37" t="inlineStr">
        <is>
          <t>feedback@vyrill.com</t>
        </is>
      </c>
      <c r="L300" s="38" t="inlineStr">
        <is>
          <t/>
        </is>
      </c>
      <c r="M300" s="39" t="inlineStr">
        <is>
          <t>Ajay Bam</t>
        </is>
      </c>
      <c r="N300" s="40" t="inlineStr">
        <is>
          <t>Co-Founder &amp; Chief Executive Officer</t>
        </is>
      </c>
      <c r="O300" s="41" t="inlineStr">
        <is>
          <t>ajay@vyrill.com</t>
        </is>
      </c>
      <c r="P300" s="42" t="inlineStr">
        <is>
          <t/>
        </is>
      </c>
      <c r="Q300" s="43" t="n">
        <v>2015.0</v>
      </c>
      <c r="R300" s="114">
        <f>HYPERLINK("https://my.pitchbook.com?c=120315-79", "View company online")</f>
      </c>
    </row>
    <row r="301">
      <c r="A301" s="9" t="inlineStr">
        <is>
          <t>173053-00</t>
        </is>
      </c>
      <c r="B301" s="10" t="inlineStr">
        <is>
          <t>Vyoocam</t>
        </is>
      </c>
      <c r="C301" s="85">
        <f>HYPERLINK("https://my.pitchbook.com?rrp=173053-00&amp;type=c", "This Company's information is not available to download. Need this Company? Request availability")</f>
      </c>
      <c r="D301" s="12" t="inlineStr">
        <is>
          <t/>
        </is>
      </c>
      <c r="E301" s="13" t="inlineStr">
        <is>
          <t/>
        </is>
      </c>
      <c r="F301" s="14" t="inlineStr">
        <is>
          <t/>
        </is>
      </c>
      <c r="G301" s="15" t="inlineStr">
        <is>
          <t/>
        </is>
      </c>
      <c r="H301" s="16" t="inlineStr">
        <is>
          <t/>
        </is>
      </c>
      <c r="I301" s="17" t="inlineStr">
        <is>
          <t/>
        </is>
      </c>
      <c r="J301" s="18" t="inlineStr">
        <is>
          <t/>
        </is>
      </c>
      <c r="K301" s="19" t="inlineStr">
        <is>
          <t/>
        </is>
      </c>
      <c r="L301" s="20" t="inlineStr">
        <is>
          <t/>
        </is>
      </c>
      <c r="M301" s="21" t="inlineStr">
        <is>
          <t/>
        </is>
      </c>
      <c r="N301" s="22" t="inlineStr">
        <is>
          <t/>
        </is>
      </c>
      <c r="O301" s="23" t="inlineStr">
        <is>
          <t/>
        </is>
      </c>
      <c r="P301" s="24" t="inlineStr">
        <is>
          <t/>
        </is>
      </c>
      <c r="Q301" s="25" t="inlineStr">
        <is>
          <t/>
        </is>
      </c>
      <c r="R301" s="26" t="inlineStr">
        <is>
          <t/>
        </is>
      </c>
    </row>
    <row r="302">
      <c r="A302" s="27" t="inlineStr">
        <is>
          <t>174923-56</t>
        </is>
      </c>
      <c r="B302" s="28" t="inlineStr">
        <is>
          <t>vushaper</t>
        </is>
      </c>
      <c r="C302" s="86">
        <f>HYPERLINK("https://my.pitchbook.com?rrp=174923-56&amp;type=c", "This Company's information is not available to download. Need this Company? Request availability")</f>
      </c>
      <c r="D302" s="30" t="inlineStr">
        <is>
          <t/>
        </is>
      </c>
      <c r="E302" s="31" t="inlineStr">
        <is>
          <t/>
        </is>
      </c>
      <c r="F302" s="32" t="inlineStr">
        <is>
          <t/>
        </is>
      </c>
      <c r="G302" s="33" t="inlineStr">
        <is>
          <t/>
        </is>
      </c>
      <c r="H302" s="34" t="inlineStr">
        <is>
          <t/>
        </is>
      </c>
      <c r="I302" s="35" t="inlineStr">
        <is>
          <t/>
        </is>
      </c>
      <c r="J302" s="36" t="inlineStr">
        <is>
          <t/>
        </is>
      </c>
      <c r="K302" s="37" t="inlineStr">
        <is>
          <t/>
        </is>
      </c>
      <c r="L302" s="38" t="inlineStr">
        <is>
          <t/>
        </is>
      </c>
      <c r="M302" s="39" t="inlineStr">
        <is>
          <t/>
        </is>
      </c>
      <c r="N302" s="40" t="inlineStr">
        <is>
          <t/>
        </is>
      </c>
      <c r="O302" s="41" t="inlineStr">
        <is>
          <t/>
        </is>
      </c>
      <c r="P302" s="42" t="inlineStr">
        <is>
          <t/>
        </is>
      </c>
      <c r="Q302" s="43" t="inlineStr">
        <is>
          <t/>
        </is>
      </c>
      <c r="R302" s="44" t="inlineStr">
        <is>
          <t/>
        </is>
      </c>
    </row>
    <row r="303">
      <c r="A303" s="9" t="inlineStr">
        <is>
          <t>157954-78</t>
        </is>
      </c>
      <c r="B303" s="10" t="inlineStr">
        <is>
          <t>Vuori</t>
        </is>
      </c>
      <c r="C303" s="11" t="inlineStr">
        <is>
          <t>92024</t>
        </is>
      </c>
      <c r="D303" s="12" t="inlineStr">
        <is>
          <t>Operator of an online lifestyle retail store. The company develops an online platform for selling clothes and accessories for men and women.</t>
        </is>
      </c>
      <c r="E303" s="13" t="inlineStr">
        <is>
          <t>Internet Retail</t>
        </is>
      </c>
      <c r="F303" s="14" t="inlineStr">
        <is>
          <t>Encinitas, CA</t>
        </is>
      </c>
      <c r="G303" s="15" t="inlineStr">
        <is>
          <t>Privately Held (backing)</t>
        </is>
      </c>
      <c r="H303" s="16" t="inlineStr">
        <is>
          <t>Angel-Backed</t>
        </is>
      </c>
      <c r="I303" s="17" t="inlineStr">
        <is>
          <t>ABP Capital</t>
        </is>
      </c>
      <c r="J303" s="18" t="inlineStr">
        <is>
          <t>www.vuoriclothing.com</t>
        </is>
      </c>
      <c r="K303" s="19" t="inlineStr">
        <is>
          <t>info@vuoriclothing.com</t>
        </is>
      </c>
      <c r="L303" s="20" t="inlineStr">
        <is>
          <t>+1 (619) 417-8293</t>
        </is>
      </c>
      <c r="M303" s="21" t="inlineStr">
        <is>
          <t>Joseph Kudla</t>
        </is>
      </c>
      <c r="N303" s="22" t="inlineStr">
        <is>
          <t>Co-Founder &amp; Chief Executive Officer</t>
        </is>
      </c>
      <c r="O303" s="23" t="inlineStr">
        <is>
          <t>joe@vuoriclothing.com</t>
        </is>
      </c>
      <c r="P303" s="24" t="inlineStr">
        <is>
          <t>+1 (619) 417-8293</t>
        </is>
      </c>
      <c r="Q303" s="25" t="n">
        <v>2013.0</v>
      </c>
      <c r="R303" s="113">
        <f>HYPERLINK("https://my.pitchbook.com?c=157954-78", "View company online")</f>
      </c>
    </row>
    <row r="304">
      <c r="A304" s="27" t="inlineStr">
        <is>
          <t>103489-66</t>
        </is>
      </c>
      <c r="B304" s="28" t="inlineStr">
        <is>
          <t>VuMedi</t>
        </is>
      </c>
      <c r="C304" s="29" t="inlineStr">
        <is>
          <t/>
        </is>
      </c>
      <c r="D304" s="30" t="inlineStr">
        <is>
          <t>Provider of a video education platform for doctors and surgeons. The company provides a video education platform where doctors and surgeons can learn and practice medicine and patient care through a video-sharing website.</t>
        </is>
      </c>
      <c r="E304" s="31" t="inlineStr">
        <is>
          <t>Educational Software</t>
        </is>
      </c>
      <c r="F304" s="32" t="inlineStr">
        <is>
          <t>San Francisco, CA</t>
        </is>
      </c>
      <c r="G304" s="33" t="inlineStr">
        <is>
          <t>Privately Held (backing)</t>
        </is>
      </c>
      <c r="H304" s="34" t="inlineStr">
        <is>
          <t>Angel-Backed</t>
        </is>
      </c>
      <c r="I304" s="35" t="inlineStr">
        <is>
          <t/>
        </is>
      </c>
      <c r="J304" s="36" t="inlineStr">
        <is>
          <t>www.vumedi.com</t>
        </is>
      </c>
      <c r="K304" s="37" t="inlineStr">
        <is>
          <t>contact@vumedi.com</t>
        </is>
      </c>
      <c r="L304" s="38" t="inlineStr">
        <is>
          <t/>
        </is>
      </c>
      <c r="M304" s="39" t="inlineStr">
        <is>
          <t>Robert Winder</t>
        </is>
      </c>
      <c r="N304" s="40" t="inlineStr">
        <is>
          <t>Chief Executive Officer</t>
        </is>
      </c>
      <c r="O304" s="41" t="inlineStr">
        <is>
          <t>robert@vumedi.com</t>
        </is>
      </c>
      <c r="P304" s="42" t="inlineStr">
        <is>
          <t/>
        </is>
      </c>
      <c r="Q304" s="43" t="n">
        <v>2008.0</v>
      </c>
      <c r="R304" s="114">
        <f>HYPERLINK("https://my.pitchbook.com?c=103489-66", "View company online")</f>
      </c>
    </row>
    <row r="305">
      <c r="A305" s="9" t="inlineStr">
        <is>
          <t>104256-10</t>
        </is>
      </c>
      <c r="B305" s="10" t="inlineStr">
        <is>
          <t>Vumanity Media</t>
        </is>
      </c>
      <c r="C305" s="11" t="inlineStr">
        <is>
          <t>91423</t>
        </is>
      </c>
      <c r="D305" s="12" t="inlineStr">
        <is>
          <t>Provider of social media consultancy services. The company offers services that helps users to create customized talk shows online.</t>
        </is>
      </c>
      <c r="E305" s="13" t="inlineStr">
        <is>
          <t>Consulting Services (B2B)</t>
        </is>
      </c>
      <c r="F305" s="14" t="inlineStr">
        <is>
          <t>Los Angeles, CA</t>
        </is>
      </c>
      <c r="G305" s="15" t="inlineStr">
        <is>
          <t>Privately Held (backing)</t>
        </is>
      </c>
      <c r="H305" s="16" t="inlineStr">
        <is>
          <t>Angel-Backed</t>
        </is>
      </c>
      <c r="I305" s="17" t="inlineStr">
        <is>
          <t/>
        </is>
      </c>
      <c r="J305" s="18" t="inlineStr">
        <is>
          <t>www.vumanity.com</t>
        </is>
      </c>
      <c r="K305" s="19" t="inlineStr">
        <is>
          <t>info@vumanity.com</t>
        </is>
      </c>
      <c r="L305" s="20" t="inlineStr">
        <is>
          <t>+1 (310) 314-8405</t>
        </is>
      </c>
      <c r="M305" s="21" t="inlineStr">
        <is>
          <t>Gerald Geoffray</t>
        </is>
      </c>
      <c r="N305" s="22" t="inlineStr">
        <is>
          <t>President</t>
        </is>
      </c>
      <c r="O305" s="23" t="inlineStr">
        <is>
          <t/>
        </is>
      </c>
      <c r="P305" s="24" t="inlineStr">
        <is>
          <t>+1 (310) 314-8405</t>
        </is>
      </c>
      <c r="Q305" s="25" t="n">
        <v>2009.0</v>
      </c>
      <c r="R305" s="113">
        <f>HYPERLINK("https://my.pitchbook.com?c=104256-10", "View company online")</f>
      </c>
    </row>
    <row r="306">
      <c r="A306" s="27" t="inlineStr">
        <is>
          <t>119222-65</t>
        </is>
      </c>
      <c r="B306" s="28" t="inlineStr">
        <is>
          <t>Vulletin</t>
        </is>
      </c>
      <c r="C306" s="29" t="inlineStr">
        <is>
          <t/>
        </is>
      </c>
      <c r="D306" s="30" t="inlineStr">
        <is>
          <t>Provider of a digital bulletin board. The company develops a digital bulletin board that helps organizations to control the content and message posted on their board and helps in generating revenue.</t>
        </is>
      </c>
      <c r="E306" s="31" t="inlineStr">
        <is>
          <t>Social/Platform Software</t>
        </is>
      </c>
      <c r="F306" s="32" t="inlineStr">
        <is>
          <t>Santa Monica, CA</t>
        </is>
      </c>
      <c r="G306" s="33" t="inlineStr">
        <is>
          <t>Privately Held (backing)</t>
        </is>
      </c>
      <c r="H306" s="34" t="inlineStr">
        <is>
          <t>Accelerator/Incubator Backed</t>
        </is>
      </c>
      <c r="I306" s="35" t="inlineStr">
        <is>
          <t>RevTech Labs</t>
        </is>
      </c>
      <c r="J306" s="36" t="inlineStr">
        <is>
          <t>www.vulletin.com</t>
        </is>
      </c>
      <c r="K306" s="37" t="inlineStr">
        <is>
          <t>info@vulletin.com</t>
        </is>
      </c>
      <c r="L306" s="38" t="inlineStr">
        <is>
          <t/>
        </is>
      </c>
      <c r="M306" s="39" t="inlineStr">
        <is>
          <t/>
        </is>
      </c>
      <c r="N306" s="40" t="inlineStr">
        <is>
          <t/>
        </is>
      </c>
      <c r="O306" s="41" t="inlineStr">
        <is>
          <t/>
        </is>
      </c>
      <c r="P306" s="42" t="inlineStr">
        <is>
          <t/>
        </is>
      </c>
      <c r="Q306" s="43" t="n">
        <v>2014.0</v>
      </c>
      <c r="R306" s="114">
        <f>HYPERLINK("https://my.pitchbook.com?c=119222-65", "View company online")</f>
      </c>
    </row>
    <row r="307">
      <c r="A307" s="9" t="inlineStr">
        <is>
          <t>104778-91</t>
        </is>
      </c>
      <c r="B307" s="10" t="inlineStr">
        <is>
          <t>Vufind</t>
        </is>
      </c>
      <c r="C307" s="11" t="inlineStr">
        <is>
          <t>94596</t>
        </is>
      </c>
      <c r="D307" s="12" t="inlineStr">
        <is>
          <t>Provider of AI service to e-retailers to increase e-commerce revenue. The company provides a platform to combine catalog, audience, pricing and transaction intelligence which increases the conversion lift for the retailers by identifying the interest of consumers.</t>
        </is>
      </c>
      <c r="E307" s="13" t="inlineStr">
        <is>
          <t>Other Commercial Services</t>
        </is>
      </c>
      <c r="F307" s="14" t="inlineStr">
        <is>
          <t>Walnut Creek, CA</t>
        </is>
      </c>
      <c r="G307" s="15" t="inlineStr">
        <is>
          <t>Privately Held (backing)</t>
        </is>
      </c>
      <c r="H307" s="16" t="inlineStr">
        <is>
          <t>Angel-Backed</t>
        </is>
      </c>
      <c r="I307" s="17" t="inlineStr">
        <is>
          <t>Individual Investor</t>
        </is>
      </c>
      <c r="J307" s="18" t="inlineStr">
        <is>
          <t>www.vufind.com</t>
        </is>
      </c>
      <c r="K307" s="19" t="inlineStr">
        <is>
          <t>info@vufind.com</t>
        </is>
      </c>
      <c r="L307" s="20" t="inlineStr">
        <is>
          <t>+1 (408) 739-2880</t>
        </is>
      </c>
      <c r="M307" s="21" t="inlineStr">
        <is>
          <t>Moataz Rashad</t>
        </is>
      </c>
      <c r="N307" s="22" t="inlineStr">
        <is>
          <t>Co-Founder, Chief Executive Officer and Board Member</t>
        </is>
      </c>
      <c r="O307" s="23" t="inlineStr">
        <is>
          <t/>
        </is>
      </c>
      <c r="P307" s="24" t="inlineStr">
        <is>
          <t>+1 (408) 739-2880</t>
        </is>
      </c>
      <c r="Q307" s="25" t="n">
        <v>2010.0</v>
      </c>
      <c r="R307" s="113">
        <f>HYPERLINK("https://my.pitchbook.com?c=104778-91", "View company online")</f>
      </c>
    </row>
    <row r="308">
      <c r="A308" s="27" t="inlineStr">
        <is>
          <t>168597-46</t>
        </is>
      </c>
      <c r="B308" s="28" t="inlineStr">
        <is>
          <t>Vue (Smart Glasses)</t>
        </is>
      </c>
      <c r="C308" s="29" t="inlineStr">
        <is>
          <t/>
        </is>
      </c>
      <c r="D308" s="30" t="inlineStr">
        <is>
          <t>Manufacturer of smart glasses and eyewear. The company designs and develops spectacles that can be connected via Bluetooth enabling users to hear music, receive calls and view message notifications.</t>
        </is>
      </c>
      <c r="E308" s="31" t="inlineStr">
        <is>
          <t>Accessories</t>
        </is>
      </c>
      <c r="F308" s="32" t="inlineStr">
        <is>
          <t>San Francisco, CA</t>
        </is>
      </c>
      <c r="G308" s="33" t="inlineStr">
        <is>
          <t>Privately Held (backing)</t>
        </is>
      </c>
      <c r="H308" s="34" t="inlineStr">
        <is>
          <t>Accelerator/Incubator Backed</t>
        </is>
      </c>
      <c r="I308" s="35" t="inlineStr">
        <is>
          <t>SOSV</t>
        </is>
      </c>
      <c r="J308" s="36" t="inlineStr">
        <is>
          <t>www.enjoyvue.com</t>
        </is>
      </c>
      <c r="K308" s="37" t="inlineStr">
        <is>
          <t>hello@enjoyvue.com</t>
        </is>
      </c>
      <c r="L308" s="38" t="inlineStr">
        <is>
          <t/>
        </is>
      </c>
      <c r="M308" s="39" t="inlineStr">
        <is>
          <t>Tiantian Zhang</t>
        </is>
      </c>
      <c r="N308" s="40" t="inlineStr">
        <is>
          <t>Co-Founder</t>
        </is>
      </c>
      <c r="O308" s="41" t="inlineStr">
        <is>
          <t/>
        </is>
      </c>
      <c r="P308" s="42" t="inlineStr">
        <is>
          <t/>
        </is>
      </c>
      <c r="Q308" s="43" t="n">
        <v>2016.0</v>
      </c>
      <c r="R308" s="114">
        <f>HYPERLINK("https://my.pitchbook.com?c=168597-46", "View company online")</f>
      </c>
    </row>
    <row r="309">
      <c r="A309" s="9" t="inlineStr">
        <is>
          <t>153749-17</t>
        </is>
      </c>
      <c r="B309" s="10" t="inlineStr">
        <is>
          <t>Vubiq Networks</t>
        </is>
      </c>
      <c r="C309" s="11" t="inlineStr">
        <is>
          <t>92618</t>
        </is>
      </c>
      <c r="D309" s="12" t="inlineStr">
        <is>
          <t>Developer of components and systems for wireless applications. The company develops transmitters and receivers with embedded antennas and waveguide interfaces for applications such as wireless video transport and wireless point-to-point links.</t>
        </is>
      </c>
      <c r="E309" s="13" t="inlineStr">
        <is>
          <t>Wireless Communications Equipment</t>
        </is>
      </c>
      <c r="F309" s="14" t="inlineStr">
        <is>
          <t>Irvine, CA</t>
        </is>
      </c>
      <c r="G309" s="15" t="inlineStr">
        <is>
          <t>Privately Held (backing)</t>
        </is>
      </c>
      <c r="H309" s="16" t="inlineStr">
        <is>
          <t>Angel-Backed</t>
        </is>
      </c>
      <c r="I309" s="17" t="inlineStr">
        <is>
          <t>Cardinal Health 303, Robin Pimentel, Vivek Garipalli</t>
        </is>
      </c>
      <c r="J309" s="18" t="inlineStr">
        <is>
          <t>www.vubiqnetworks.com</t>
        </is>
      </c>
      <c r="K309" s="19" t="inlineStr">
        <is>
          <t>info@vubiqnetworks.com</t>
        </is>
      </c>
      <c r="L309" s="20" t="inlineStr">
        <is>
          <t>+1 (949) 226-8482</t>
        </is>
      </c>
      <c r="M309" s="21" t="inlineStr">
        <is>
          <t>Edward Snyder</t>
        </is>
      </c>
      <c r="N309" s="22" t="inlineStr">
        <is>
          <t>Chief Executive Officer</t>
        </is>
      </c>
      <c r="O309" s="23" t="inlineStr">
        <is>
          <t>edward@vubiqnetworks.com</t>
        </is>
      </c>
      <c r="P309" s="24" t="inlineStr">
        <is>
          <t>+1 (949) 226-8482</t>
        </is>
      </c>
      <c r="Q309" s="25" t="n">
        <v>2003.0</v>
      </c>
      <c r="R309" s="113">
        <f>HYPERLINK("https://my.pitchbook.com?c=153749-17", "View company online")</f>
      </c>
    </row>
    <row r="310">
      <c r="A310" s="27" t="inlineStr">
        <is>
          <t>156553-03</t>
        </is>
      </c>
      <c r="B310" s="28" t="inlineStr">
        <is>
          <t>V-Sense Medical Devices</t>
        </is>
      </c>
      <c r="C310" s="29" t="inlineStr">
        <is>
          <t>94103</t>
        </is>
      </c>
      <c r="D310" s="30" t="inlineStr">
        <is>
          <t>Developer of remote medical monitoring device. The company uses radar technology to develop a contact-less medical device to monitor and measure heart rate, respiratory rate and other vital signs.</t>
        </is>
      </c>
      <c r="E310" s="31" t="inlineStr">
        <is>
          <t>Monitoring Equipment</t>
        </is>
      </c>
      <c r="F310" s="32" t="inlineStr">
        <is>
          <t>San Francisco, CA</t>
        </is>
      </c>
      <c r="G310" s="33" t="inlineStr">
        <is>
          <t>Privately Held (backing)</t>
        </is>
      </c>
      <c r="H310" s="34" t="inlineStr">
        <is>
          <t>Accelerator/Incubator Backed</t>
        </is>
      </c>
      <c r="I310" s="35" t="inlineStr">
        <is>
          <t>MedTech Innovator, SOSV</t>
        </is>
      </c>
      <c r="J310" s="36" t="inlineStr">
        <is>
          <t>www.vsensemedical.com</t>
        </is>
      </c>
      <c r="K310" s="37" t="inlineStr">
        <is>
          <t/>
        </is>
      </c>
      <c r="L310" s="38" t="inlineStr">
        <is>
          <t>+1 (240) 863-2499</t>
        </is>
      </c>
      <c r="M310" s="39" t="inlineStr">
        <is>
          <t>Jeff Nosanov</t>
        </is>
      </c>
      <c r="N310" s="40" t="inlineStr">
        <is>
          <t>Co-Founder &amp; Chief Executive Officer</t>
        </is>
      </c>
      <c r="O310" s="41" t="inlineStr">
        <is>
          <t>jeff@vsensemedical.com</t>
        </is>
      </c>
      <c r="P310" s="42" t="inlineStr">
        <is>
          <t>+1 (240) 863-2499</t>
        </is>
      </c>
      <c r="Q310" s="43" t="n">
        <v>2015.0</v>
      </c>
      <c r="R310" s="114">
        <f>HYPERLINK("https://my.pitchbook.com?c=156553-03", "View company online")</f>
      </c>
    </row>
    <row r="311">
      <c r="A311" s="9" t="inlineStr">
        <is>
          <t>180397-90</t>
        </is>
      </c>
      <c r="B311" s="10" t="inlineStr">
        <is>
          <t>VRGluv</t>
        </is>
      </c>
      <c r="C311" s="85">
        <f>HYPERLINK("https://my.pitchbook.com?rrp=180397-90&amp;type=c", "This Company's information is not available to download. Need this Company? Request availability")</f>
      </c>
      <c r="D311" s="12" t="inlineStr">
        <is>
          <t/>
        </is>
      </c>
      <c r="E311" s="13" t="inlineStr">
        <is>
          <t/>
        </is>
      </c>
      <c r="F311" s="14" t="inlineStr">
        <is>
          <t/>
        </is>
      </c>
      <c r="G311" s="15" t="inlineStr">
        <is>
          <t/>
        </is>
      </c>
      <c r="H311" s="16" t="inlineStr">
        <is>
          <t/>
        </is>
      </c>
      <c r="I311" s="17" t="inlineStr">
        <is>
          <t/>
        </is>
      </c>
      <c r="J311" s="18" t="inlineStr">
        <is>
          <t/>
        </is>
      </c>
      <c r="K311" s="19" t="inlineStr">
        <is>
          <t/>
        </is>
      </c>
      <c r="L311" s="20" t="inlineStr">
        <is>
          <t/>
        </is>
      </c>
      <c r="M311" s="21" t="inlineStr">
        <is>
          <t/>
        </is>
      </c>
      <c r="N311" s="22" t="inlineStr">
        <is>
          <t/>
        </is>
      </c>
      <c r="O311" s="23" t="inlineStr">
        <is>
          <t/>
        </is>
      </c>
      <c r="P311" s="24" t="inlineStr">
        <is>
          <t/>
        </is>
      </c>
      <c r="Q311" s="25" t="inlineStr">
        <is>
          <t/>
        </is>
      </c>
      <c r="R311" s="26" t="inlineStr">
        <is>
          <t/>
        </is>
      </c>
    </row>
    <row r="312">
      <c r="A312" s="27" t="inlineStr">
        <is>
          <t>174053-26</t>
        </is>
      </c>
      <c r="B312" s="28" t="inlineStr">
        <is>
          <t>Vrentin</t>
        </is>
      </c>
      <c r="C312" s="86">
        <f>HYPERLINK("https://my.pitchbook.com?rrp=174053-26&amp;type=c", "This Company's information is not available to download. Need this Company? Request availability")</f>
      </c>
      <c r="D312" s="30" t="inlineStr">
        <is>
          <t/>
        </is>
      </c>
      <c r="E312" s="31" t="inlineStr">
        <is>
          <t/>
        </is>
      </c>
      <c r="F312" s="32" t="inlineStr">
        <is>
          <t/>
        </is>
      </c>
      <c r="G312" s="33" t="inlineStr">
        <is>
          <t/>
        </is>
      </c>
      <c r="H312" s="34" t="inlineStr">
        <is>
          <t/>
        </is>
      </c>
      <c r="I312" s="35" t="inlineStr">
        <is>
          <t/>
        </is>
      </c>
      <c r="J312" s="36" t="inlineStr">
        <is>
          <t/>
        </is>
      </c>
      <c r="K312" s="37" t="inlineStr">
        <is>
          <t/>
        </is>
      </c>
      <c r="L312" s="38" t="inlineStr">
        <is>
          <t/>
        </is>
      </c>
      <c r="M312" s="39" t="inlineStr">
        <is>
          <t/>
        </is>
      </c>
      <c r="N312" s="40" t="inlineStr">
        <is>
          <t/>
        </is>
      </c>
      <c r="O312" s="41" t="inlineStr">
        <is>
          <t/>
        </is>
      </c>
      <c r="P312" s="42" t="inlineStr">
        <is>
          <t/>
        </is>
      </c>
      <c r="Q312" s="43" t="inlineStr">
        <is>
          <t/>
        </is>
      </c>
      <c r="R312" s="44" t="inlineStr">
        <is>
          <t/>
        </is>
      </c>
    </row>
    <row r="313">
      <c r="A313" s="9" t="inlineStr">
        <is>
          <t>172411-93</t>
        </is>
      </c>
      <c r="B313" s="10" t="inlineStr">
        <is>
          <t>Vrenergy</t>
        </is>
      </c>
      <c r="C313" s="85">
        <f>HYPERLINK("https://my.pitchbook.com?rrp=172411-93&amp;type=c", "This Company's information is not available to download. Need this Company? Request availability")</f>
      </c>
      <c r="D313" s="12" t="inlineStr">
        <is>
          <t/>
        </is>
      </c>
      <c r="E313" s="13" t="inlineStr">
        <is>
          <t/>
        </is>
      </c>
      <c r="F313" s="14" t="inlineStr">
        <is>
          <t/>
        </is>
      </c>
      <c r="G313" s="15" t="inlineStr">
        <is>
          <t/>
        </is>
      </c>
      <c r="H313" s="16" t="inlineStr">
        <is>
          <t/>
        </is>
      </c>
      <c r="I313" s="17" t="inlineStr">
        <is>
          <t/>
        </is>
      </c>
      <c r="J313" s="18" t="inlineStr">
        <is>
          <t/>
        </is>
      </c>
      <c r="K313" s="19" t="inlineStr">
        <is>
          <t/>
        </is>
      </c>
      <c r="L313" s="20" t="inlineStr">
        <is>
          <t/>
        </is>
      </c>
      <c r="M313" s="21" t="inlineStr">
        <is>
          <t/>
        </is>
      </c>
      <c r="N313" s="22" t="inlineStr">
        <is>
          <t/>
        </is>
      </c>
      <c r="O313" s="23" t="inlineStr">
        <is>
          <t/>
        </is>
      </c>
      <c r="P313" s="24" t="inlineStr">
        <is>
          <t/>
        </is>
      </c>
      <c r="Q313" s="25" t="inlineStr">
        <is>
          <t/>
        </is>
      </c>
      <c r="R313" s="26" t="inlineStr">
        <is>
          <t/>
        </is>
      </c>
    </row>
    <row r="314">
      <c r="A314" s="27" t="inlineStr">
        <is>
          <t>171400-24</t>
        </is>
      </c>
      <c r="B314" s="28" t="inlineStr">
        <is>
          <t>VRCommerce</t>
        </is>
      </c>
      <c r="C314" s="86">
        <f>HYPERLINK("https://my.pitchbook.com?rrp=171400-24&amp;type=c", "This Company's information is not available to download. Need this Company? Request availability")</f>
      </c>
      <c r="D314" s="30" t="inlineStr">
        <is>
          <t/>
        </is>
      </c>
      <c r="E314" s="31" t="inlineStr">
        <is>
          <t/>
        </is>
      </c>
      <c r="F314" s="32" t="inlineStr">
        <is>
          <t/>
        </is>
      </c>
      <c r="G314" s="33" t="inlineStr">
        <is>
          <t/>
        </is>
      </c>
      <c r="H314" s="34" t="inlineStr">
        <is>
          <t/>
        </is>
      </c>
      <c r="I314" s="35" t="inlineStr">
        <is>
          <t/>
        </is>
      </c>
      <c r="J314" s="36" t="inlineStr">
        <is>
          <t/>
        </is>
      </c>
      <c r="K314" s="37" t="inlineStr">
        <is>
          <t/>
        </is>
      </c>
      <c r="L314" s="38" t="inlineStr">
        <is>
          <t/>
        </is>
      </c>
      <c r="M314" s="39" t="inlineStr">
        <is>
          <t/>
        </is>
      </c>
      <c r="N314" s="40" t="inlineStr">
        <is>
          <t/>
        </is>
      </c>
      <c r="O314" s="41" t="inlineStr">
        <is>
          <t/>
        </is>
      </c>
      <c r="P314" s="42" t="inlineStr">
        <is>
          <t/>
        </is>
      </c>
      <c r="Q314" s="43" t="inlineStr">
        <is>
          <t/>
        </is>
      </c>
      <c r="R314" s="44" t="inlineStr">
        <is>
          <t/>
        </is>
      </c>
    </row>
    <row r="315">
      <c r="A315" s="9" t="inlineStr">
        <is>
          <t>103096-54</t>
        </is>
      </c>
      <c r="B315" s="10" t="inlineStr">
        <is>
          <t>vPersonalize</t>
        </is>
      </c>
      <c r="C315" s="11" t="inlineStr">
        <is>
          <t>94112</t>
        </is>
      </c>
      <c r="D315" s="12" t="inlineStr">
        <is>
          <t>Developer of apparel and accessory design software that provides advanced features for designers. The company develops 3D visualization and automated pattern generation technologies that support custom sizes, full-bleed, all-overprints, custom styles and choice of fabric and thus helps to visualize, produce and deliver products on-demand to customers.</t>
        </is>
      </c>
      <c r="E315" s="13" t="inlineStr">
        <is>
          <t>Application Software</t>
        </is>
      </c>
      <c r="F315" s="14" t="inlineStr">
        <is>
          <t>San Francisco, CA</t>
        </is>
      </c>
      <c r="G315" s="15" t="inlineStr">
        <is>
          <t>Privately Held (backing)</t>
        </is>
      </c>
      <c r="H315" s="16" t="inlineStr">
        <is>
          <t>Angel-Backed</t>
        </is>
      </c>
      <c r="I315" s="17" t="inlineStr">
        <is>
          <t/>
        </is>
      </c>
      <c r="J315" s="18" t="inlineStr">
        <is>
          <t>www.vpersonalize.com</t>
        </is>
      </c>
      <c r="K315" s="19" t="inlineStr">
        <is>
          <t>info@vpersonalize.com</t>
        </is>
      </c>
      <c r="L315" s="20" t="inlineStr">
        <is>
          <t>+1 (415) 609-4070</t>
        </is>
      </c>
      <c r="M315" s="21" t="inlineStr">
        <is>
          <t>Lee Hagelshaw</t>
        </is>
      </c>
      <c r="N315" s="22" t="inlineStr">
        <is>
          <t>Co-Founder, Chief Financial Officer and General Counsel</t>
        </is>
      </c>
      <c r="O315" s="23" t="inlineStr">
        <is>
          <t/>
        </is>
      </c>
      <c r="P315" s="24" t="inlineStr">
        <is>
          <t>+1 (415) 609-4070</t>
        </is>
      </c>
      <c r="Q315" s="25" t="n">
        <v>2014.0</v>
      </c>
      <c r="R315" s="113">
        <f>HYPERLINK("https://my.pitchbook.com?c=103096-54", "View company online")</f>
      </c>
    </row>
    <row r="316">
      <c r="A316" s="27" t="inlineStr">
        <is>
          <t>135179-20</t>
        </is>
      </c>
      <c r="B316" s="28" t="inlineStr">
        <is>
          <t>Voyaj</t>
        </is>
      </c>
      <c r="C316" s="29" t="inlineStr">
        <is>
          <t>02144</t>
        </is>
      </c>
      <c r="D316" s="30" t="inlineStr">
        <is>
          <t>Developer of an online platform for connecting people. The company's platform connects and matches travelers and hosts from around the world, to provide them with cultural experiences opening hearts and minds, while sharing cultures, perspectives and homes.</t>
        </is>
      </c>
      <c r="E316" s="31" t="inlineStr">
        <is>
          <t>Information Services (B2C)</t>
        </is>
      </c>
      <c r="F316" s="32" t="inlineStr">
        <is>
          <t>Somerville, MA</t>
        </is>
      </c>
      <c r="G316" s="33" t="inlineStr">
        <is>
          <t>Privately Held (backing)</t>
        </is>
      </c>
      <c r="H316" s="34" t="inlineStr">
        <is>
          <t>Accelerator/Incubator Backed</t>
        </is>
      </c>
      <c r="I316" s="35" t="inlineStr">
        <is>
          <t>Hampshire College Endowment, Valley Venture Mentors</t>
        </is>
      </c>
      <c r="J316" s="36" t="inlineStr">
        <is>
          <t>www.voyaj.com</t>
        </is>
      </c>
      <c r="K316" s="37" t="inlineStr">
        <is>
          <t/>
        </is>
      </c>
      <c r="L316" s="38" t="inlineStr">
        <is>
          <t/>
        </is>
      </c>
      <c r="M316" s="39" t="inlineStr">
        <is>
          <t>Yasmine Baggari</t>
        </is>
      </c>
      <c r="N316" s="40" t="inlineStr">
        <is>
          <t>Founder &amp; Chief Executive Officer</t>
        </is>
      </c>
      <c r="O316" s="41" t="inlineStr">
        <is>
          <t>yasmine@voyaj.com</t>
        </is>
      </c>
      <c r="P316" s="42" t="inlineStr">
        <is>
          <t/>
        </is>
      </c>
      <c r="Q316" s="43" t="n">
        <v>2014.0</v>
      </c>
      <c r="R316" s="114">
        <f>HYPERLINK("https://my.pitchbook.com?c=135179-20", "View company online")</f>
      </c>
    </row>
    <row r="317">
      <c r="A317" s="9" t="inlineStr">
        <is>
          <t>121523-14</t>
        </is>
      </c>
      <c r="B317" s="10" t="inlineStr">
        <is>
          <t>Voxweb</t>
        </is>
      </c>
      <c r="C317" s="11" t="inlineStr">
        <is>
          <t/>
        </is>
      </c>
      <c r="D317" s="12" t="inlineStr">
        <is>
          <t>Provider of an application software for photo sharing. The company provides an application software which allows users to share and capture photos and also allows to add voice clips.</t>
        </is>
      </c>
      <c r="E317" s="13" t="inlineStr">
        <is>
          <t>Social Content</t>
        </is>
      </c>
      <c r="F317" s="14" t="inlineStr">
        <is>
          <t>San Francisco, CA</t>
        </is>
      </c>
      <c r="G317" s="15" t="inlineStr">
        <is>
          <t>Privately Held (backing)</t>
        </is>
      </c>
      <c r="H317" s="16" t="inlineStr">
        <is>
          <t>Angel-Backed</t>
        </is>
      </c>
      <c r="I317" s="17" t="inlineStr">
        <is>
          <t>Jitendra Gupta, SIDBI Innovation &amp; Incubation Center</t>
        </is>
      </c>
      <c r="J317" s="18" t="inlineStr">
        <is>
          <t>www.voxweb.rocks</t>
        </is>
      </c>
      <c r="K317" s="19" t="inlineStr">
        <is>
          <t/>
        </is>
      </c>
      <c r="L317" s="20" t="inlineStr">
        <is>
          <t/>
        </is>
      </c>
      <c r="M317" s="21" t="inlineStr">
        <is>
          <t>Yash Mishra</t>
        </is>
      </c>
      <c r="N317" s="22" t="inlineStr">
        <is>
          <t>Co-Founder</t>
        </is>
      </c>
      <c r="O317" s="23" t="inlineStr">
        <is>
          <t>yash@voxweb.rocks</t>
        </is>
      </c>
      <c r="P317" s="24" t="inlineStr">
        <is>
          <t/>
        </is>
      </c>
      <c r="Q317" s="25" t="n">
        <v>2014.0</v>
      </c>
      <c r="R317" s="113">
        <f>HYPERLINK("https://my.pitchbook.com?c=121523-14", "View company online")</f>
      </c>
    </row>
    <row r="318">
      <c r="A318" s="27" t="inlineStr">
        <is>
          <t>163354-42</t>
        </is>
      </c>
      <c r="B318" s="28" t="inlineStr">
        <is>
          <t>Votion</t>
        </is>
      </c>
      <c r="C318" s="29" t="inlineStr">
        <is>
          <t>94965</t>
        </is>
      </c>
      <c r="D318" s="30" t="inlineStr">
        <is>
          <t>Provider of a marketing and advertisement software. The company's marketing software enables businesses to engage customers through online interactive campaigns, content marketing and advertisements.</t>
        </is>
      </c>
      <c r="E318" s="31" t="inlineStr">
        <is>
          <t>Business/Productivity Software</t>
        </is>
      </c>
      <c r="F318" s="32" t="inlineStr">
        <is>
          <t>Sausalito, CA</t>
        </is>
      </c>
      <c r="G318" s="33" t="inlineStr">
        <is>
          <t>Privately Held (backing)</t>
        </is>
      </c>
      <c r="H318" s="34" t="inlineStr">
        <is>
          <t>Accelerator/Incubator Backed</t>
        </is>
      </c>
      <c r="I318" s="35" t="inlineStr">
        <is>
          <t>The LAUNCH Incubator</t>
        </is>
      </c>
      <c r="J318" s="36" t="inlineStr">
        <is>
          <t>www.votion.co</t>
        </is>
      </c>
      <c r="K318" s="37" t="inlineStr">
        <is>
          <t/>
        </is>
      </c>
      <c r="L318" s="38" t="inlineStr">
        <is>
          <t>+1 (415) 763-1234</t>
        </is>
      </c>
      <c r="M318" s="39" t="inlineStr">
        <is>
          <t>Craig Zingerline</t>
        </is>
      </c>
      <c r="N318" s="40" t="inlineStr">
        <is>
          <t>Co-Founder &amp; Chief Executive Officer</t>
        </is>
      </c>
      <c r="O318" s="41" t="inlineStr">
        <is>
          <t>craig@votion.co</t>
        </is>
      </c>
      <c r="P318" s="42" t="inlineStr">
        <is>
          <t>+1 (415) 763-1234</t>
        </is>
      </c>
      <c r="Q318" s="43" t="inlineStr">
        <is>
          <t/>
        </is>
      </c>
      <c r="R318" s="114">
        <f>HYPERLINK("https://my.pitchbook.com?c=163354-42", "View company online")</f>
      </c>
    </row>
    <row r="319">
      <c r="A319" s="9" t="inlineStr">
        <is>
          <t>53837-11</t>
        </is>
      </c>
      <c r="B319" s="10" t="inlineStr">
        <is>
          <t>Votigo</t>
        </is>
      </c>
      <c r="C319" s="11" t="inlineStr">
        <is>
          <t>94549</t>
        </is>
      </c>
      <c r="D319" s="12" t="inlineStr">
        <is>
          <t>Provider of social media marketing and promotion services. The company social media marketing and promotion services with a SaaS platform.</t>
        </is>
      </c>
      <c r="E319" s="13" t="inlineStr">
        <is>
          <t>Other Commercial Services</t>
        </is>
      </c>
      <c r="F319" s="14" t="inlineStr">
        <is>
          <t>Lafayette, CA</t>
        </is>
      </c>
      <c r="G319" s="15" t="inlineStr">
        <is>
          <t>Privately Held (backing)</t>
        </is>
      </c>
      <c r="H319" s="16" t="inlineStr">
        <is>
          <t>Angel-Backed</t>
        </is>
      </c>
      <c r="I319" s="17" t="inlineStr">
        <is>
          <t>Headwaters, Jeffrey Stibel</t>
        </is>
      </c>
      <c r="J319" s="18" t="inlineStr">
        <is>
          <t>www.votigo.com</t>
        </is>
      </c>
      <c r="K319" s="19" t="inlineStr">
        <is>
          <t>sales@votigo.com</t>
        </is>
      </c>
      <c r="L319" s="20" t="inlineStr">
        <is>
          <t/>
        </is>
      </c>
      <c r="M319" s="21" t="inlineStr">
        <is>
          <t>Mike La Rotonda</t>
        </is>
      </c>
      <c r="N319" s="22" t="inlineStr">
        <is>
          <t>Co-Founder &amp; Co-Chief Executive Officer</t>
        </is>
      </c>
      <c r="O319" s="23" t="inlineStr">
        <is>
          <t>mike@votigo.com</t>
        </is>
      </c>
      <c r="P319" s="24" t="inlineStr">
        <is>
          <t/>
        </is>
      </c>
      <c r="Q319" s="25" t="n">
        <v>2006.0</v>
      </c>
      <c r="R319" s="113">
        <f>HYPERLINK("https://my.pitchbook.com?c=53837-11", "View company online")</f>
      </c>
    </row>
    <row r="320">
      <c r="A320" s="27" t="inlineStr">
        <is>
          <t>101601-01</t>
        </is>
      </c>
      <c r="B320" s="28" t="inlineStr">
        <is>
          <t>Vote.org</t>
        </is>
      </c>
      <c r="C320" s="29" t="inlineStr">
        <is>
          <t>94117</t>
        </is>
      </c>
      <c r="D320" s="30" t="inlineStr">
        <is>
          <t>Developer of an online voting system. The company develops a system where citizens can register to vote, verify their registration and get to vote online.</t>
        </is>
      </c>
      <c r="E320" s="31" t="inlineStr">
        <is>
          <t>Application Software</t>
        </is>
      </c>
      <c r="F320" s="32" t="inlineStr">
        <is>
          <t>San Francisco, CA</t>
        </is>
      </c>
      <c r="G320" s="33" t="inlineStr">
        <is>
          <t>Privately Held (backing)</t>
        </is>
      </c>
      <c r="H320" s="34" t="inlineStr">
        <is>
          <t>Accelerator/Incubator Backed</t>
        </is>
      </c>
      <c r="I320" s="35" t="inlineStr">
        <is>
          <t>Citizen Engagement Lab, Civic Innovation Works, New Media Ventures, Y Combinator</t>
        </is>
      </c>
      <c r="J320" s="36" t="inlineStr">
        <is>
          <t>www.vote.org</t>
        </is>
      </c>
      <c r="K320" s="37" t="inlineStr">
        <is>
          <t>info@vote.org</t>
        </is>
      </c>
      <c r="L320" s="38" t="inlineStr">
        <is>
          <t/>
        </is>
      </c>
      <c r="M320" s="39" t="inlineStr">
        <is>
          <t>Debra Cleaver</t>
        </is>
      </c>
      <c r="N320" s="40" t="inlineStr">
        <is>
          <t>Co-Founder &amp; Chief Executive Officer</t>
        </is>
      </c>
      <c r="O320" s="41" t="inlineStr">
        <is>
          <t>debra@vote.org</t>
        </is>
      </c>
      <c r="P320" s="42" t="inlineStr">
        <is>
          <t/>
        </is>
      </c>
      <c r="Q320" s="43" t="n">
        <v>2008.0</v>
      </c>
      <c r="R320" s="114">
        <f>HYPERLINK("https://my.pitchbook.com?c=101601-01", "View company online")</f>
      </c>
    </row>
    <row r="321">
      <c r="A321" s="9" t="inlineStr">
        <is>
          <t>177804-01</t>
        </is>
      </c>
      <c r="B321" s="10" t="inlineStr">
        <is>
          <t>VOSET Architectural Hardware</t>
        </is>
      </c>
      <c r="C321" s="85">
        <f>HYPERLINK("https://my.pitchbook.com?rrp=177804-01&amp;type=c", "This Company's information is not available to download. Need this Company? Request availability")</f>
      </c>
      <c r="D321" s="12" t="inlineStr">
        <is>
          <t/>
        </is>
      </c>
      <c r="E321" s="13" t="inlineStr">
        <is>
          <t/>
        </is>
      </c>
      <c r="F321" s="14" t="inlineStr">
        <is>
          <t/>
        </is>
      </c>
      <c r="G321" s="15" t="inlineStr">
        <is>
          <t/>
        </is>
      </c>
      <c r="H321" s="16" t="inlineStr">
        <is>
          <t/>
        </is>
      </c>
      <c r="I321" s="17" t="inlineStr">
        <is>
          <t/>
        </is>
      </c>
      <c r="J321" s="18" t="inlineStr">
        <is>
          <t/>
        </is>
      </c>
      <c r="K321" s="19" t="inlineStr">
        <is>
          <t/>
        </is>
      </c>
      <c r="L321" s="20" t="inlineStr">
        <is>
          <t/>
        </is>
      </c>
      <c r="M321" s="21" t="inlineStr">
        <is>
          <t/>
        </is>
      </c>
      <c r="N321" s="22" t="inlineStr">
        <is>
          <t/>
        </is>
      </c>
      <c r="O321" s="23" t="inlineStr">
        <is>
          <t/>
        </is>
      </c>
      <c r="P321" s="24" t="inlineStr">
        <is>
          <t/>
        </is>
      </c>
      <c r="Q321" s="25" t="inlineStr">
        <is>
          <t/>
        </is>
      </c>
      <c r="R321" s="26" t="inlineStr">
        <is>
          <t/>
        </is>
      </c>
    </row>
    <row r="322">
      <c r="A322" s="27" t="inlineStr">
        <is>
          <t>99075-88</t>
        </is>
      </c>
      <c r="B322" s="28" t="inlineStr">
        <is>
          <t>Vorm</t>
        </is>
      </c>
      <c r="C322" s="29" t="inlineStr">
        <is>
          <t>94104</t>
        </is>
      </c>
      <c r="D322" s="30" t="inlineStr">
        <is>
          <t>Developer of a precision sensitive device designed to measure the temperature and humidity in any given environment. The company's Bluetooth connected precision sensitive device has inbuilt proximity sensors that senses humidity and temperature and sends notifications via a mobile application, enabling users to be aware of occurrences taking place in their surroundings and keep homes safe.</t>
        </is>
      </c>
      <c r="E322" s="31" t="inlineStr">
        <is>
          <t>Electronics (B2C)</t>
        </is>
      </c>
      <c r="F322" s="32" t="inlineStr">
        <is>
          <t>San Francisco, CA</t>
        </is>
      </c>
      <c r="G322" s="33" t="inlineStr">
        <is>
          <t>Privately Held (backing)</t>
        </is>
      </c>
      <c r="H322" s="34" t="inlineStr">
        <is>
          <t>Accelerator/Incubator Backed</t>
        </is>
      </c>
      <c r="I322" s="35" t="inlineStr">
        <is>
          <t>Hubraum</t>
        </is>
      </c>
      <c r="J322" s="36" t="inlineStr">
        <is>
          <t>www.vorm.io</t>
        </is>
      </c>
      <c r="K322" s="37" t="inlineStr">
        <is>
          <t>hi@vorm.io</t>
        </is>
      </c>
      <c r="L322" s="38" t="inlineStr">
        <is>
          <t>+1 (650) 215-6143</t>
        </is>
      </c>
      <c r="M322" s="39" t="inlineStr">
        <is>
          <t>Bart Zimny</t>
        </is>
      </c>
      <c r="N322" s="40" t="inlineStr">
        <is>
          <t>Co-Founder, Chief Executive Officer &amp; Design Strategist</t>
        </is>
      </c>
      <c r="O322" s="41" t="inlineStr">
        <is>
          <t>bart@climesense.com</t>
        </is>
      </c>
      <c r="P322" s="42" t="inlineStr">
        <is>
          <t>+1 (650) 215-6143</t>
        </is>
      </c>
      <c r="Q322" s="43" t="n">
        <v>2014.0</v>
      </c>
      <c r="R322" s="114">
        <f>HYPERLINK("https://my.pitchbook.com?c=99075-88", "View company online")</f>
      </c>
    </row>
    <row r="323">
      <c r="A323" s="9" t="inlineStr">
        <is>
          <t>172282-60</t>
        </is>
      </c>
      <c r="B323" s="10" t="inlineStr">
        <is>
          <t>Vor Data Systems</t>
        </is>
      </c>
      <c r="C323" s="85">
        <f>HYPERLINK("https://my.pitchbook.com?rrp=172282-60&amp;type=c", "This Company's information is not available to download. Need this Company? Request availability")</f>
      </c>
      <c r="D323" s="12" t="inlineStr">
        <is>
          <t/>
        </is>
      </c>
      <c r="E323" s="13" t="inlineStr">
        <is>
          <t/>
        </is>
      </c>
      <c r="F323" s="14" t="inlineStr">
        <is>
          <t/>
        </is>
      </c>
      <c r="G323" s="15" t="inlineStr">
        <is>
          <t/>
        </is>
      </c>
      <c r="H323" s="16" t="inlineStr">
        <is>
          <t/>
        </is>
      </c>
      <c r="I323" s="17" t="inlineStr">
        <is>
          <t/>
        </is>
      </c>
      <c r="J323" s="18" t="inlineStr">
        <is>
          <t/>
        </is>
      </c>
      <c r="K323" s="19" t="inlineStr">
        <is>
          <t/>
        </is>
      </c>
      <c r="L323" s="20" t="inlineStr">
        <is>
          <t/>
        </is>
      </c>
      <c r="M323" s="21" t="inlineStr">
        <is>
          <t/>
        </is>
      </c>
      <c r="N323" s="22" t="inlineStr">
        <is>
          <t/>
        </is>
      </c>
      <c r="O323" s="23" t="inlineStr">
        <is>
          <t/>
        </is>
      </c>
      <c r="P323" s="24" t="inlineStr">
        <is>
          <t/>
        </is>
      </c>
      <c r="Q323" s="25" t="inlineStr">
        <is>
          <t/>
        </is>
      </c>
      <c r="R323" s="26" t="inlineStr">
        <is>
          <t/>
        </is>
      </c>
    </row>
    <row r="324">
      <c r="A324" s="27" t="inlineStr">
        <is>
          <t>102888-37</t>
        </is>
      </c>
      <c r="B324" s="28" t="inlineStr">
        <is>
          <t>Voopes</t>
        </is>
      </c>
      <c r="C324" s="29" t="inlineStr">
        <is>
          <t>94010</t>
        </is>
      </c>
      <c r="D324" s="30" t="inlineStr">
        <is>
          <t>Provider of virtual currency services. The company offers player acquisition and virtual currency services for game publishers.</t>
        </is>
      </c>
      <c r="E324" s="31" t="inlineStr">
        <is>
          <t>Other Financial Services</t>
        </is>
      </c>
      <c r="F324" s="32" t="inlineStr">
        <is>
          <t>Burlingame, CA</t>
        </is>
      </c>
      <c r="G324" s="33" t="inlineStr">
        <is>
          <t>Privately Held (backing)</t>
        </is>
      </c>
      <c r="H324" s="34" t="inlineStr">
        <is>
          <t>Angel-Backed</t>
        </is>
      </c>
      <c r="I324" s="35" t="inlineStr">
        <is>
          <t>Premanco Ventures</t>
        </is>
      </c>
      <c r="J324" s="36" t="inlineStr">
        <is>
          <t>www.voopes.com</t>
        </is>
      </c>
      <c r="K324" s="37" t="inlineStr">
        <is>
          <t/>
        </is>
      </c>
      <c r="L324" s="38" t="inlineStr">
        <is>
          <t/>
        </is>
      </c>
      <c r="M324" s="39" t="inlineStr">
        <is>
          <t>Karen Orford</t>
        </is>
      </c>
      <c r="N324" s="40" t="inlineStr">
        <is>
          <t>Founder &amp; Chief Executive Officer</t>
        </is>
      </c>
      <c r="O324" s="41" t="inlineStr">
        <is>
          <t>karen@voopes.com</t>
        </is>
      </c>
      <c r="P324" s="42" t="inlineStr">
        <is>
          <t/>
        </is>
      </c>
      <c r="Q324" s="43" t="n">
        <v>2012.0</v>
      </c>
      <c r="R324" s="114">
        <f>HYPERLINK("https://my.pitchbook.com?c=102888-37", "View company online")</f>
      </c>
    </row>
    <row r="325">
      <c r="A325" s="9" t="inlineStr">
        <is>
          <t>98021-44</t>
        </is>
      </c>
      <c r="B325" s="10" t="inlineStr">
        <is>
          <t>Voodle</t>
        </is>
      </c>
      <c r="C325" s="11" t="inlineStr">
        <is>
          <t>90212</t>
        </is>
      </c>
      <c r="D325" s="12" t="inlineStr">
        <is>
          <t>Provider of a photo based mobile application. The company offers a software that automatically combines memories of friends and family by sequencing photos or other images into video.</t>
        </is>
      </c>
      <c r="E325" s="13" t="inlineStr">
        <is>
          <t>Movies, Music and Entertainment</t>
        </is>
      </c>
      <c r="F325" s="14" t="inlineStr">
        <is>
          <t>Beverly Hills, CA</t>
        </is>
      </c>
      <c r="G325" s="15" t="inlineStr">
        <is>
          <t>Privately Held (backing)</t>
        </is>
      </c>
      <c r="H325" s="16" t="inlineStr">
        <is>
          <t>Accelerator/Incubator Backed</t>
        </is>
      </c>
      <c r="I325" s="17" t="inlineStr">
        <is>
          <t/>
        </is>
      </c>
      <c r="J325" s="18" t="inlineStr">
        <is>
          <t>www.voodle.io</t>
        </is>
      </c>
      <c r="K325" s="19" t="inlineStr">
        <is>
          <t>contactus@voodle.io</t>
        </is>
      </c>
      <c r="L325" s="20" t="inlineStr">
        <is>
          <t>+1 (310) 844-7447</t>
        </is>
      </c>
      <c r="M325" s="21" t="inlineStr">
        <is>
          <t>Akash Aurora</t>
        </is>
      </c>
      <c r="N325" s="22" t="inlineStr">
        <is>
          <t>Founder</t>
        </is>
      </c>
      <c r="O325" s="23" t="inlineStr">
        <is>
          <t>akash.arora@ideatree.com</t>
        </is>
      </c>
      <c r="P325" s="24" t="inlineStr">
        <is>
          <t/>
        </is>
      </c>
      <c r="Q325" s="25" t="n">
        <v>2014.0</v>
      </c>
      <c r="R325" s="113">
        <f>HYPERLINK("https://my.pitchbook.com?c=98021-44", "View company online")</f>
      </c>
    </row>
    <row r="326">
      <c r="A326" s="27" t="inlineStr">
        <is>
          <t>61012-09</t>
        </is>
      </c>
      <c r="B326" s="28" t="inlineStr">
        <is>
          <t>Volvant</t>
        </is>
      </c>
      <c r="C326" s="29" t="inlineStr">
        <is>
          <t>93101</t>
        </is>
      </c>
      <c r="D326" s="30" t="inlineStr">
        <is>
          <t>Provider of a social marketing platform. The company offers a social commerce platform that helps marketers to generate business in social sites by providing business intelligence tools and mobile and canvas applications.</t>
        </is>
      </c>
      <c r="E326" s="31" t="inlineStr">
        <is>
          <t>Other Commercial Services</t>
        </is>
      </c>
      <c r="F326" s="32" t="inlineStr">
        <is>
          <t>Santa Barbara, CA</t>
        </is>
      </c>
      <c r="G326" s="33" t="inlineStr">
        <is>
          <t>Privately Held (backing)</t>
        </is>
      </c>
      <c r="H326" s="34" t="inlineStr">
        <is>
          <t>Angel-Backed</t>
        </is>
      </c>
      <c r="I326" s="35" t="inlineStr">
        <is>
          <t/>
        </is>
      </c>
      <c r="J326" s="36" t="inlineStr">
        <is>
          <t>www.volvant.com</t>
        </is>
      </c>
      <c r="K326" s="37" t="inlineStr">
        <is>
          <t>info@volvant.com</t>
        </is>
      </c>
      <c r="L326" s="38" t="inlineStr">
        <is>
          <t>+1 (805) 456-6464</t>
        </is>
      </c>
      <c r="M326" s="39" t="inlineStr">
        <is>
          <t>Pablo Garrido</t>
        </is>
      </c>
      <c r="N326" s="40" t="inlineStr">
        <is>
          <t>Co-Founder</t>
        </is>
      </c>
      <c r="O326" s="41" t="inlineStr">
        <is>
          <t>pablo@volvant.com</t>
        </is>
      </c>
      <c r="P326" s="42" t="inlineStr">
        <is>
          <t>+1 (805) 456-6464</t>
        </is>
      </c>
      <c r="Q326" s="43" t="n">
        <v>2011.0</v>
      </c>
      <c r="R326" s="114">
        <f>HYPERLINK("https://my.pitchbook.com?c=61012-09", "View company online")</f>
      </c>
    </row>
    <row r="327">
      <c r="A327" s="9" t="inlineStr">
        <is>
          <t>117253-27</t>
        </is>
      </c>
      <c r="B327" s="10" t="inlineStr">
        <is>
          <t>Voltus</t>
        </is>
      </c>
      <c r="C327" s="11" t="inlineStr">
        <is>
          <t/>
        </is>
      </c>
      <c r="D327" s="12" t="inlineStr">
        <is>
          <t>Manufacturer of a battery for mobile devices. The company manufactures a battery which can charge MacBook and two USB devices simultaneously.</t>
        </is>
      </c>
      <c r="E327" s="13" t="inlineStr">
        <is>
          <t>Electronics (B2C)</t>
        </is>
      </c>
      <c r="F327" s="14" t="inlineStr">
        <is>
          <t>San Francisco, CA</t>
        </is>
      </c>
      <c r="G327" s="15" t="inlineStr">
        <is>
          <t>Privately Held (backing)</t>
        </is>
      </c>
      <c r="H327" s="16" t="inlineStr">
        <is>
          <t>Angel-Backed</t>
        </is>
      </c>
      <c r="I327" s="17" t="inlineStr">
        <is>
          <t/>
        </is>
      </c>
      <c r="J327" s="18" t="inlineStr">
        <is>
          <t>www.getvoltus.com</t>
        </is>
      </c>
      <c r="K327" s="19" t="inlineStr">
        <is>
          <t>hello@getvoltus.com</t>
        </is>
      </c>
      <c r="L327" s="20" t="inlineStr">
        <is>
          <t/>
        </is>
      </c>
      <c r="M327" s="21" t="inlineStr">
        <is>
          <t>Cedric Bosch</t>
        </is>
      </c>
      <c r="N327" s="22" t="inlineStr">
        <is>
          <t>Co-Founder</t>
        </is>
      </c>
      <c r="O327" s="23" t="inlineStr">
        <is>
          <t>cedric@getvoltus.com</t>
        </is>
      </c>
      <c r="P327" s="24" t="inlineStr">
        <is>
          <t/>
        </is>
      </c>
      <c r="Q327" s="25" t="n">
        <v>2015.0</v>
      </c>
      <c r="R327" s="113">
        <f>HYPERLINK("https://my.pitchbook.com?c=117253-27", "View company online")</f>
      </c>
    </row>
    <row r="328">
      <c r="A328" s="27" t="inlineStr">
        <is>
          <t>104253-76</t>
        </is>
      </c>
      <c r="B328" s="28" t="inlineStr">
        <is>
          <t>Voltset</t>
        </is>
      </c>
      <c r="C328" s="86">
        <f>HYPERLINK("https://my.pitchbook.com?rrp=104253-76&amp;type=c", "This Company's information is not available to download. Need this Company? Request availability")</f>
      </c>
      <c r="D328" s="30" t="inlineStr">
        <is>
          <t/>
        </is>
      </c>
      <c r="E328" s="31" t="inlineStr">
        <is>
          <t/>
        </is>
      </c>
      <c r="F328" s="32" t="inlineStr">
        <is>
          <t/>
        </is>
      </c>
      <c r="G328" s="33" t="inlineStr">
        <is>
          <t/>
        </is>
      </c>
      <c r="H328" s="34" t="inlineStr">
        <is>
          <t/>
        </is>
      </c>
      <c r="I328" s="35" t="inlineStr">
        <is>
          <t/>
        </is>
      </c>
      <c r="J328" s="36" t="inlineStr">
        <is>
          <t/>
        </is>
      </c>
      <c r="K328" s="37" t="inlineStr">
        <is>
          <t/>
        </is>
      </c>
      <c r="L328" s="38" t="inlineStr">
        <is>
          <t/>
        </is>
      </c>
      <c r="M328" s="39" t="inlineStr">
        <is>
          <t/>
        </is>
      </c>
      <c r="N328" s="40" t="inlineStr">
        <is>
          <t/>
        </is>
      </c>
      <c r="O328" s="41" t="inlineStr">
        <is>
          <t/>
        </is>
      </c>
      <c r="P328" s="42" t="inlineStr">
        <is>
          <t/>
        </is>
      </c>
      <c r="Q328" s="43" t="inlineStr">
        <is>
          <t/>
        </is>
      </c>
      <c r="R328" s="44" t="inlineStr">
        <is>
          <t/>
        </is>
      </c>
    </row>
    <row r="329">
      <c r="A329" s="9" t="inlineStr">
        <is>
          <t>178888-15</t>
        </is>
      </c>
      <c r="B329" s="10" t="inlineStr">
        <is>
          <t>Volt Health</t>
        </is>
      </c>
      <c r="C329" s="11" t="inlineStr">
        <is>
          <t/>
        </is>
      </c>
      <c r="D329" s="12" t="inlineStr">
        <is>
          <t>Developer of an electro-stimulation wearable device designed to treat diseases like incontinence. The company develops a neuro-stimulation wearable devices designed to stimulate the muscles in order to give feedback to the receptors and helping users who are suffering from incontinence and migraines.</t>
        </is>
      </c>
      <c r="E329" s="13" t="inlineStr">
        <is>
          <t>Monitoring Equipment</t>
        </is>
      </c>
      <c r="F329" s="14" t="inlineStr">
        <is>
          <t>Mountain View, CA</t>
        </is>
      </c>
      <c r="G329" s="15" t="inlineStr">
        <is>
          <t>Privately Held (backing)</t>
        </is>
      </c>
      <c r="H329" s="16" t="inlineStr">
        <is>
          <t>Accelerator/Incubator Backed</t>
        </is>
      </c>
      <c r="I329" s="17" t="inlineStr">
        <is>
          <t>Y Combinator</t>
        </is>
      </c>
      <c r="J329" s="18" t="inlineStr">
        <is>
          <t>www.volthealth.com</t>
        </is>
      </c>
      <c r="K329" s="19" t="inlineStr">
        <is>
          <t>info@volthealth.com</t>
        </is>
      </c>
      <c r="L329" s="20" t="inlineStr">
        <is>
          <t/>
        </is>
      </c>
      <c r="M329" s="21" t="inlineStr">
        <is>
          <t>Scott Wolf</t>
        </is>
      </c>
      <c r="N329" s="22" t="inlineStr">
        <is>
          <t>Executive</t>
        </is>
      </c>
      <c r="O329" s="23" t="inlineStr">
        <is>
          <t>scott@volthealth.com</t>
        </is>
      </c>
      <c r="P329" s="24" t="inlineStr">
        <is>
          <t/>
        </is>
      </c>
      <c r="Q329" s="25" t="inlineStr">
        <is>
          <t/>
        </is>
      </c>
      <c r="R329" s="113">
        <f>HYPERLINK("https://my.pitchbook.com?c=178888-15", "View company online")</f>
      </c>
    </row>
    <row r="330">
      <c r="A330" s="27" t="inlineStr">
        <is>
          <t>171163-54</t>
        </is>
      </c>
      <c r="B330" s="28" t="inlineStr">
        <is>
          <t>Volley</t>
        </is>
      </c>
      <c r="C330" s="29" t="inlineStr">
        <is>
          <t/>
        </is>
      </c>
      <c r="D330" s="30" t="inlineStr">
        <is>
          <t>Developer of casual games designed to facilitate communication. The company develops casual games which are built on top of messaging platforms, enabling users to communicate while playing games.</t>
        </is>
      </c>
      <c r="E330" s="31" t="inlineStr">
        <is>
          <t>Entertainment Software</t>
        </is>
      </c>
      <c r="F330" s="32" t="inlineStr">
        <is>
          <t>Menlo Park, CA</t>
        </is>
      </c>
      <c r="G330" s="33" t="inlineStr">
        <is>
          <t>Privately Held (backing)</t>
        </is>
      </c>
      <c r="H330" s="34" t="inlineStr">
        <is>
          <t>Accelerator/Incubator Backed</t>
        </is>
      </c>
      <c r="I330" s="35" t="inlineStr">
        <is>
          <t>Boost VC, NFX Guild</t>
        </is>
      </c>
      <c r="J330" s="36" t="inlineStr">
        <is>
          <t>www.volleybots.com</t>
        </is>
      </c>
      <c r="K330" s="37" t="inlineStr">
        <is>
          <t/>
        </is>
      </c>
      <c r="L330" s="38" t="inlineStr">
        <is>
          <t/>
        </is>
      </c>
      <c r="M330" s="39" t="inlineStr">
        <is>
          <t>James Wilsterman</t>
        </is>
      </c>
      <c r="N330" s="40" t="inlineStr">
        <is>
          <t>Co-Founder &amp; President</t>
        </is>
      </c>
      <c r="O330" s="41" t="inlineStr">
        <is>
          <t>james@volleythat.com</t>
        </is>
      </c>
      <c r="P330" s="42" t="inlineStr">
        <is>
          <t/>
        </is>
      </c>
      <c r="Q330" s="43" t="n">
        <v>2013.0</v>
      </c>
      <c r="R330" s="114">
        <f>HYPERLINK("https://my.pitchbook.com?c=171163-54", "View company online")</f>
      </c>
    </row>
    <row r="331">
      <c r="A331" s="9" t="inlineStr">
        <is>
          <t>162833-14</t>
        </is>
      </c>
      <c r="B331" s="10" t="inlineStr">
        <is>
          <t>Volata Cycles</t>
        </is>
      </c>
      <c r="C331" s="11" t="inlineStr">
        <is>
          <t/>
        </is>
      </c>
      <c r="D331" s="12" t="inlineStr">
        <is>
          <t>Designer and engineers of smart bicycles. The company produces high-tech bicycles that are equipped with an app-based built-in computer that tracks performance, presents ride stats, and offers navigation, among other features. The bicycles have an automated lighting system, horn, anti-theft system, and smartphone connectivity.</t>
        </is>
      </c>
      <c r="E331" s="13" t="inlineStr">
        <is>
          <t>Other Consumer Durables</t>
        </is>
      </c>
      <c r="F331" s="14" t="inlineStr">
        <is>
          <t>San Francisco, CA</t>
        </is>
      </c>
      <c r="G331" s="15" t="inlineStr">
        <is>
          <t>Privately Held (backing)</t>
        </is>
      </c>
      <c r="H331" s="16" t="inlineStr">
        <is>
          <t>Angel-Backed</t>
        </is>
      </c>
      <c r="I331" s="17" t="inlineStr">
        <is>
          <t/>
        </is>
      </c>
      <c r="J331" s="18" t="inlineStr">
        <is>
          <t>www.volatacycles.com</t>
        </is>
      </c>
      <c r="K331" s="19" t="inlineStr">
        <is>
          <t>info@volatacycles.com</t>
        </is>
      </c>
      <c r="L331" s="20" t="inlineStr">
        <is>
          <t/>
        </is>
      </c>
      <c r="M331" s="21" t="inlineStr">
        <is>
          <t>Nicolò Riggio</t>
        </is>
      </c>
      <c r="N331" s="22" t="inlineStr">
        <is>
          <t>Co-Founder &amp; Head of Marketing</t>
        </is>
      </c>
      <c r="O331" s="23" t="inlineStr">
        <is>
          <t>nriggio@volatacycles.com</t>
        </is>
      </c>
      <c r="P331" s="24" t="inlineStr">
        <is>
          <t>+1 (415) 980-9103</t>
        </is>
      </c>
      <c r="Q331" s="25" t="n">
        <v>2015.0</v>
      </c>
      <c r="R331" s="113">
        <f>HYPERLINK("https://my.pitchbook.com?c=162833-14", "View company online")</f>
      </c>
    </row>
    <row r="332">
      <c r="A332" s="27" t="inlineStr">
        <is>
          <t>163852-75</t>
        </is>
      </c>
      <c r="B332" s="28" t="inlineStr">
        <is>
          <t>Volans-I</t>
        </is>
      </c>
      <c r="C332" s="29" t="inlineStr">
        <is>
          <t>94103</t>
        </is>
      </c>
      <c r="D332" s="30" t="inlineStr">
        <is>
          <t>Provider of an on-demand goods delivery service intended to help companies reduce shipping time. The company offers on-demand goods delivery and transportation services by using drone based technologies enabling enterprises to save costs on down-time &amp; inventory.</t>
        </is>
      </c>
      <c r="E332" s="31" t="inlineStr">
        <is>
          <t>Logistics</t>
        </is>
      </c>
      <c r="F332" s="32" t="inlineStr">
        <is>
          <t>San Francisco, CA</t>
        </is>
      </c>
      <c r="G332" s="33" t="inlineStr">
        <is>
          <t>Privately Held (backing)</t>
        </is>
      </c>
      <c r="H332" s="34" t="inlineStr">
        <is>
          <t>Accelerator/Incubator Backed</t>
        </is>
      </c>
      <c r="I332" s="35" t="inlineStr">
        <is>
          <t>Alchemist Accelerator, Runway Incubator, Y Combinator</t>
        </is>
      </c>
      <c r="J332" s="36" t="inlineStr">
        <is>
          <t>www.volans-i.com</t>
        </is>
      </c>
      <c r="K332" s="37" t="inlineStr">
        <is>
          <t/>
        </is>
      </c>
      <c r="L332" s="38" t="inlineStr">
        <is>
          <t/>
        </is>
      </c>
      <c r="M332" s="39" t="inlineStr">
        <is>
          <t>Hannan Parvizian</t>
        </is>
      </c>
      <c r="N332" s="40" t="inlineStr">
        <is>
          <t>Co-Founder &amp; Chief Executive Officer</t>
        </is>
      </c>
      <c r="O332" s="41" t="inlineStr">
        <is>
          <t>hannan.parvizian@volans-i.com</t>
        </is>
      </c>
      <c r="P332" s="42" t="inlineStr">
        <is>
          <t/>
        </is>
      </c>
      <c r="Q332" s="43" t="n">
        <v>2015.0</v>
      </c>
      <c r="R332" s="114">
        <f>HYPERLINK("https://my.pitchbook.com?c=163852-75", "View company online")</f>
      </c>
    </row>
    <row r="333">
      <c r="A333" s="9" t="inlineStr">
        <is>
          <t>65909-89</t>
        </is>
      </c>
      <c r="B333" s="10" t="inlineStr">
        <is>
          <t>Volabit</t>
        </is>
      </c>
      <c r="C333" s="11" t="inlineStr">
        <is>
          <t/>
        </is>
      </c>
      <c r="D333" s="12" t="inlineStr">
        <is>
          <t>Provider of an online trading platform. The company provides online digital currency trading platform.</t>
        </is>
      </c>
      <c r="E333" s="13" t="inlineStr">
        <is>
          <t>Consumer Finance</t>
        </is>
      </c>
      <c r="F333" s="14" t="inlineStr">
        <is>
          <t>Mexico</t>
        </is>
      </c>
      <c r="G333" s="15" t="inlineStr">
        <is>
          <t>Privately Held (backing)</t>
        </is>
      </c>
      <c r="H333" s="16" t="inlineStr">
        <is>
          <t>Accelerator/Incubator Backed</t>
        </is>
      </c>
      <c r="I333" s="17" t="inlineStr">
        <is>
          <t>Boost VC, Digital Currency Group, Individual Investor, Roadster Capital</t>
        </is>
      </c>
      <c r="J333" s="18" t="inlineStr">
        <is>
          <t>www.volabit.com</t>
        </is>
      </c>
      <c r="K333" s="19" t="inlineStr">
        <is>
          <t/>
        </is>
      </c>
      <c r="L333" s="20" t="inlineStr">
        <is>
          <t/>
        </is>
      </c>
      <c r="M333" s="21" t="inlineStr">
        <is>
          <t>Hannah Kim</t>
        </is>
      </c>
      <c r="N333" s="22" t="inlineStr">
        <is>
          <t>Co-founder</t>
        </is>
      </c>
      <c r="O333" s="23" t="inlineStr">
        <is>
          <t>hannah@coincove.co</t>
        </is>
      </c>
      <c r="P333" s="24" t="inlineStr">
        <is>
          <t/>
        </is>
      </c>
      <c r="Q333" s="25" t="n">
        <v>2013.0</v>
      </c>
      <c r="R333" s="113">
        <f>HYPERLINK("https://my.pitchbook.com?c=65909-89", "View company online")</f>
      </c>
    </row>
    <row r="334">
      <c r="A334" s="27" t="inlineStr">
        <is>
          <t>153485-20</t>
        </is>
      </c>
      <c r="B334" s="28" t="inlineStr">
        <is>
          <t>Voistand</t>
        </is>
      </c>
      <c r="C334" s="29" t="inlineStr">
        <is>
          <t/>
        </is>
      </c>
      <c r="D334" s="30" t="inlineStr">
        <is>
          <t>The company is currently operating in Stealth mode.</t>
        </is>
      </c>
      <c r="E334" s="31" t="inlineStr">
        <is>
          <t>Other Business Products and Services</t>
        </is>
      </c>
      <c r="F334" s="32" t="inlineStr">
        <is>
          <t>San Francisco, CA</t>
        </is>
      </c>
      <c r="G334" s="33" t="inlineStr">
        <is>
          <t>Privately Held (backing)</t>
        </is>
      </c>
      <c r="H334" s="34" t="inlineStr">
        <is>
          <t>Angel-Backed</t>
        </is>
      </c>
      <c r="I334" s="35" t="inlineStr">
        <is>
          <t/>
        </is>
      </c>
      <c r="J334" s="36" t="inlineStr">
        <is>
          <t>www.voistand.com</t>
        </is>
      </c>
      <c r="K334" s="37" t="inlineStr">
        <is>
          <t/>
        </is>
      </c>
      <c r="L334" s="38" t="inlineStr">
        <is>
          <t/>
        </is>
      </c>
      <c r="M334" s="39" t="inlineStr">
        <is>
          <t>Kamran Zargahi</t>
        </is>
      </c>
      <c r="N334" s="40" t="inlineStr">
        <is>
          <t>Co-Founder &amp; Chief Technology Officer</t>
        </is>
      </c>
      <c r="O334" s="41" t="inlineStr">
        <is>
          <t>kamran.zargahi@modiohealth.com</t>
        </is>
      </c>
      <c r="P334" s="42" t="inlineStr">
        <is>
          <t>+1 (425) 766-6134</t>
        </is>
      </c>
      <c r="Q334" s="43" t="inlineStr">
        <is>
          <t/>
        </is>
      </c>
      <c r="R334" s="114">
        <f>HYPERLINK("https://my.pitchbook.com?c=153485-20", "View company online")</f>
      </c>
    </row>
    <row r="335">
      <c r="A335" s="9" t="inlineStr">
        <is>
          <t>61139-35</t>
        </is>
      </c>
      <c r="B335" s="10" t="inlineStr">
        <is>
          <t>VoicePlate.com</t>
        </is>
      </c>
      <c r="C335" s="11" t="inlineStr">
        <is>
          <t>90025</t>
        </is>
      </c>
      <c r="D335" s="12" t="inlineStr">
        <is>
          <t>Developer of a platform for verification of online and offline identities. The company allows users to create websites using modern design and user-friendly editing tools on an advanced networking platform.</t>
        </is>
      </c>
      <c r="E335" s="13" t="inlineStr">
        <is>
          <t>Social/Platform Software</t>
        </is>
      </c>
      <c r="F335" s="14" t="inlineStr">
        <is>
          <t>Los Angeles, CA</t>
        </is>
      </c>
      <c r="G335" s="15" t="inlineStr">
        <is>
          <t>Privately Held (backing)</t>
        </is>
      </c>
      <c r="H335" s="16" t="inlineStr">
        <is>
          <t>Angel-Backed</t>
        </is>
      </c>
      <c r="I335" s="17" t="inlineStr">
        <is>
          <t/>
        </is>
      </c>
      <c r="J335" s="18" t="inlineStr">
        <is>
          <t>www.voiceplate.net</t>
        </is>
      </c>
      <c r="K335" s="19" t="inlineStr">
        <is>
          <t/>
        </is>
      </c>
      <c r="L335" s="20" t="inlineStr">
        <is>
          <t>+1 (310) 849-6139</t>
        </is>
      </c>
      <c r="M335" s="21" t="inlineStr">
        <is>
          <t>Joseph Fahmy</t>
        </is>
      </c>
      <c r="N335" s="22" t="inlineStr">
        <is>
          <t>Founder &amp; Chief Executive Officer</t>
        </is>
      </c>
      <c r="O335" s="23" t="inlineStr">
        <is>
          <t/>
        </is>
      </c>
      <c r="P335" s="24" t="inlineStr">
        <is>
          <t>+1 (310) 849-6139</t>
        </is>
      </c>
      <c r="Q335" s="25" t="n">
        <v>2007.0</v>
      </c>
      <c r="R335" s="113">
        <f>HYPERLINK("https://my.pitchbook.com?c=61139-35", "View company online")</f>
      </c>
    </row>
    <row r="336">
      <c r="A336" s="27" t="inlineStr">
        <is>
          <t>119554-57</t>
        </is>
      </c>
      <c r="B336" s="28" t="inlineStr">
        <is>
          <t>VoicePark</t>
        </is>
      </c>
      <c r="C336" s="29" t="inlineStr">
        <is>
          <t/>
        </is>
      </c>
      <c r="D336" s="30" t="inlineStr">
        <is>
          <t>Provider of a sensor system for motorists. The company provides a parking management system for drivers with voice-guided turn-by-turn directions to the closest available on-street or off-street parking spot.</t>
        </is>
      </c>
      <c r="E336" s="31" t="inlineStr">
        <is>
          <t>Electronics (B2C)</t>
        </is>
      </c>
      <c r="F336" s="32" t="inlineStr">
        <is>
          <t>San Francisco, CA</t>
        </is>
      </c>
      <c r="G336" s="33" t="inlineStr">
        <is>
          <t>Privately Held (backing)</t>
        </is>
      </c>
      <c r="H336" s="34" t="inlineStr">
        <is>
          <t>Accelerator/Incubator Backed</t>
        </is>
      </c>
      <c r="I336" s="35" t="inlineStr">
        <is>
          <t>Wearable IoT World</t>
        </is>
      </c>
      <c r="J336" s="36" t="inlineStr">
        <is>
          <t>www.voicepark.org</t>
        </is>
      </c>
      <c r="K336" s="37" t="inlineStr">
        <is>
          <t/>
        </is>
      </c>
      <c r="L336" s="38" t="inlineStr">
        <is>
          <t/>
        </is>
      </c>
      <c r="M336" s="39" t="inlineStr">
        <is>
          <t>David LaBua</t>
        </is>
      </c>
      <c r="N336" s="40" t="inlineStr">
        <is>
          <t>Founder &amp; Chief Executive Officer</t>
        </is>
      </c>
      <c r="O336" s="41" t="inlineStr">
        <is>
          <t>davidk@voicepark.org</t>
        </is>
      </c>
      <c r="P336" s="42" t="inlineStr">
        <is>
          <t/>
        </is>
      </c>
      <c r="Q336" s="43" t="n">
        <v>2011.0</v>
      </c>
      <c r="R336" s="114">
        <f>HYPERLINK("https://my.pitchbook.com?c=119554-57", "View company online")</f>
      </c>
    </row>
    <row r="337">
      <c r="A337" s="9" t="inlineStr">
        <is>
          <t>168229-27</t>
        </is>
      </c>
      <c r="B337" s="10" t="inlineStr">
        <is>
          <t>Voga Coffee</t>
        </is>
      </c>
      <c r="C337" s="11" t="inlineStr">
        <is>
          <t>94114</t>
        </is>
      </c>
      <c r="D337" s="12" t="inlineStr">
        <is>
          <t>Designer and manufacturer of a coffee brewing machine. The company manufactures a coffee brewing equipment that is used to grid and store coffee for commercial batch brewing purposes.</t>
        </is>
      </c>
      <c r="E337" s="13" t="inlineStr">
        <is>
          <t>Electrical Equipment</t>
        </is>
      </c>
      <c r="F337" s="14" t="inlineStr">
        <is>
          <t>San Francisco, CA</t>
        </is>
      </c>
      <c r="G337" s="15" t="inlineStr">
        <is>
          <t>Privately Held (backing)</t>
        </is>
      </c>
      <c r="H337" s="16" t="inlineStr">
        <is>
          <t>Angel-Backed</t>
        </is>
      </c>
      <c r="I337" s="17" t="inlineStr">
        <is>
          <t/>
        </is>
      </c>
      <c r="J337" s="18" t="inlineStr">
        <is>
          <t>www.vogacoffee.com</t>
        </is>
      </c>
      <c r="K337" s="19" t="inlineStr">
        <is>
          <t>info@vogacoffee.com</t>
        </is>
      </c>
      <c r="L337" s="20" t="inlineStr">
        <is>
          <t>+1 (917) 617-3766</t>
        </is>
      </c>
      <c r="M337" s="21" t="inlineStr">
        <is>
          <t>Eli Salomon</t>
        </is>
      </c>
      <c r="N337" s="22" t="inlineStr">
        <is>
          <t>Co-Founder, President, Chief Executive Officer &amp; Board Member</t>
        </is>
      </c>
      <c r="O337" s="23" t="inlineStr">
        <is>
          <t>eli@vogacoffee.com</t>
        </is>
      </c>
      <c r="P337" s="24" t="inlineStr">
        <is>
          <t>+1 (917) 617-3766</t>
        </is>
      </c>
      <c r="Q337" s="25" t="n">
        <v>2015.0</v>
      </c>
      <c r="R337" s="113">
        <f>HYPERLINK("https://my.pitchbook.com?c=168229-27", "View company online")</f>
      </c>
    </row>
    <row r="338">
      <c r="A338" s="27" t="inlineStr">
        <is>
          <t>103520-44</t>
        </is>
      </c>
      <c r="B338" s="28" t="inlineStr">
        <is>
          <t>VocoMD</t>
        </is>
      </c>
      <c r="C338" s="29" t="inlineStr">
        <is>
          <t>94123</t>
        </is>
      </c>
      <c r="D338" s="30" t="inlineStr">
        <is>
          <t>Provider of a telemedicine platform to the users by connecting patients with the doctors. The company provides services like video conferencing, text chat with the clinicians and patients, file sharing and also helps the patients to schedule meetings.</t>
        </is>
      </c>
      <c r="E338" s="31" t="inlineStr">
        <is>
          <t>Other Healthcare Technology Systems</t>
        </is>
      </c>
      <c r="F338" s="32" t="inlineStr">
        <is>
          <t>San Francisco, CA</t>
        </is>
      </c>
      <c r="G338" s="33" t="inlineStr">
        <is>
          <t>Privately Held (backing)</t>
        </is>
      </c>
      <c r="H338" s="34" t="inlineStr">
        <is>
          <t>Angel-Backed</t>
        </is>
      </c>
      <c r="I338" s="35" t="inlineStr">
        <is>
          <t/>
        </is>
      </c>
      <c r="J338" s="36" t="inlineStr">
        <is>
          <t>www.vocomd.com</t>
        </is>
      </c>
      <c r="K338" s="37" t="inlineStr">
        <is>
          <t>info@vocomd.com</t>
        </is>
      </c>
      <c r="L338" s="38" t="inlineStr">
        <is>
          <t>+1 (415) 555-5555</t>
        </is>
      </c>
      <c r="M338" s="39" t="inlineStr">
        <is>
          <t>Lauren Meyers</t>
        </is>
      </c>
      <c r="N338" s="40" t="inlineStr">
        <is>
          <t>Co-Founder</t>
        </is>
      </c>
      <c r="O338" s="41" t="inlineStr">
        <is>
          <t/>
        </is>
      </c>
      <c r="P338" s="42" t="inlineStr">
        <is>
          <t>+1 (415) 555-5555</t>
        </is>
      </c>
      <c r="Q338" s="43" t="n">
        <v>2014.0</v>
      </c>
      <c r="R338" s="114">
        <f>HYPERLINK("https://my.pitchbook.com?c=103520-44", "View company online")</f>
      </c>
    </row>
    <row r="339">
      <c r="A339" s="9" t="inlineStr">
        <is>
          <t>154990-36</t>
        </is>
      </c>
      <c r="B339" s="10" t="inlineStr">
        <is>
          <t>Vocademy</t>
        </is>
      </c>
      <c r="C339" s="11" t="inlineStr">
        <is>
          <t>92507</t>
        </is>
      </c>
      <c r="D339" s="12" t="inlineStr">
        <is>
          <t>Organizer of vocational training classes. The company organizes vocational training classes for students allowing them to create products based on wood, 3D printing, laser engraving, electronics and robotics.</t>
        </is>
      </c>
      <c r="E339" s="13" t="inlineStr">
        <is>
          <t>Educational and Training Services (B2C)</t>
        </is>
      </c>
      <c r="F339" s="14" t="inlineStr">
        <is>
          <t>Riverside, CA</t>
        </is>
      </c>
      <c r="G339" s="15" t="inlineStr">
        <is>
          <t>Privately Held (backing)</t>
        </is>
      </c>
      <c r="H339" s="16" t="inlineStr">
        <is>
          <t>Angel-Backed</t>
        </is>
      </c>
      <c r="I339" s="17" t="inlineStr">
        <is>
          <t/>
        </is>
      </c>
      <c r="J339" s="18" t="inlineStr">
        <is>
          <t>www.vocademy.com</t>
        </is>
      </c>
      <c r="K339" s="19" t="inlineStr">
        <is>
          <t>info@vocademy.com</t>
        </is>
      </c>
      <c r="L339" s="20" t="inlineStr">
        <is>
          <t>+1 (951) 266-6630</t>
        </is>
      </c>
      <c r="M339" s="21" t="inlineStr">
        <is>
          <t>Gene Sherman</t>
        </is>
      </c>
      <c r="N339" s="22" t="inlineStr">
        <is>
          <t>Founder, Chief Executive Officer, Principal &amp; Owner</t>
        </is>
      </c>
      <c r="O339" s="23" t="inlineStr">
        <is>
          <t>gene@vocademy.com</t>
        </is>
      </c>
      <c r="P339" s="24" t="inlineStr">
        <is>
          <t>+1 (951) 266-6630</t>
        </is>
      </c>
      <c r="Q339" s="25" t="n">
        <v>2010.0</v>
      </c>
      <c r="R339" s="113">
        <f>HYPERLINK("https://my.pitchbook.com?c=154990-36", "View company online")</f>
      </c>
    </row>
    <row r="340">
      <c r="A340" s="27" t="inlineStr">
        <is>
          <t>100537-12</t>
        </is>
      </c>
      <c r="B340" s="28" t="inlineStr">
        <is>
          <t>Vliv</t>
        </is>
      </c>
      <c r="C340" s="29" t="inlineStr">
        <is>
          <t/>
        </is>
      </c>
      <c r="D340" s="30" t="inlineStr">
        <is>
          <t>Developer of a mobile video application. The company develops video app constellation that will be hosted on its mobile video backend.</t>
        </is>
      </c>
      <c r="E340" s="31" t="inlineStr">
        <is>
          <t>Entertainment Software</t>
        </is>
      </c>
      <c r="F340" s="32" t="inlineStr">
        <is>
          <t>Sunnyvale, CA</t>
        </is>
      </c>
      <c r="G340" s="33" t="inlineStr">
        <is>
          <t>Privately Held (backing)</t>
        </is>
      </c>
      <c r="H340" s="34" t="inlineStr">
        <is>
          <t>Angel-Backed</t>
        </is>
      </c>
      <c r="I340" s="35" t="inlineStr">
        <is>
          <t>Manish Dalal, Mumbai Angel Venture Mentors, Pari Natarajan, Srini Raghavan</t>
        </is>
      </c>
      <c r="J340" s="36" t="inlineStr">
        <is>
          <t>www.vliv.com</t>
        </is>
      </c>
      <c r="K340" s="37" t="inlineStr">
        <is>
          <t>info@vliv.com</t>
        </is>
      </c>
      <c r="L340" s="38" t="inlineStr">
        <is>
          <t/>
        </is>
      </c>
      <c r="M340" s="39" t="inlineStr">
        <is>
          <t>Ashish Chadha</t>
        </is>
      </c>
      <c r="N340" s="40" t="inlineStr">
        <is>
          <t>Co-Founder &amp; Chief Executive Officer</t>
        </is>
      </c>
      <c r="O340" s="41" t="inlineStr">
        <is>
          <t>ashish@vliv.com</t>
        </is>
      </c>
      <c r="P340" s="42" t="inlineStr">
        <is>
          <t/>
        </is>
      </c>
      <c r="Q340" s="43" t="n">
        <v>2013.0</v>
      </c>
      <c r="R340" s="114">
        <f>HYPERLINK("https://my.pitchbook.com?c=100537-12", "View company online")</f>
      </c>
    </row>
    <row r="341">
      <c r="A341" s="9" t="inlineStr">
        <is>
          <t>177412-51</t>
        </is>
      </c>
      <c r="B341" s="10" t="inlineStr">
        <is>
          <t>VKLiQ</t>
        </is>
      </c>
      <c r="C341" s="85">
        <f>HYPERLINK("https://my.pitchbook.com?rrp=177412-51&amp;type=c", "This Company's information is not available to download. Need this Company? Request availability")</f>
      </c>
      <c r="D341" s="12" t="inlineStr">
        <is>
          <t/>
        </is>
      </c>
      <c r="E341" s="13" t="inlineStr">
        <is>
          <t/>
        </is>
      </c>
      <c r="F341" s="14" t="inlineStr">
        <is>
          <t/>
        </is>
      </c>
      <c r="G341" s="15" t="inlineStr">
        <is>
          <t/>
        </is>
      </c>
      <c r="H341" s="16" t="inlineStr">
        <is>
          <t/>
        </is>
      </c>
      <c r="I341" s="17" t="inlineStr">
        <is>
          <t/>
        </is>
      </c>
      <c r="J341" s="18" t="inlineStr">
        <is>
          <t/>
        </is>
      </c>
      <c r="K341" s="19" t="inlineStr">
        <is>
          <t/>
        </is>
      </c>
      <c r="L341" s="20" t="inlineStr">
        <is>
          <t/>
        </is>
      </c>
      <c r="M341" s="21" t="inlineStr">
        <is>
          <t/>
        </is>
      </c>
      <c r="N341" s="22" t="inlineStr">
        <is>
          <t/>
        </is>
      </c>
      <c r="O341" s="23" t="inlineStr">
        <is>
          <t/>
        </is>
      </c>
      <c r="P341" s="24" t="inlineStr">
        <is>
          <t/>
        </is>
      </c>
      <c r="Q341" s="25" t="inlineStr">
        <is>
          <t/>
        </is>
      </c>
      <c r="R341" s="26" t="inlineStr">
        <is>
          <t/>
        </is>
      </c>
    </row>
    <row r="342">
      <c r="A342" s="27" t="inlineStr">
        <is>
          <t>150068-26</t>
        </is>
      </c>
      <c r="B342" s="28" t="inlineStr">
        <is>
          <t>Vizzario</t>
        </is>
      </c>
      <c r="C342" s="29" t="inlineStr">
        <is>
          <t>95618</t>
        </is>
      </c>
      <c r="D342" s="30" t="inlineStr">
        <is>
          <t>Owner and operator of a bio-medical company. The company offers bio-medical engineering and technology services in the field of visual interaction to their clientele.</t>
        </is>
      </c>
      <c r="E342" s="31" t="inlineStr">
        <is>
          <t>Other Healthcare Services</t>
        </is>
      </c>
      <c r="F342" s="32" t="inlineStr">
        <is>
          <t>Davis, CA</t>
        </is>
      </c>
      <c r="G342" s="33" t="inlineStr">
        <is>
          <t>Privately Held (backing)</t>
        </is>
      </c>
      <c r="H342" s="34" t="inlineStr">
        <is>
          <t>Angel-Backed</t>
        </is>
      </c>
      <c r="I342" s="35" t="inlineStr">
        <is>
          <t/>
        </is>
      </c>
      <c r="J342" s="36" t="inlineStr">
        <is>
          <t>www.vizzario.com</t>
        </is>
      </c>
      <c r="K342" s="37" t="inlineStr">
        <is>
          <t>info@vizzario.com</t>
        </is>
      </c>
      <c r="L342" s="38" t="inlineStr">
        <is>
          <t>+1 (801) 949-8708</t>
        </is>
      </c>
      <c r="M342" s="39" t="inlineStr">
        <is>
          <t>Khizer Khaderi</t>
        </is>
      </c>
      <c r="N342" s="40" t="inlineStr">
        <is>
          <t>Co-Founder, Chief Executive Officer &amp; Board Member</t>
        </is>
      </c>
      <c r="O342" s="41" t="inlineStr">
        <is>
          <t>khizer@vizzario.com</t>
        </is>
      </c>
      <c r="P342" s="42" t="inlineStr">
        <is>
          <t>+1 (801) 949-8708</t>
        </is>
      </c>
      <c r="Q342" s="43" t="n">
        <v>2014.0</v>
      </c>
      <c r="R342" s="114">
        <f>HYPERLINK("https://my.pitchbook.com?c=150068-26", "View company online")</f>
      </c>
    </row>
    <row r="343">
      <c r="A343" s="9" t="inlineStr">
        <is>
          <t>151187-41</t>
        </is>
      </c>
      <c r="B343" s="10" t="inlineStr">
        <is>
          <t>Vizyontech Imaging</t>
        </is>
      </c>
      <c r="C343" s="11" t="inlineStr">
        <is>
          <t>95113</t>
        </is>
      </c>
      <c r="D343" s="12" t="inlineStr">
        <is>
          <t>Developer of an ultrasound transducer. The company develops a 3D/4D advanced ultrasound transducer for breast imaging which features processing and programmable scan.</t>
        </is>
      </c>
      <c r="E343" s="13" t="inlineStr">
        <is>
          <t>Diagnostic Equipment</t>
        </is>
      </c>
      <c r="F343" s="14" t="inlineStr">
        <is>
          <t>San Jose, CA</t>
        </is>
      </c>
      <c r="G343" s="15" t="inlineStr">
        <is>
          <t>Privately Held (backing)</t>
        </is>
      </c>
      <c r="H343" s="16" t="inlineStr">
        <is>
          <t>Angel-Backed</t>
        </is>
      </c>
      <c r="I343" s="17" t="inlineStr">
        <is>
          <t/>
        </is>
      </c>
      <c r="J343" s="18" t="inlineStr">
        <is>
          <t>www.vizyont8.com</t>
        </is>
      </c>
      <c r="K343" s="19" t="inlineStr">
        <is>
          <t>contact@vizyont8.com</t>
        </is>
      </c>
      <c r="L343" s="20" t="inlineStr">
        <is>
          <t>+1 (408) 380-7200</t>
        </is>
      </c>
      <c r="M343" s="21" t="inlineStr">
        <is>
          <t>Karla Callahan</t>
        </is>
      </c>
      <c r="N343" s="22" t="inlineStr">
        <is>
          <t>Founder, President &amp; Chief Executive Officer</t>
        </is>
      </c>
      <c r="O343" s="23" t="inlineStr">
        <is>
          <t>callahan@vizyont8.com</t>
        </is>
      </c>
      <c r="P343" s="24" t="inlineStr">
        <is>
          <t>+1 (408) 380-7200</t>
        </is>
      </c>
      <c r="Q343" s="25" t="n">
        <v>2006.0</v>
      </c>
      <c r="R343" s="113">
        <f>HYPERLINK("https://my.pitchbook.com?c=151187-41", "View company online")</f>
      </c>
    </row>
    <row r="344">
      <c r="A344" s="27" t="inlineStr">
        <is>
          <t>114987-34</t>
        </is>
      </c>
      <c r="B344" s="28" t="inlineStr">
        <is>
          <t>Vizru</t>
        </is>
      </c>
      <c r="C344" s="29" t="inlineStr">
        <is>
          <t>95054</t>
        </is>
      </c>
      <c r="D344" s="30" t="inlineStr">
        <is>
          <t>Developer of an application integration platform designed to help companies aggregate content across hybrid IT systems. The company's application integration platform helps users to organize, share and collaborate on files, data and functions across their companies within the storage of their choices enabling business teams to design new processes or optimize existing ones, without IT intervention.</t>
        </is>
      </c>
      <c r="E344" s="31" t="inlineStr">
        <is>
          <t>Application Software</t>
        </is>
      </c>
      <c r="F344" s="32" t="inlineStr">
        <is>
          <t>Santa Clara, CA</t>
        </is>
      </c>
      <c r="G344" s="33" t="inlineStr">
        <is>
          <t>Privately Held (backing)</t>
        </is>
      </c>
      <c r="H344" s="34" t="inlineStr">
        <is>
          <t>Accelerator/Incubator Backed</t>
        </is>
      </c>
      <c r="I344" s="35" t="inlineStr">
        <is>
          <t>Plug and Play Tech Center</t>
        </is>
      </c>
      <c r="J344" s="36" t="inlineStr">
        <is>
          <t>www.vizru.com</t>
        </is>
      </c>
      <c r="K344" s="37" t="inlineStr">
        <is>
          <t/>
        </is>
      </c>
      <c r="L344" s="38" t="inlineStr">
        <is>
          <t>+1 (415) 200-0186</t>
        </is>
      </c>
      <c r="M344" s="39" t="inlineStr">
        <is>
          <t>Ramesh Mahalingam</t>
        </is>
      </c>
      <c r="N344" s="40" t="inlineStr">
        <is>
          <t>Founder &amp; Chief Executive Officer</t>
        </is>
      </c>
      <c r="O344" s="41" t="inlineStr">
        <is>
          <t>rmahalingam@vizru.com</t>
        </is>
      </c>
      <c r="P344" s="42" t="inlineStr">
        <is>
          <t>+1 (415) 200-0186</t>
        </is>
      </c>
      <c r="Q344" s="43" t="n">
        <v>2015.0</v>
      </c>
      <c r="R344" s="114">
        <f>HYPERLINK("https://my.pitchbook.com?c=114987-34", "View company online")</f>
      </c>
    </row>
    <row r="345">
      <c r="A345" s="9" t="inlineStr">
        <is>
          <t>98080-93</t>
        </is>
      </c>
      <c r="B345" s="10" t="inlineStr">
        <is>
          <t>Vixlet</t>
        </is>
      </c>
      <c r="C345" s="11" t="inlineStr">
        <is>
          <t>90013</t>
        </is>
      </c>
      <c r="D345" s="12" t="inlineStr">
        <is>
          <t>Provider of a platform for social networking. The company offers a platform that combines technology and entertainment together to emotionally engage global audiences through digital media platforms, applications and mobile games.</t>
        </is>
      </c>
      <c r="E345" s="13" t="inlineStr">
        <is>
          <t>Social/Platform Software</t>
        </is>
      </c>
      <c r="F345" s="14" t="inlineStr">
        <is>
          <t>Los Angeles, CA</t>
        </is>
      </c>
      <c r="G345" s="15" t="inlineStr">
        <is>
          <t>Privately Held (backing)</t>
        </is>
      </c>
      <c r="H345" s="16" t="inlineStr">
        <is>
          <t>Angel-Backed</t>
        </is>
      </c>
      <c r="I345" s="17" t="inlineStr">
        <is>
          <t>Warren Loui</t>
        </is>
      </c>
      <c r="J345" s="18" t="inlineStr">
        <is>
          <t>www.vixlet.com</t>
        </is>
      </c>
      <c r="K345" s="19" t="inlineStr">
        <is>
          <t>info@vixlet.com</t>
        </is>
      </c>
      <c r="L345" s="20" t="inlineStr">
        <is>
          <t>+1 (213) 542-8940</t>
        </is>
      </c>
      <c r="M345" s="21" t="inlineStr">
        <is>
          <t>Lisa Gopalakrishnan</t>
        </is>
      </c>
      <c r="N345" s="22" t="inlineStr">
        <is>
          <t>Chief Executive Officer, Board Member, President and Co-Founder</t>
        </is>
      </c>
      <c r="O345" s="23" t="inlineStr">
        <is>
          <t>lisa@vixlet.com</t>
        </is>
      </c>
      <c r="P345" s="24" t="inlineStr">
        <is>
          <t>+1 (213) 542-8940</t>
        </is>
      </c>
      <c r="Q345" s="25" t="n">
        <v>2008.0</v>
      </c>
      <c r="R345" s="113">
        <f>HYPERLINK("https://my.pitchbook.com?c=98080-93", "View company online")</f>
      </c>
    </row>
    <row r="346">
      <c r="A346" s="27" t="inlineStr">
        <is>
          <t>102657-61</t>
        </is>
      </c>
      <c r="B346" s="28" t="inlineStr">
        <is>
          <t>Vixely</t>
        </is>
      </c>
      <c r="C346" s="29" t="inlineStr">
        <is>
          <t>94109</t>
        </is>
      </c>
      <c r="D346" s="30" t="inlineStr">
        <is>
          <t>Developer of an online media platform for interactive media. The company develops digital media that produces and curates interactive media designed exclusively for the tablet.</t>
        </is>
      </c>
      <c r="E346" s="31" t="inlineStr">
        <is>
          <t>Social/Platform Software</t>
        </is>
      </c>
      <c r="F346" s="32" t="inlineStr">
        <is>
          <t>San Francisco, CA</t>
        </is>
      </c>
      <c r="G346" s="33" t="inlineStr">
        <is>
          <t>Privately Held (backing)</t>
        </is>
      </c>
      <c r="H346" s="34" t="inlineStr">
        <is>
          <t>Angel-Backed</t>
        </is>
      </c>
      <c r="I346" s="35" t="inlineStr">
        <is>
          <t>John Glaister, Nancy Lazkani</t>
        </is>
      </c>
      <c r="J346" s="36" t="inlineStr">
        <is>
          <t>www.vixely.com</t>
        </is>
      </c>
      <c r="K346" s="37" t="inlineStr">
        <is>
          <t>help@vixely.com</t>
        </is>
      </c>
      <c r="L346" s="38" t="inlineStr">
        <is>
          <t/>
        </is>
      </c>
      <c r="M346" s="39" t="inlineStr">
        <is>
          <t>Lara Glaister</t>
        </is>
      </c>
      <c r="N346" s="40" t="inlineStr">
        <is>
          <t>Co-Founder &amp; Director of Design</t>
        </is>
      </c>
      <c r="O346" s="41" t="inlineStr">
        <is>
          <t>lara@vixely.com</t>
        </is>
      </c>
      <c r="P346" s="42" t="inlineStr">
        <is>
          <t/>
        </is>
      </c>
      <c r="Q346" s="43" t="n">
        <v>2011.0</v>
      </c>
      <c r="R346" s="114">
        <f>HYPERLINK("https://my.pitchbook.com?c=102657-61", "View company online")</f>
      </c>
    </row>
    <row r="347">
      <c r="A347" s="9" t="inlineStr">
        <is>
          <t>113715-64</t>
        </is>
      </c>
      <c r="B347" s="10" t="inlineStr">
        <is>
          <t>Viviso</t>
        </is>
      </c>
      <c r="C347" s="11" t="inlineStr">
        <is>
          <t>94085</t>
        </is>
      </c>
      <c r="D347" s="12" t="inlineStr">
        <is>
          <t>Provider of a television advertisement injection platform. The company monetizes the live streaming from any from any connected device.</t>
        </is>
      </c>
      <c r="E347" s="13" t="inlineStr">
        <is>
          <t>Media and Information Services (B2B)</t>
        </is>
      </c>
      <c r="F347" s="14" t="inlineStr">
        <is>
          <t>Sunnyvale, CA</t>
        </is>
      </c>
      <c r="G347" s="15" t="inlineStr">
        <is>
          <t>Privately Held (backing)</t>
        </is>
      </c>
      <c r="H347" s="16" t="inlineStr">
        <is>
          <t>Angel-Backed</t>
        </is>
      </c>
      <c r="I347" s="17" t="inlineStr">
        <is>
          <t>Ji-Hyun Choi</t>
        </is>
      </c>
      <c r="J347" s="18" t="inlineStr">
        <is>
          <t>www.viviso.com</t>
        </is>
      </c>
      <c r="K347" s="19" t="inlineStr">
        <is>
          <t>info@viviso.com</t>
        </is>
      </c>
      <c r="L347" s="20" t="inlineStr">
        <is>
          <t>+1 (650) 300-9354</t>
        </is>
      </c>
      <c r="M347" s="21" t="inlineStr">
        <is>
          <t>Seyit Ali Serbest</t>
        </is>
      </c>
      <c r="N347" s="22" t="inlineStr">
        <is>
          <t>Co-Founder, Board Member &amp; Chief Technology Officer</t>
        </is>
      </c>
      <c r="O347" s="23" t="inlineStr">
        <is>
          <t>ali@viviso.com</t>
        </is>
      </c>
      <c r="P347" s="24" t="inlineStr">
        <is>
          <t>+1 (650) 300-9354</t>
        </is>
      </c>
      <c r="Q347" s="25" t="n">
        <v>2015.0</v>
      </c>
      <c r="R347" s="113">
        <f>HYPERLINK("https://my.pitchbook.com?c=113715-64", "View company online")</f>
      </c>
    </row>
    <row r="348">
      <c r="A348" s="27" t="inlineStr">
        <is>
          <t>104465-44</t>
        </is>
      </c>
      <c r="B348" s="28" t="inlineStr">
        <is>
          <t>Vive la tarte</t>
        </is>
      </c>
      <c r="C348" s="29" t="inlineStr">
        <is>
          <t>94103</t>
        </is>
      </c>
      <c r="D348" s="30" t="inlineStr">
        <is>
          <t>Operator of an artisan baking house. The company offers a range of handcrafts sweet and savory tarts based on authentic recipes using seasonal and organic Californian ingredients.</t>
        </is>
      </c>
      <c r="E348" s="31" t="inlineStr">
        <is>
          <t>Food Products</t>
        </is>
      </c>
      <c r="F348" s="32" t="inlineStr">
        <is>
          <t>San Francisco, CA</t>
        </is>
      </c>
      <c r="G348" s="33" t="inlineStr">
        <is>
          <t>Privately Held (backing)</t>
        </is>
      </c>
      <c r="H348" s="34" t="inlineStr">
        <is>
          <t>Angel-Backed</t>
        </is>
      </c>
      <c r="I348" s="35" t="inlineStr">
        <is>
          <t/>
        </is>
      </c>
      <c r="J348" s="36" t="inlineStr">
        <is>
          <t>www.vivelatarte.com</t>
        </is>
      </c>
      <c r="K348" s="37" t="inlineStr">
        <is>
          <t>craving@vivelatarte.com</t>
        </is>
      </c>
      <c r="L348" s="38" t="inlineStr">
        <is>
          <t>+1 (415) 891-9743</t>
        </is>
      </c>
      <c r="M348" s="39" t="inlineStr">
        <is>
          <t>Julie Vandermeersch</t>
        </is>
      </c>
      <c r="N348" s="40" t="inlineStr">
        <is>
          <t>Co-Founder, Chief Financial Officer &amp; Chief Operating Officer</t>
        </is>
      </c>
      <c r="O348" s="41" t="inlineStr">
        <is>
          <t>julie@vivelatarte.com</t>
        </is>
      </c>
      <c r="P348" s="42" t="inlineStr">
        <is>
          <t>+1 (415) 891-9743</t>
        </is>
      </c>
      <c r="Q348" s="43" t="n">
        <v>2011.0</v>
      </c>
      <c r="R348" s="114">
        <f>HYPERLINK("https://my.pitchbook.com?c=104465-44", "View company online")</f>
      </c>
    </row>
    <row r="349">
      <c r="A349" s="9" t="inlineStr">
        <is>
          <t>103482-28</t>
        </is>
      </c>
      <c r="B349" s="10" t="inlineStr">
        <is>
          <t>VitalMedicals</t>
        </is>
      </c>
      <c r="C349" s="11" t="inlineStr">
        <is>
          <t>94107</t>
        </is>
      </c>
      <c r="D349" s="12" t="inlineStr">
        <is>
          <t>Developer of a software platform for surgical teams and hospitals. The company develops a software platform for surgical teams and hospitals for connecting surgeons in the operating room with their data and their teams.</t>
        </is>
      </c>
      <c r="E349" s="13" t="inlineStr">
        <is>
          <t>Other Healthcare</t>
        </is>
      </c>
      <c r="F349" s="14" t="inlineStr">
        <is>
          <t>San Francisco, CA</t>
        </is>
      </c>
      <c r="G349" s="15" t="inlineStr">
        <is>
          <t>Privately Held (backing)</t>
        </is>
      </c>
      <c r="H349" s="16" t="inlineStr">
        <is>
          <t>Accelerator/Incubator Backed</t>
        </is>
      </c>
      <c r="I349" s="17" t="inlineStr">
        <is>
          <t>Dennis Doane, F50, StartX</t>
        </is>
      </c>
      <c r="J349" s="18" t="inlineStr">
        <is>
          <t>www.vitalmedicals.com</t>
        </is>
      </c>
      <c r="K349" s="19" t="inlineStr">
        <is>
          <t>team@vitalmedicals.com</t>
        </is>
      </c>
      <c r="L349" s="20" t="inlineStr">
        <is>
          <t>+1 (650) 394-6486</t>
        </is>
      </c>
      <c r="M349" s="21" t="inlineStr">
        <is>
          <t>Ash Eldritch</t>
        </is>
      </c>
      <c r="N349" s="22" t="inlineStr">
        <is>
          <t>Chief Executive Officer &amp; Co-Founder</t>
        </is>
      </c>
      <c r="O349" s="23" t="inlineStr">
        <is>
          <t>ash.eldritch@superhumanlabs.com</t>
        </is>
      </c>
      <c r="P349" s="24" t="inlineStr">
        <is>
          <t>+1 (415) 655 1884</t>
        </is>
      </c>
      <c r="Q349" s="25" t="n">
        <v>2013.0</v>
      </c>
      <c r="R349" s="113">
        <f>HYPERLINK("https://my.pitchbook.com?c=103482-28", "View company online")</f>
      </c>
    </row>
    <row r="350">
      <c r="A350" s="27" t="inlineStr">
        <is>
          <t>121843-27</t>
        </is>
      </c>
      <c r="B350" s="28" t="inlineStr">
        <is>
          <t>Vitaligent</t>
        </is>
      </c>
      <c r="C350" s="29" t="inlineStr">
        <is>
          <t>94085</t>
        </is>
      </c>
      <c r="D350" s="30" t="inlineStr">
        <is>
          <t>Owner and operator of restaurants. The company offers fresh juices and smoothies and other healthy meal options through its chain of restaurants and juice stores.</t>
        </is>
      </c>
      <c r="E350" s="31" t="inlineStr">
        <is>
          <t>Restaurants and Bars</t>
        </is>
      </c>
      <c r="F350" s="32" t="inlineStr">
        <is>
          <t>Sunnyvale, CA</t>
        </is>
      </c>
      <c r="G350" s="33" t="inlineStr">
        <is>
          <t>Privately Held (backing)</t>
        </is>
      </c>
      <c r="H350" s="34" t="inlineStr">
        <is>
          <t>Angel-Backed</t>
        </is>
      </c>
      <c r="I350" s="35" t="inlineStr">
        <is>
          <t>David Peacock, Dean VandeKamp, Holton Capital Group, Mike Carr, Paul Edgerley, Steve Carr, Terry Matlack</t>
        </is>
      </c>
      <c r="J350" s="36" t="inlineStr">
        <is>
          <t>www.vitaligent.com</t>
        </is>
      </c>
      <c r="K350" s="37" t="inlineStr">
        <is>
          <t/>
        </is>
      </c>
      <c r="L350" s="38" t="inlineStr">
        <is>
          <t>+1 (314) 862-3200</t>
        </is>
      </c>
      <c r="M350" s="39" t="inlineStr">
        <is>
          <t>David Peacock</t>
        </is>
      </c>
      <c r="N350" s="40" t="inlineStr">
        <is>
          <t>Co-Founder &amp; Chairman</t>
        </is>
      </c>
      <c r="O350" s="41" t="inlineStr">
        <is>
          <t/>
        </is>
      </c>
      <c r="P350" s="42" t="inlineStr">
        <is>
          <t>+1 (314) 862-3200</t>
        </is>
      </c>
      <c r="Q350" s="43" t="inlineStr">
        <is>
          <t/>
        </is>
      </c>
      <c r="R350" s="114">
        <f>HYPERLINK("https://my.pitchbook.com?c=121843-27", "View company online")</f>
      </c>
    </row>
    <row r="351">
      <c r="A351" s="9" t="inlineStr">
        <is>
          <t>62071-93</t>
        </is>
      </c>
      <c r="B351" s="10" t="inlineStr">
        <is>
          <t>Vitalacy</t>
        </is>
      </c>
      <c r="C351" s="11" t="inlineStr">
        <is>
          <t>90025</t>
        </is>
      </c>
      <c r="D351" s="12" t="inlineStr">
        <is>
          <t>Developer of wristband-based technology focused on strengthening hand hygiene programs. The company develops a sensor equipped wrist watch that alerts and reminds hospital staff to wash hands to reduce hospital acquired infections.</t>
        </is>
      </c>
      <c r="E351" s="13" t="inlineStr">
        <is>
          <t>Other Healthcare</t>
        </is>
      </c>
      <c r="F351" s="14" t="inlineStr">
        <is>
          <t>Los Angeles, CA</t>
        </is>
      </c>
      <c r="G351" s="15" t="inlineStr">
        <is>
          <t>Privately Held (backing)</t>
        </is>
      </c>
      <c r="H351" s="16" t="inlineStr">
        <is>
          <t>Angel-Backed</t>
        </is>
      </c>
      <c r="I351" s="17" t="inlineStr">
        <is>
          <t>Individual Investor, Persistent Systems</t>
        </is>
      </c>
      <c r="J351" s="18" t="inlineStr">
        <is>
          <t>www.vitalacy.com</t>
        </is>
      </c>
      <c r="K351" s="19" t="inlineStr">
        <is>
          <t>info@vitalacy.com</t>
        </is>
      </c>
      <c r="L351" s="20" t="inlineStr">
        <is>
          <t>+1 (310) 745-5050</t>
        </is>
      </c>
      <c r="M351" s="21" t="inlineStr">
        <is>
          <t>Bahram Nour-Omid</t>
        </is>
      </c>
      <c r="N351" s="22" t="inlineStr">
        <is>
          <t>Chairman &amp; Chief Executive Officer</t>
        </is>
      </c>
      <c r="O351" s="23" t="inlineStr">
        <is>
          <t>bahram.nouromid@scopusventures.com</t>
        </is>
      </c>
      <c r="P351" s="24" t="inlineStr">
        <is>
          <t/>
        </is>
      </c>
      <c r="Q351" s="25" t="n">
        <v>2008.0</v>
      </c>
      <c r="R351" s="113">
        <f>HYPERLINK("https://my.pitchbook.com?c=62071-93", "View company online")</f>
      </c>
    </row>
    <row r="352">
      <c r="A352" s="27" t="inlineStr">
        <is>
          <t>103447-99</t>
        </is>
      </c>
      <c r="B352" s="28" t="inlineStr">
        <is>
          <t>Vitagene</t>
        </is>
      </c>
      <c r="C352" s="29" t="inlineStr">
        <is>
          <t>94107</t>
        </is>
      </c>
      <c r="D352" s="30" t="inlineStr">
        <is>
          <t>Developer of a platform for physicians to offer data-driven care. The company's platform is used by doctors to create tailored supplement regimen for their patients.</t>
        </is>
      </c>
      <c r="E352" s="31" t="inlineStr">
        <is>
          <t>Other Healthcare Technology Systems</t>
        </is>
      </c>
      <c r="F352" s="32" t="inlineStr">
        <is>
          <t>San Francisco, CA</t>
        </is>
      </c>
      <c r="G352" s="33" t="inlineStr">
        <is>
          <t>Privately Held (backing)</t>
        </is>
      </c>
      <c r="H352" s="34" t="inlineStr">
        <is>
          <t>Accelerator/Incubator Backed</t>
        </is>
      </c>
      <c r="I352" s="35" t="inlineStr">
        <is>
          <t>Illumina Accelerator, Kenneth Goldman, Neil Hunt, Spectrum 28, Viking Global Investors, Yuri Milner</t>
        </is>
      </c>
      <c r="J352" s="36" t="inlineStr">
        <is>
          <t>www.vitagene.com</t>
        </is>
      </c>
      <c r="K352" s="37" t="inlineStr">
        <is>
          <t>info@myvitagene.com</t>
        </is>
      </c>
      <c r="L352" s="38" t="inlineStr">
        <is>
          <t/>
        </is>
      </c>
      <c r="M352" s="39" t="inlineStr">
        <is>
          <t>Mehdi Maghsoodnia</t>
        </is>
      </c>
      <c r="N352" s="40" t="inlineStr">
        <is>
          <t>Co-Founder, Chief Executive Officer &amp; Chairman</t>
        </is>
      </c>
      <c r="O352" s="41" t="inlineStr">
        <is>
          <t>mehdi@myvitagene.com</t>
        </is>
      </c>
      <c r="P352" s="42" t="inlineStr">
        <is>
          <t>+1 (650) 207-9189</t>
        </is>
      </c>
      <c r="Q352" s="43" t="n">
        <v>2014.0</v>
      </c>
      <c r="R352" s="114">
        <f>HYPERLINK("https://my.pitchbook.com?c=103447-99", "View company online")</f>
      </c>
    </row>
    <row r="353">
      <c r="A353" s="9" t="inlineStr">
        <is>
          <t>98988-76</t>
        </is>
      </c>
      <c r="B353" s="10" t="inlineStr">
        <is>
          <t>VisualNACert</t>
        </is>
      </c>
      <c r="C353" s="11" t="inlineStr">
        <is>
          <t>46138</t>
        </is>
      </c>
      <c r="D353" s="12" t="inlineStr">
        <is>
          <t>Developer of a farm management software designed to simplify farm activity management. The company's farm management software permits automatic calculation of occupied surface and intersection for farm insurance, meets legal requirements for main standards, traces and manages pollinators, traps and diffusers as well as offers agroclimatic data, enabling farmers to manage costs and profitability.</t>
        </is>
      </c>
      <c r="E353" s="13" t="inlineStr">
        <is>
          <t>Business/Productivity Software</t>
        </is>
      </c>
      <c r="F353" s="14" t="inlineStr">
        <is>
          <t>Valencia, Spain</t>
        </is>
      </c>
      <c r="G353" s="15" t="inlineStr">
        <is>
          <t>Privately Held (backing)</t>
        </is>
      </c>
      <c r="H353" s="16" t="inlineStr">
        <is>
          <t>Accelerator/Incubator Backed</t>
        </is>
      </c>
      <c r="I353" s="17" t="inlineStr">
        <is>
          <t>Start-Up Chile, Wayra</t>
        </is>
      </c>
      <c r="J353" s="18" t="inlineStr">
        <is>
          <t>www.visualnacert.com</t>
        </is>
      </c>
      <c r="K353" s="19" t="inlineStr">
        <is>
          <t>contact@visualnacert.com</t>
        </is>
      </c>
      <c r="L353" s="20" t="inlineStr">
        <is>
          <t>+34 96 141 0675</t>
        </is>
      </c>
      <c r="M353" s="21" t="inlineStr">
        <is>
          <t>Lucía Iborra</t>
        </is>
      </c>
      <c r="N353" s="22" t="inlineStr">
        <is>
          <t>Co-Founder &amp; Chief Executive Officer</t>
        </is>
      </c>
      <c r="O353" s="23" t="inlineStr">
        <is>
          <t>liborra@visualnacert.com</t>
        </is>
      </c>
      <c r="P353" s="24" t="inlineStr">
        <is>
          <t>+34 96 141 0675</t>
        </is>
      </c>
      <c r="Q353" s="25" t="inlineStr">
        <is>
          <t/>
        </is>
      </c>
      <c r="R353" s="113">
        <f>HYPERLINK("https://my.pitchbook.com?c=98988-76", "View company online")</f>
      </c>
    </row>
    <row r="354">
      <c r="A354" s="27" t="inlineStr">
        <is>
          <t>179852-77</t>
        </is>
      </c>
      <c r="B354" s="28" t="inlineStr">
        <is>
          <t>Visory</t>
        </is>
      </c>
      <c r="C354" s="29" t="inlineStr">
        <is>
          <t>90404</t>
        </is>
      </c>
      <c r="D354" s="30" t="inlineStr">
        <is>
          <t>Operator of a strategic consultancy intended to connect brands and agencies with audiences. The company's platform offers strategic consulting services using virtual reality, augmented reality, interactive video and artificial intelligence, enabling brands and agencies to establish connections with customers and create maximum impact of the business projects.</t>
        </is>
      </c>
      <c r="E354" s="31" t="inlineStr">
        <is>
          <t>Consulting Services (B2B)</t>
        </is>
      </c>
      <c r="F354" s="32" t="inlineStr">
        <is>
          <t>Santa Monica, CA</t>
        </is>
      </c>
      <c r="G354" s="33" t="inlineStr">
        <is>
          <t>Privately Held (backing)</t>
        </is>
      </c>
      <c r="H354" s="34" t="inlineStr">
        <is>
          <t>Angel-Backed</t>
        </is>
      </c>
      <c r="I354" s="35" t="inlineStr">
        <is>
          <t/>
        </is>
      </c>
      <c r="J354" s="36" t="inlineStr">
        <is>
          <t>www.thevisory.com</t>
        </is>
      </c>
      <c r="K354" s="37" t="inlineStr">
        <is>
          <t>connect@thevisory.com</t>
        </is>
      </c>
      <c r="L354" s="38" t="inlineStr">
        <is>
          <t>+1 (917) 774-1310</t>
        </is>
      </c>
      <c r="M354" s="39" t="inlineStr">
        <is>
          <t>Theo Skye</t>
        </is>
      </c>
      <c r="N354" s="40" t="inlineStr">
        <is>
          <t>Partner &amp; Chief Innovation Officer</t>
        </is>
      </c>
      <c r="O354" s="41" t="inlineStr">
        <is>
          <t>theo@thevisory.com</t>
        </is>
      </c>
      <c r="P354" s="42" t="inlineStr">
        <is>
          <t>+1 (917) 774-1310</t>
        </is>
      </c>
      <c r="Q354" s="43" t="n">
        <v>2017.0</v>
      </c>
      <c r="R354" s="114">
        <f>HYPERLINK("https://my.pitchbook.com?c=179852-77", "View company online")</f>
      </c>
    </row>
    <row r="355">
      <c r="A355" s="9" t="inlineStr">
        <is>
          <t>173892-61</t>
        </is>
      </c>
      <c r="B355" s="10" t="inlineStr">
        <is>
          <t>VisionX</t>
        </is>
      </c>
      <c r="C355" s="11" t="inlineStr">
        <is>
          <t>94103</t>
        </is>
      </c>
      <c r="D355" s="12" t="inlineStr">
        <is>
          <t>Developer of insurance distribution platform designed to distribute insurance based products via multiple channels. The company's insurance distribution platform is designed to connect insurance companies with multiple channels with a technology that allows price quoting and purchasing insurance products in real-time, enabling insurance companies, aggregators and insurance agents to distribute insurance products in a more efficient way.</t>
        </is>
      </c>
      <c r="E355" s="13" t="inlineStr">
        <is>
          <t>Distributors/Wholesale</t>
        </is>
      </c>
      <c r="F355" s="14" t="inlineStr">
        <is>
          <t>San Francisco, CA</t>
        </is>
      </c>
      <c r="G355" s="15" t="inlineStr">
        <is>
          <t>Privately Held (backing)</t>
        </is>
      </c>
      <c r="H355" s="16" t="inlineStr">
        <is>
          <t>Accelerator/Incubator Backed</t>
        </is>
      </c>
      <c r="I355" s="17" t="inlineStr">
        <is>
          <t>500 Startups</t>
        </is>
      </c>
      <c r="J355" s="18" t="inlineStr">
        <is>
          <t>www.visionx.co</t>
        </is>
      </c>
      <c r="K355" s="19" t="inlineStr">
        <is>
          <t>info@visionx.pro</t>
        </is>
      </c>
      <c r="L355" s="20" t="inlineStr">
        <is>
          <t/>
        </is>
      </c>
      <c r="M355" s="21" t="inlineStr">
        <is>
          <t>João Cardoso</t>
        </is>
      </c>
      <c r="N355" s="22" t="inlineStr">
        <is>
          <t>Founder &amp; Chief Executive Officer</t>
        </is>
      </c>
      <c r="O355" s="23" t="inlineStr">
        <is>
          <t>joao@visionx.co</t>
        </is>
      </c>
      <c r="P355" s="24" t="inlineStr">
        <is>
          <t/>
        </is>
      </c>
      <c r="Q355" s="25" t="n">
        <v>2016.0</v>
      </c>
      <c r="R355" s="113">
        <f>HYPERLINK("https://my.pitchbook.com?c=173892-61", "View company online")</f>
      </c>
    </row>
    <row r="356">
      <c r="A356" s="27" t="inlineStr">
        <is>
          <t>174390-67</t>
        </is>
      </c>
      <c r="B356" s="28" t="inlineStr">
        <is>
          <t>Visionary Realms</t>
        </is>
      </c>
      <c r="C356" s="29" t="inlineStr">
        <is>
          <t>92009</t>
        </is>
      </c>
      <c r="D356" s="30" t="inlineStr">
        <is>
          <t>Operator of a gaming studio created to design and publish multiplayer online games. The company designs and develops multiplayer online video games that are capable of supporting large numbers of players, enabling users to play interactive 3D adventurous games with multiple virtual players.</t>
        </is>
      </c>
      <c r="E356" s="31" t="inlineStr">
        <is>
          <t>Entertainment Software</t>
        </is>
      </c>
      <c r="F356" s="32" t="inlineStr">
        <is>
          <t>Carlsbad, CA</t>
        </is>
      </c>
      <c r="G356" s="33" t="inlineStr">
        <is>
          <t>Privately Held (backing)</t>
        </is>
      </c>
      <c r="H356" s="34" t="inlineStr">
        <is>
          <t>Angel-Backed</t>
        </is>
      </c>
      <c r="I356" s="35" t="inlineStr">
        <is>
          <t/>
        </is>
      </c>
      <c r="J356" s="36" t="inlineStr">
        <is>
          <t>www.visionaryrealms.com</t>
        </is>
      </c>
      <c r="K356" s="37" t="inlineStr">
        <is>
          <t>contact@visionaryrealms.com</t>
        </is>
      </c>
      <c r="L356" s="38" t="inlineStr">
        <is>
          <t>+1 (916) 445-1254</t>
        </is>
      </c>
      <c r="M356" s="39" t="inlineStr">
        <is>
          <t>Tim Sullivan</t>
        </is>
      </c>
      <c r="N356" s="40" t="inlineStr">
        <is>
          <t>Chief Financial Officer</t>
        </is>
      </c>
      <c r="O356" s="41" t="inlineStr">
        <is>
          <t>tim@visionaryrealms.com</t>
        </is>
      </c>
      <c r="P356" s="42" t="inlineStr">
        <is>
          <t>+1 (916) 445-1254</t>
        </is>
      </c>
      <c r="Q356" s="43" t="n">
        <v>2013.0</v>
      </c>
      <c r="R356" s="114">
        <f>HYPERLINK("https://my.pitchbook.com?c=174390-67", "View company online")</f>
      </c>
    </row>
    <row r="357">
      <c r="A357" s="9" t="inlineStr">
        <is>
          <t>102623-05</t>
        </is>
      </c>
      <c r="B357" s="10" t="inlineStr">
        <is>
          <t>Visionary Pharmaceuticals</t>
        </is>
      </c>
      <c r="C357" s="11" t="inlineStr">
        <is>
          <t>92121</t>
        </is>
      </c>
      <c r="D357" s="12" t="inlineStr">
        <is>
          <t>Developer of drugs for cancer treatment. The company operates a biotechnology company which develops drugs for medical needs for cancer and inflammation treatement.</t>
        </is>
      </c>
      <c r="E357" s="13" t="inlineStr">
        <is>
          <t>Biotechnology</t>
        </is>
      </c>
      <c r="F357" s="14" t="inlineStr">
        <is>
          <t>San Diego, CA</t>
        </is>
      </c>
      <c r="G357" s="15" t="inlineStr">
        <is>
          <t>Privately Held (backing)</t>
        </is>
      </c>
      <c r="H357" s="16" t="inlineStr">
        <is>
          <t>Accelerator/Incubator Backed</t>
        </is>
      </c>
      <c r="I357" s="17" t="inlineStr">
        <is>
          <t>CONNECT (Accelerator), The National Institute of Diabetes and Digestive and Kidney Diseases</t>
        </is>
      </c>
      <c r="J357" s="18" t="inlineStr">
        <is>
          <t>www.visionarypharmaceutical.com</t>
        </is>
      </c>
      <c r="K357" s="19" t="inlineStr">
        <is>
          <t/>
        </is>
      </c>
      <c r="L357" s="20" t="inlineStr">
        <is>
          <t>+1 (858) 335-8120</t>
        </is>
      </c>
      <c r="M357" s="21" t="inlineStr">
        <is>
          <t>Louis Tommasino</t>
        </is>
      </c>
      <c r="N357" s="22" t="inlineStr">
        <is>
          <t>Chief Financial Officer</t>
        </is>
      </c>
      <c r="O357" s="23" t="inlineStr">
        <is>
          <t>louis@visionarypharmaceuticals.com</t>
        </is>
      </c>
      <c r="P357" s="24" t="inlineStr">
        <is>
          <t>+1 (858) 335-8120</t>
        </is>
      </c>
      <c r="Q357" s="25" t="n">
        <v>2010.0</v>
      </c>
      <c r="R357" s="113">
        <f>HYPERLINK("https://my.pitchbook.com?c=102623-05", "View company online")</f>
      </c>
    </row>
    <row r="358">
      <c r="A358" s="27" t="inlineStr">
        <is>
          <t>56413-18</t>
        </is>
      </c>
      <c r="B358" s="28" t="inlineStr">
        <is>
          <t>Visible Brands</t>
        </is>
      </c>
      <c r="C358" s="29" t="inlineStr">
        <is>
          <t>98033</t>
        </is>
      </c>
      <c r="D358" s="30" t="inlineStr">
        <is>
          <t>Provider of a digital media communications platform to connect advertisers, retailers and shoppers. The company offers a cloud-based promotions network enabling shoppers to digitally grab coupons alongside items on store shelves.</t>
        </is>
      </c>
      <c r="E358" s="31" t="inlineStr">
        <is>
          <t>Media and Information Services (B2B)</t>
        </is>
      </c>
      <c r="F358" s="32" t="inlineStr">
        <is>
          <t>Kirkland, WA</t>
        </is>
      </c>
      <c r="G358" s="33" t="inlineStr">
        <is>
          <t>Privately Held (backing)</t>
        </is>
      </c>
      <c r="H358" s="34" t="inlineStr">
        <is>
          <t>Angel-Backed</t>
        </is>
      </c>
      <c r="I358" s="35" t="inlineStr">
        <is>
          <t/>
        </is>
      </c>
      <c r="J358" s="36" t="inlineStr">
        <is>
          <t>www.visbrands.com</t>
        </is>
      </c>
      <c r="K358" s="37" t="inlineStr">
        <is>
          <t/>
        </is>
      </c>
      <c r="L358" s="38" t="inlineStr">
        <is>
          <t>+1 (425) 250-6944</t>
        </is>
      </c>
      <c r="M358" s="39" t="inlineStr">
        <is>
          <t>George Lula</t>
        </is>
      </c>
      <c r="N358" s="40" t="inlineStr">
        <is>
          <t>Co-Founder, Chief Financial Officer and Strategic Advisor, Corporate Development</t>
        </is>
      </c>
      <c r="O358" s="41" t="inlineStr">
        <is>
          <t>glula@visbrands.com</t>
        </is>
      </c>
      <c r="P358" s="42" t="inlineStr">
        <is>
          <t>+1 (425) 250-6944</t>
        </is>
      </c>
      <c r="Q358" s="43" t="n">
        <v>2008.0</v>
      </c>
      <c r="R358" s="114">
        <f>HYPERLINK("https://my.pitchbook.com?c=56413-18", "View company online")</f>
      </c>
    </row>
    <row r="359">
      <c r="A359" s="9" t="inlineStr">
        <is>
          <t>103495-33</t>
        </is>
      </c>
      <c r="B359" s="10" t="inlineStr">
        <is>
          <t>Visada</t>
        </is>
      </c>
      <c r="C359" s="11" t="inlineStr">
        <is>
          <t>94965</t>
        </is>
      </c>
      <c r="D359" s="12" t="inlineStr">
        <is>
          <t>Provider of a beauty advisory platform. The company provides a web-based platform and mobile application that enables the users to discover and purchase beauty products and services by clicking and uploading their selfie.</t>
        </is>
      </c>
      <c r="E359" s="13" t="inlineStr">
        <is>
          <t>Social/Platform Software</t>
        </is>
      </c>
      <c r="F359" s="14" t="inlineStr">
        <is>
          <t>Sausalito, CA</t>
        </is>
      </c>
      <c r="G359" s="15" t="inlineStr">
        <is>
          <t>Privately Held (backing)</t>
        </is>
      </c>
      <c r="H359" s="16" t="inlineStr">
        <is>
          <t>Angel-Backed</t>
        </is>
      </c>
      <c r="I359" s="17" t="inlineStr">
        <is>
          <t/>
        </is>
      </c>
      <c r="J359" s="18" t="inlineStr">
        <is>
          <t>www.visada.me</t>
        </is>
      </c>
      <c r="K359" s="19" t="inlineStr">
        <is>
          <t>info@visada.me</t>
        </is>
      </c>
      <c r="L359" s="20" t="inlineStr">
        <is>
          <t/>
        </is>
      </c>
      <c r="M359" s="21" t="inlineStr">
        <is>
          <t>John-Bernard Duler</t>
        </is>
      </c>
      <c r="N359" s="22" t="inlineStr">
        <is>
          <t>Co-Founder &amp; Chief Executive Officer</t>
        </is>
      </c>
      <c r="O359" s="23" t="inlineStr">
        <is>
          <t>jbduler@visada.me</t>
        </is>
      </c>
      <c r="P359" s="24" t="inlineStr">
        <is>
          <t/>
        </is>
      </c>
      <c r="Q359" s="25" t="n">
        <v>2013.0</v>
      </c>
      <c r="R359" s="113">
        <f>HYPERLINK("https://my.pitchbook.com?c=103495-33", "View company online")</f>
      </c>
    </row>
    <row r="360">
      <c r="A360" s="27" t="inlineStr">
        <is>
          <t>118845-55</t>
        </is>
      </c>
      <c r="B360" s="28" t="inlineStr">
        <is>
          <t>VirtuMed</t>
        </is>
      </c>
      <c r="C360" s="29" t="inlineStr">
        <is>
          <t>92127</t>
        </is>
      </c>
      <c r="D360" s="30" t="inlineStr">
        <is>
          <t>Provider of cloud-based remote connectivity platform. The company offers a remote connectivity platform for the healthcare industry which helps them reduce costs and offers better services to their patients.</t>
        </is>
      </c>
      <c r="E360" s="31" t="inlineStr">
        <is>
          <t>Social/Platform Software</t>
        </is>
      </c>
      <c r="F360" s="32" t="inlineStr">
        <is>
          <t>San Diego, CA</t>
        </is>
      </c>
      <c r="G360" s="33" t="inlineStr">
        <is>
          <t>Privately Held (backing)</t>
        </is>
      </c>
      <c r="H360" s="34" t="inlineStr">
        <is>
          <t>Angel-Backed</t>
        </is>
      </c>
      <c r="I360" s="35" t="inlineStr">
        <is>
          <t/>
        </is>
      </c>
      <c r="J360" s="36" t="inlineStr">
        <is>
          <t>www.virtumedhealth.com</t>
        </is>
      </c>
      <c r="K360" s="37" t="inlineStr">
        <is>
          <t>info@virtumedhealth.com</t>
        </is>
      </c>
      <c r="L360" s="38" t="inlineStr">
        <is>
          <t>+1 (858) 829-8868</t>
        </is>
      </c>
      <c r="M360" s="39" t="inlineStr">
        <is>
          <t>David Judelson</t>
        </is>
      </c>
      <c r="N360" s="40" t="inlineStr">
        <is>
          <t>Co-Founder &amp; Chief Financial Officer</t>
        </is>
      </c>
      <c r="O360" s="41" t="inlineStr">
        <is>
          <t>djudelson@virtumedhealth.com</t>
        </is>
      </c>
      <c r="P360" s="42" t="inlineStr">
        <is>
          <t>+1 (858) 829-8868</t>
        </is>
      </c>
      <c r="Q360" s="43" t="n">
        <v>2014.0</v>
      </c>
      <c r="R360" s="114">
        <f>HYPERLINK("https://my.pitchbook.com?c=118845-55", "View company online")</f>
      </c>
    </row>
    <row r="361">
      <c r="A361" s="9" t="inlineStr">
        <is>
          <t>99356-86</t>
        </is>
      </c>
      <c r="B361" s="10" t="inlineStr">
        <is>
          <t>Virgo Travel</t>
        </is>
      </c>
      <c r="C361" s="11" t="inlineStr">
        <is>
          <t>94402</t>
        </is>
      </c>
      <c r="D361" s="12" t="inlineStr">
        <is>
          <t>Provider of an online hotel booking platform. The company offers a hotel reservation and booking platform using which travelers can book hotels and plan their trips in advance.</t>
        </is>
      </c>
      <c r="E361" s="13" t="inlineStr">
        <is>
          <t>Social/Platform Software</t>
        </is>
      </c>
      <c r="F361" s="14" t="inlineStr">
        <is>
          <t>San Mateo, CA</t>
        </is>
      </c>
      <c r="G361" s="15" t="inlineStr">
        <is>
          <t>Privately Held (backing)</t>
        </is>
      </c>
      <c r="H361" s="16" t="inlineStr">
        <is>
          <t>Angel-Backed</t>
        </is>
      </c>
      <c r="I361" s="17" t="inlineStr">
        <is>
          <t>Arnaud Barey, Derrick Hsiang, Eric Chen</t>
        </is>
      </c>
      <c r="J361" s="18" t="inlineStr">
        <is>
          <t>www.virgo.limo</t>
        </is>
      </c>
      <c r="K361" s="19" t="inlineStr">
        <is>
          <t>help@virgo.travel</t>
        </is>
      </c>
      <c r="L361" s="20" t="inlineStr">
        <is>
          <t>+1 (800) 506-0164</t>
        </is>
      </c>
      <c r="M361" s="21" t="inlineStr">
        <is>
          <t>Yann Ngongang</t>
        </is>
      </c>
      <c r="N361" s="22" t="inlineStr">
        <is>
          <t>Co-Founder &amp; Chief Executive Officer</t>
        </is>
      </c>
      <c r="O361" s="23" t="inlineStr">
        <is>
          <t>yann@virgo.limo</t>
        </is>
      </c>
      <c r="P361" s="24" t="inlineStr">
        <is>
          <t>+1 (800) 506-0164</t>
        </is>
      </c>
      <c r="Q361" s="25" t="inlineStr">
        <is>
          <t/>
        </is>
      </c>
      <c r="R361" s="113">
        <f>HYPERLINK("https://my.pitchbook.com?c=99356-86", "View company online")</f>
      </c>
    </row>
    <row r="362">
      <c r="A362" s="27" t="inlineStr">
        <is>
          <t>154056-52</t>
        </is>
      </c>
      <c r="B362" s="28" t="inlineStr">
        <is>
          <t>Virginia Black</t>
        </is>
      </c>
      <c r="C362" s="29" t="inlineStr">
        <is>
          <t>90069</t>
        </is>
      </c>
      <c r="D362" s="30" t="inlineStr">
        <is>
          <t>The company is currently operating in Stealth mode.</t>
        </is>
      </c>
      <c r="E362" s="31" t="inlineStr">
        <is>
          <t>Other Business Products and Services</t>
        </is>
      </c>
      <c r="F362" s="32" t="inlineStr">
        <is>
          <t>Los Angeles, CA</t>
        </is>
      </c>
      <c r="G362" s="33" t="inlineStr">
        <is>
          <t>Privately Held (backing)</t>
        </is>
      </c>
      <c r="H362" s="34" t="inlineStr">
        <is>
          <t>Angel-Backed</t>
        </is>
      </c>
      <c r="I362" s="35" t="inlineStr">
        <is>
          <t/>
        </is>
      </c>
      <c r="J362" s="36" t="inlineStr">
        <is>
          <t/>
        </is>
      </c>
      <c r="K362" s="37" t="inlineStr">
        <is>
          <t/>
        </is>
      </c>
      <c r="L362" s="38" t="inlineStr">
        <is>
          <t>+1 (310) 314-0500</t>
        </is>
      </c>
      <c r="M362" s="39" t="inlineStr">
        <is>
          <t>Brent Hocking</t>
        </is>
      </c>
      <c r="N362" s="40" t="inlineStr">
        <is>
          <t>Chief Executive Officer &amp; Board Member</t>
        </is>
      </c>
      <c r="O362" s="41" t="inlineStr">
        <is>
          <t/>
        </is>
      </c>
      <c r="P362" s="42" t="inlineStr">
        <is>
          <t>+1 (310) 314-0500</t>
        </is>
      </c>
      <c r="Q362" s="43" t="n">
        <v>2015.0</v>
      </c>
      <c r="R362" s="114">
        <f>HYPERLINK("https://my.pitchbook.com?c=154056-52", "View company online")</f>
      </c>
    </row>
    <row r="363">
      <c r="A363" s="9" t="inlineStr">
        <is>
          <t>104349-34</t>
        </is>
      </c>
      <c r="B363" s="10" t="inlineStr">
        <is>
          <t>ViRect</t>
        </is>
      </c>
      <c r="C363" s="11" t="inlineStr">
        <is>
          <t>94107</t>
        </is>
      </c>
      <c r="D363" s="12" t="inlineStr">
        <is>
          <t>Developer and provider of an online video search platform. The company enables video creators to manage video production by offering them the access to video professionals with verified portfolio.</t>
        </is>
      </c>
      <c r="E363" s="13" t="inlineStr">
        <is>
          <t>Social/Platform Software</t>
        </is>
      </c>
      <c r="F363" s="14" t="inlineStr">
        <is>
          <t>San Francisco, CA</t>
        </is>
      </c>
      <c r="G363" s="15" t="inlineStr">
        <is>
          <t>Privately Held (backing)</t>
        </is>
      </c>
      <c r="H363" s="16" t="inlineStr">
        <is>
          <t>Accelerator/Incubator Backed</t>
        </is>
      </c>
      <c r="I363" s="17" t="inlineStr">
        <is>
          <t>500 Startups</t>
        </is>
      </c>
      <c r="J363" s="18" t="inlineStr">
        <is>
          <t>www.virect.com</t>
        </is>
      </c>
      <c r="K363" s="19" t="inlineStr">
        <is>
          <t/>
        </is>
      </c>
      <c r="L363" s="20" t="inlineStr">
        <is>
          <t>+1 (800) 500-1713</t>
        </is>
      </c>
      <c r="M363" s="21" t="inlineStr">
        <is>
          <t>Naejin Hyeon</t>
        </is>
      </c>
      <c r="N363" s="22" t="inlineStr">
        <is>
          <t>Co-Founder, Board Member &amp; Creative Director</t>
        </is>
      </c>
      <c r="O363" s="23" t="inlineStr">
        <is>
          <t/>
        </is>
      </c>
      <c r="P363" s="24" t="inlineStr">
        <is>
          <t>+1 (800) 500-1713</t>
        </is>
      </c>
      <c r="Q363" s="25" t="n">
        <v>2011.0</v>
      </c>
      <c r="R363" s="113">
        <f>HYPERLINK("https://my.pitchbook.com?c=104349-34", "View company online")</f>
      </c>
    </row>
    <row r="364">
      <c r="A364" s="27" t="inlineStr">
        <is>
          <t>169851-61</t>
        </is>
      </c>
      <c r="B364" s="28" t="inlineStr">
        <is>
          <t>Viralocity Software</t>
        </is>
      </c>
      <c r="C364" s="29" t="inlineStr">
        <is>
          <t>92692</t>
        </is>
      </c>
      <c r="D364" s="30" t="inlineStr">
        <is>
          <t>Developer of a social calendar and scheduling platform designed to help employees and clients in creating, scheduling and managing events. The company's social calendar and scheduling platform Schalendar uses a simple and single intuitive interface that offers reminders, alerts and messages and transforms complicated group schedule management process avoiding group mail hassles, enabling calendar users to conveniently create, share and update events with other users.</t>
        </is>
      </c>
      <c r="E364" s="31" t="inlineStr">
        <is>
          <t>Application Software</t>
        </is>
      </c>
      <c r="F364" s="32" t="inlineStr">
        <is>
          <t>Mission Viejo, CA</t>
        </is>
      </c>
      <c r="G364" s="33" t="inlineStr">
        <is>
          <t>Privately Held (backing)</t>
        </is>
      </c>
      <c r="H364" s="34" t="inlineStr">
        <is>
          <t>Angel-Backed</t>
        </is>
      </c>
      <c r="I364" s="35" t="inlineStr">
        <is>
          <t/>
        </is>
      </c>
      <c r="J364" s="36" t="inlineStr">
        <is>
          <t>www.heyoo.life</t>
        </is>
      </c>
      <c r="K364" s="37" t="inlineStr">
        <is>
          <t/>
        </is>
      </c>
      <c r="L364" s="38" t="inlineStr">
        <is>
          <t>+1 (949) 547-9357</t>
        </is>
      </c>
      <c r="M364" s="39" t="inlineStr">
        <is>
          <t>Linda Frank</t>
        </is>
      </c>
      <c r="N364" s="40" t="inlineStr">
        <is>
          <t>Founder, President &amp; Chief Executive Officer</t>
        </is>
      </c>
      <c r="O364" s="41" t="inlineStr">
        <is>
          <t>lfrank@heyoo.life</t>
        </is>
      </c>
      <c r="P364" s="42" t="inlineStr">
        <is>
          <t>+1 (800) 588-5110</t>
        </is>
      </c>
      <c r="Q364" s="43" t="n">
        <v>2015.0</v>
      </c>
      <c r="R364" s="114">
        <f>HYPERLINK("https://my.pitchbook.com?c=169851-61", "View company online")</f>
      </c>
    </row>
    <row r="365">
      <c r="A365" s="9" t="inlineStr">
        <is>
          <t>123267-79</t>
        </is>
      </c>
      <c r="B365" s="10" t="inlineStr">
        <is>
          <t>Viral Forensics</t>
        </is>
      </c>
      <c r="C365" s="11" t="inlineStr">
        <is>
          <t>94710</t>
        </is>
      </c>
      <c r="D365" s="12" t="inlineStr">
        <is>
          <t>Operator of a forensic examination center. The company provides forensic examination services of blood plasma samples to confirm the absence or presence of viral pathogens in blood plasma.</t>
        </is>
      </c>
      <c r="E365" s="13" t="inlineStr">
        <is>
          <t>Biotechnology</t>
        </is>
      </c>
      <c r="F365" s="14" t="inlineStr">
        <is>
          <t>Berkeley, CA</t>
        </is>
      </c>
      <c r="G365" s="15" t="inlineStr">
        <is>
          <t>Privately Held (backing)</t>
        </is>
      </c>
      <c r="H365" s="16" t="inlineStr">
        <is>
          <t>Accelerator/Incubator Backed</t>
        </is>
      </c>
      <c r="I365" s="17" t="inlineStr">
        <is>
          <t>California Institute for Quantitative Biosciences</t>
        </is>
      </c>
      <c r="J365" s="18" t="inlineStr">
        <is>
          <t>www.viralforensics.com</t>
        </is>
      </c>
      <c r="K365" s="19" t="inlineStr">
        <is>
          <t/>
        </is>
      </c>
      <c r="L365" s="20" t="inlineStr">
        <is>
          <t/>
        </is>
      </c>
      <c r="M365" s="21" t="inlineStr">
        <is>
          <t>Clark Baker</t>
        </is>
      </c>
      <c r="N365" s="22" t="inlineStr">
        <is>
          <t>Chief Executive Officer</t>
        </is>
      </c>
      <c r="O365" s="23" t="inlineStr">
        <is>
          <t/>
        </is>
      </c>
      <c r="P365" s="24" t="inlineStr">
        <is>
          <t>+1 (323) 650-6667</t>
        </is>
      </c>
      <c r="Q365" s="25" t="inlineStr">
        <is>
          <t/>
        </is>
      </c>
      <c r="R365" s="113">
        <f>HYPERLINK("https://my.pitchbook.com?c=123267-79", "View company online")</f>
      </c>
    </row>
    <row r="366">
      <c r="A366" s="27" t="inlineStr">
        <is>
          <t>103493-98</t>
        </is>
      </c>
      <c r="B366" s="28" t="inlineStr">
        <is>
          <t>Vir2us</t>
        </is>
      </c>
      <c r="C366" s="29" t="inlineStr">
        <is>
          <t>94954</t>
        </is>
      </c>
      <c r="D366" s="30" t="inlineStr">
        <is>
          <t>Developer of computer security software. The company's immunity platform is a comprehensive set of fully integrated software application modules that empower information systems management professionals to achieve genuine cyber secure computing.</t>
        </is>
      </c>
      <c r="E366" s="31" t="inlineStr">
        <is>
          <t>Other Software</t>
        </is>
      </c>
      <c r="F366" s="32" t="inlineStr">
        <is>
          <t>Petaluma, CA</t>
        </is>
      </c>
      <c r="G366" s="33" t="inlineStr">
        <is>
          <t>Privately Held (backing)</t>
        </is>
      </c>
      <c r="H366" s="34" t="inlineStr">
        <is>
          <t>Angel-Backed</t>
        </is>
      </c>
      <c r="I366" s="35" t="inlineStr">
        <is>
          <t/>
        </is>
      </c>
      <c r="J366" s="36" t="inlineStr">
        <is>
          <t>www.vir2ustechnologies.com</t>
        </is>
      </c>
      <c r="K366" s="37" t="inlineStr">
        <is>
          <t>info@vir2us.com</t>
        </is>
      </c>
      <c r="L366" s="38" t="inlineStr">
        <is>
          <t>+1 (800) 823-5650</t>
        </is>
      </c>
      <c r="M366" s="39" t="inlineStr">
        <is>
          <t>Ed Brinskele</t>
        </is>
      </c>
      <c r="N366" s="40" t="inlineStr">
        <is>
          <t>Chief Executive Officer &amp; Co-Founder</t>
        </is>
      </c>
      <c r="O366" s="41" t="inlineStr">
        <is>
          <t>ebrinskele@vir2us.com</t>
        </is>
      </c>
      <c r="P366" s="42" t="inlineStr">
        <is>
          <t>+1 (800) 823-5650</t>
        </is>
      </c>
      <c r="Q366" s="43" t="n">
        <v>2008.0</v>
      </c>
      <c r="R366" s="114">
        <f>HYPERLINK("https://my.pitchbook.com?c=103493-98", "View company online")</f>
      </c>
    </row>
    <row r="367">
      <c r="A367" s="9" t="inlineStr">
        <is>
          <t>56430-01</t>
        </is>
      </c>
      <c r="B367" s="10" t="inlineStr">
        <is>
          <t>VipeCloud</t>
        </is>
      </c>
      <c r="C367" s="11" t="inlineStr">
        <is>
          <t>94301</t>
        </is>
      </c>
      <c r="D367" s="12" t="inlineStr">
        <is>
          <t>Provider of a sales and marketing automation platform. The company's platform enables automation of sales and marketing as well as interaction with customers that enables generation of leads and sales.</t>
        </is>
      </c>
      <c r="E367" s="13" t="inlineStr">
        <is>
          <t>Automation/Workflow Software</t>
        </is>
      </c>
      <c r="F367" s="14" t="inlineStr">
        <is>
          <t>Palo Alto, CA</t>
        </is>
      </c>
      <c r="G367" s="15" t="inlineStr">
        <is>
          <t>Privately Held (backing)</t>
        </is>
      </c>
      <c r="H367" s="16" t="inlineStr">
        <is>
          <t>Accelerator/Incubator Backed</t>
        </is>
      </c>
      <c r="I367" s="17" t="inlineStr">
        <is>
          <t>StartX</t>
        </is>
      </c>
      <c r="J367" s="18" t="inlineStr">
        <is>
          <t>www.vipecloud.com</t>
        </is>
      </c>
      <c r="K367" s="19" t="inlineStr">
        <is>
          <t>contact@vipecloud.com</t>
        </is>
      </c>
      <c r="L367" s="20" t="inlineStr">
        <is>
          <t>+1 (650) 308-8473</t>
        </is>
      </c>
      <c r="M367" s="21" t="inlineStr">
        <is>
          <t>Adam Peterson</t>
        </is>
      </c>
      <c r="N367" s="22" t="inlineStr">
        <is>
          <t>Co-Founder &amp; Chief Executive Officer</t>
        </is>
      </c>
      <c r="O367" s="23" t="inlineStr">
        <is>
          <t>adam@vipecloud.com</t>
        </is>
      </c>
      <c r="P367" s="24" t="inlineStr">
        <is>
          <t>+1 (650) 308-8473</t>
        </is>
      </c>
      <c r="Q367" s="25" t="n">
        <v>2011.0</v>
      </c>
      <c r="R367" s="113">
        <f>HYPERLINK("https://my.pitchbook.com?c=56430-01", "View company online")</f>
      </c>
    </row>
    <row r="368">
      <c r="A368" s="27" t="inlineStr">
        <is>
          <t>59254-03</t>
        </is>
      </c>
      <c r="B368" s="28" t="inlineStr">
        <is>
          <t>Vionic</t>
        </is>
      </c>
      <c r="C368" s="29" t="inlineStr">
        <is>
          <t>92121</t>
        </is>
      </c>
      <c r="D368" s="30" t="inlineStr">
        <is>
          <t>Provider of a social media deals platform. The company's platform enables brands to offer exclusive promotions on social networking sites.</t>
        </is>
      </c>
      <c r="E368" s="31" t="inlineStr">
        <is>
          <t>Social/Platform Software</t>
        </is>
      </c>
      <c r="F368" s="32" t="inlineStr">
        <is>
          <t>San Diego, CA</t>
        </is>
      </c>
      <c r="G368" s="33" t="inlineStr">
        <is>
          <t>Privately Held (backing)</t>
        </is>
      </c>
      <c r="H368" s="34" t="inlineStr">
        <is>
          <t>Angel-Backed</t>
        </is>
      </c>
      <c r="I368" s="35" t="inlineStr">
        <is>
          <t>Individual Investor</t>
        </is>
      </c>
      <c r="J368" s="36" t="inlineStr">
        <is>
          <t>www.vionic.com</t>
        </is>
      </c>
      <c r="K368" s="37" t="inlineStr">
        <is>
          <t>info@vionic.com</t>
        </is>
      </c>
      <c r="L368" s="38" t="inlineStr">
        <is>
          <t>+1 (858) 633-2150</t>
        </is>
      </c>
      <c r="M368" s="39" t="inlineStr">
        <is>
          <t>Kosta Gara</t>
        </is>
      </c>
      <c r="N368" s="40" t="inlineStr">
        <is>
          <t>Founder, Chairman &amp; Chief Executive Officer</t>
        </is>
      </c>
      <c r="O368" s="41" t="inlineStr">
        <is>
          <t>kosta@vionic.com</t>
        </is>
      </c>
      <c r="P368" s="42" t="inlineStr">
        <is>
          <t>+1 (858) 633-2150</t>
        </is>
      </c>
      <c r="Q368" s="43" t="n">
        <v>2010.0</v>
      </c>
      <c r="R368" s="114">
        <f>HYPERLINK("https://my.pitchbook.com?c=59254-03", "View company online")</f>
      </c>
    </row>
    <row r="369">
      <c r="A369" s="9" t="inlineStr">
        <is>
          <t>118713-07</t>
        </is>
      </c>
      <c r="B369" s="10" t="inlineStr">
        <is>
          <t>Vinz Clortho</t>
        </is>
      </c>
      <c r="C369" s="11" t="inlineStr">
        <is>
          <t>91367</t>
        </is>
      </c>
      <c r="D369" s="12" t="inlineStr">
        <is>
          <t>The company is currently operating in stealth mode.</t>
        </is>
      </c>
      <c r="E369" s="13" t="inlineStr">
        <is>
          <t>Other Business Products and Services</t>
        </is>
      </c>
      <c r="F369" s="14" t="inlineStr">
        <is>
          <t>Los Angeles, CA</t>
        </is>
      </c>
      <c r="G369" s="15" t="inlineStr">
        <is>
          <t>Privately Held (backing)</t>
        </is>
      </c>
      <c r="H369" s="16" t="inlineStr">
        <is>
          <t>Angel-Backed</t>
        </is>
      </c>
      <c r="I369" s="17" t="inlineStr">
        <is>
          <t/>
        </is>
      </c>
      <c r="J369" s="18" t="inlineStr">
        <is>
          <t/>
        </is>
      </c>
      <c r="K369" s="19" t="inlineStr">
        <is>
          <t/>
        </is>
      </c>
      <c r="L369" s="20" t="inlineStr">
        <is>
          <t>+1 (310) 850-4724</t>
        </is>
      </c>
      <c r="M369" s="21" t="inlineStr">
        <is>
          <t>Gary Fenton</t>
        </is>
      </c>
      <c r="N369" s="22" t="inlineStr">
        <is>
          <t>Managing Partner</t>
        </is>
      </c>
      <c r="O369" s="23" t="inlineStr">
        <is>
          <t/>
        </is>
      </c>
      <c r="P369" s="24" t="inlineStr">
        <is>
          <t>+1 (310) 850-4724</t>
        </is>
      </c>
      <c r="Q369" s="25" t="n">
        <v>2015.0</v>
      </c>
      <c r="R369" s="113">
        <f>HYPERLINK("https://my.pitchbook.com?c=118713-07", "View company online")</f>
      </c>
    </row>
    <row r="370">
      <c r="A370" s="27" t="inlineStr">
        <is>
          <t>113719-69</t>
        </is>
      </c>
      <c r="B370" s="28" t="inlineStr">
        <is>
          <t>Vinsight</t>
        </is>
      </c>
      <c r="C370" s="29" t="inlineStr">
        <is>
          <t>94043</t>
        </is>
      </c>
      <c r="D370" s="30" t="inlineStr">
        <is>
          <t>Developer of a crop forecasting software designed to provide data analytics about crops to farmers. The company's software amasses all the data that it can from growers, government agencies and other sources, analyzes the data in aggregate, enabling users with correlated information about crop yield.</t>
        </is>
      </c>
      <c r="E370" s="31" t="inlineStr">
        <is>
          <t>Business/Productivity Software</t>
        </is>
      </c>
      <c r="F370" s="32" t="inlineStr">
        <is>
          <t>Mountain View, CA</t>
        </is>
      </c>
      <c r="G370" s="33" t="inlineStr">
        <is>
          <t>Privately Held (backing)</t>
        </is>
      </c>
      <c r="H370" s="34" t="inlineStr">
        <is>
          <t>Accelerator/Incubator Backed</t>
        </is>
      </c>
      <c r="I370" s="35" t="inlineStr">
        <is>
          <t>Michael Malin, The RoyseLaw AgTech Innovation Network, Y Combinator</t>
        </is>
      </c>
      <c r="J370" s="36" t="inlineStr">
        <is>
          <t>www.vinsight.co</t>
        </is>
      </c>
      <c r="K370" s="37" t="inlineStr">
        <is>
          <t>info@vinsight.co</t>
        </is>
      </c>
      <c r="L370" s="38" t="inlineStr">
        <is>
          <t>+1 (805) 704-7157</t>
        </is>
      </c>
      <c r="M370" s="39" t="inlineStr">
        <is>
          <t>Megan Nunes</t>
        </is>
      </c>
      <c r="N370" s="40" t="inlineStr">
        <is>
          <t>Co-Founder &amp; Chief Executive Officer</t>
        </is>
      </c>
      <c r="O370" s="41" t="inlineStr">
        <is>
          <t>megan@vinsight.co</t>
        </is>
      </c>
      <c r="P370" s="42" t="inlineStr">
        <is>
          <t>+1 (805) 704-7157</t>
        </is>
      </c>
      <c r="Q370" s="43" t="inlineStr">
        <is>
          <t/>
        </is>
      </c>
      <c r="R370" s="114">
        <f>HYPERLINK("https://my.pitchbook.com?c=113719-69", "View company online")</f>
      </c>
    </row>
    <row r="371">
      <c r="A371" s="9" t="inlineStr">
        <is>
          <t>54330-76</t>
        </is>
      </c>
      <c r="B371" s="10" t="inlineStr">
        <is>
          <t>VinPerfect</t>
        </is>
      </c>
      <c r="C371" s="11" t="inlineStr">
        <is>
          <t>94558</t>
        </is>
      </c>
      <c r="D371" s="12" t="inlineStr">
        <is>
          <t>Developer of screwcaps for wine bottles. The company's screwcaps keeps the wine clear of the contamination of corks and provides oxygen over time for optimum aging.</t>
        </is>
      </c>
      <c r="E371" s="13" t="inlineStr">
        <is>
          <t>Beverages</t>
        </is>
      </c>
      <c r="F371" s="14" t="inlineStr">
        <is>
          <t>Napa, CA</t>
        </is>
      </c>
      <c r="G371" s="15" t="inlineStr">
        <is>
          <t>Privately Held (backing)</t>
        </is>
      </c>
      <c r="H371" s="16" t="inlineStr">
        <is>
          <t>Angel-Backed</t>
        </is>
      </c>
      <c r="I371" s="17" t="inlineStr">
        <is>
          <t>Individual Investor, Keiretsu Forum, Sacramento Angels</t>
        </is>
      </c>
      <c r="J371" s="18" t="inlineStr">
        <is>
          <t>www.vinperfect.com</t>
        </is>
      </c>
      <c r="K371" s="19" t="inlineStr">
        <is>
          <t/>
        </is>
      </c>
      <c r="L371" s="20" t="inlineStr">
        <is>
          <t>+1 (707) 252-2155</t>
        </is>
      </c>
      <c r="M371" s="21" t="inlineStr">
        <is>
          <t>Tim Keller</t>
        </is>
      </c>
      <c r="N371" s="22" t="inlineStr">
        <is>
          <t>Co-Founder, Board Member &amp; Chief Executive Officer</t>
        </is>
      </c>
      <c r="O371" s="23" t="inlineStr">
        <is>
          <t>tkeller@vinperfect.com</t>
        </is>
      </c>
      <c r="P371" s="24" t="inlineStr">
        <is>
          <t>+1 (707) 252-2155</t>
        </is>
      </c>
      <c r="Q371" s="25" t="n">
        <v>2007.0</v>
      </c>
      <c r="R371" s="113">
        <f>HYPERLINK("https://my.pitchbook.com?c=54330-76", "View company online")</f>
      </c>
    </row>
    <row r="372">
      <c r="A372" s="27" t="inlineStr">
        <is>
          <t>127583-02</t>
        </is>
      </c>
      <c r="B372" s="28" t="inlineStr">
        <is>
          <t>Vinoshipper</t>
        </is>
      </c>
      <c r="C372" s="29" t="inlineStr">
        <is>
          <t>95492</t>
        </is>
      </c>
      <c r="D372" s="30" t="inlineStr">
        <is>
          <t>Provider of a platform for selling wines. The company's platform offers an online marketplace that connects wine producers with buyers to sell their products.</t>
        </is>
      </c>
      <c r="E372" s="31" t="inlineStr">
        <is>
          <t>Internet Retail</t>
        </is>
      </c>
      <c r="F372" s="32" t="inlineStr">
        <is>
          <t>Windsor, CA</t>
        </is>
      </c>
      <c r="G372" s="33" t="inlineStr">
        <is>
          <t>Privately Held (backing)</t>
        </is>
      </c>
      <c r="H372" s="34" t="inlineStr">
        <is>
          <t>Angel-Backed</t>
        </is>
      </c>
      <c r="I372" s="35" t="inlineStr">
        <is>
          <t>Sacramento Angels</t>
        </is>
      </c>
      <c r="J372" s="36" t="inlineStr">
        <is>
          <t>www.vinoshipper.com</t>
        </is>
      </c>
      <c r="K372" s="37" t="inlineStr">
        <is>
          <t/>
        </is>
      </c>
      <c r="L372" s="38" t="inlineStr">
        <is>
          <t>+1 (866) 678-8466</t>
        </is>
      </c>
      <c r="M372" s="39" t="inlineStr">
        <is>
          <t>Steven Harrison</t>
        </is>
      </c>
      <c r="N372" s="40" t="inlineStr">
        <is>
          <t>Founder, President, Board Member &amp; Chief Executive Officer</t>
        </is>
      </c>
      <c r="O372" s="41" t="inlineStr">
        <is>
          <t>steven.harrison@vinoshipper.com</t>
        </is>
      </c>
      <c r="P372" s="42" t="inlineStr">
        <is>
          <t>+1 (866) 678-8466</t>
        </is>
      </c>
      <c r="Q372" s="43" t="n">
        <v>2006.0</v>
      </c>
      <c r="R372" s="114">
        <f>HYPERLINK("https://my.pitchbook.com?c=127583-02", "View company online")</f>
      </c>
    </row>
    <row r="373">
      <c r="A373" s="9" t="inlineStr">
        <is>
          <t>103317-85</t>
        </is>
      </c>
      <c r="B373" s="10" t="inlineStr">
        <is>
          <t>Vinomis Laboratories</t>
        </is>
      </c>
      <c r="C373" s="11" t="inlineStr">
        <is>
          <t>90010</t>
        </is>
      </c>
      <c r="D373" s="12" t="inlineStr">
        <is>
          <t>Manufacturer of Nutraceutical products. The company deals in development, promotion and supply of dietary supplement products based on the polyphenols found in red wine grapes, particularly Resveratrol, and Quercetin that helps people live longer and healthier.</t>
        </is>
      </c>
      <c r="E373" s="13" t="inlineStr">
        <is>
          <t>Biotechnology</t>
        </is>
      </c>
      <c r="F373" s="14" t="inlineStr">
        <is>
          <t>Los Angeles, CA</t>
        </is>
      </c>
      <c r="G373" s="15" t="inlineStr">
        <is>
          <t>Privately Held (backing)</t>
        </is>
      </c>
      <c r="H373" s="16" t="inlineStr">
        <is>
          <t>Angel-Backed</t>
        </is>
      </c>
      <c r="I373" s="17" t="inlineStr">
        <is>
          <t/>
        </is>
      </c>
      <c r="J373" s="18" t="inlineStr">
        <is>
          <t>www.vinomis.com</t>
        </is>
      </c>
      <c r="K373" s="19" t="inlineStr">
        <is>
          <t>info@vinomis.co</t>
        </is>
      </c>
      <c r="L373" s="20" t="inlineStr">
        <is>
          <t>+1 (877) 484-6664</t>
        </is>
      </c>
      <c r="M373" s="21" t="inlineStr">
        <is>
          <t>Barry Yarkoni</t>
        </is>
      </c>
      <c r="N373" s="22" t="inlineStr">
        <is>
          <t>Chief Executive Officer, Director &amp; Board Member</t>
        </is>
      </c>
      <c r="O373" s="23" t="inlineStr">
        <is>
          <t>barryy@vinomis.com</t>
        </is>
      </c>
      <c r="P373" s="24" t="inlineStr">
        <is>
          <t>+1 (877) 484-6664</t>
        </is>
      </c>
      <c r="Q373" s="25" t="n">
        <v>2009.0</v>
      </c>
      <c r="R373" s="113">
        <f>HYPERLINK("https://my.pitchbook.com?c=103317-85", "View company online")</f>
      </c>
    </row>
    <row r="374">
      <c r="A374" s="27" t="inlineStr">
        <is>
          <t>104769-19</t>
        </is>
      </c>
      <c r="B374" s="28" t="inlineStr">
        <is>
          <t>Vinobo</t>
        </is>
      </c>
      <c r="C374" s="29" t="inlineStr">
        <is>
          <t>95712</t>
        </is>
      </c>
      <c r="D374" s="30" t="inlineStr">
        <is>
          <t>Provider of an information platform about California wine. The company offers a smartphone and desktop application that enables wine hobbyist and wine tourists to access to information, expert opinions and free online taste along with video lessons about wines in California.</t>
        </is>
      </c>
      <c r="E374" s="31" t="inlineStr">
        <is>
          <t>Information Services (B2C)</t>
        </is>
      </c>
      <c r="F374" s="32" t="inlineStr">
        <is>
          <t>Chicago Park, CA</t>
        </is>
      </c>
      <c r="G374" s="33" t="inlineStr">
        <is>
          <t>Privately Held (backing)</t>
        </is>
      </c>
      <c r="H374" s="34" t="inlineStr">
        <is>
          <t>Angel-Backed</t>
        </is>
      </c>
      <c r="I374" s="35" t="inlineStr">
        <is>
          <t/>
        </is>
      </c>
      <c r="J374" s="36" t="inlineStr">
        <is>
          <t>www.vinobo.com</t>
        </is>
      </c>
      <c r="K374" s="37" t="inlineStr">
        <is>
          <t>bruce@vinobo.com</t>
        </is>
      </c>
      <c r="L374" s="38" t="inlineStr">
        <is>
          <t>+1 (530) 273-3830</t>
        </is>
      </c>
      <c r="M374" s="39" t="inlineStr">
        <is>
          <t>Charles Alloo</t>
        </is>
      </c>
      <c r="N374" s="40" t="inlineStr">
        <is>
          <t>Chief Financial Officer &amp; Board Member</t>
        </is>
      </c>
      <c r="O374" s="41" t="inlineStr">
        <is>
          <t/>
        </is>
      </c>
      <c r="P374" s="42" t="inlineStr">
        <is>
          <t>+1 (530) 273-3830</t>
        </is>
      </c>
      <c r="Q374" s="43" t="n">
        <v>2012.0</v>
      </c>
      <c r="R374" s="114">
        <f>HYPERLINK("https://my.pitchbook.com?c=104769-19", "View company online")</f>
      </c>
    </row>
    <row r="375">
      <c r="A375" s="9" t="inlineStr">
        <is>
          <t>94775-41</t>
        </is>
      </c>
      <c r="B375" s="10" t="inlineStr">
        <is>
          <t>Vincita Networks</t>
        </is>
      </c>
      <c r="C375" s="11" t="inlineStr">
        <is>
          <t>94107</t>
        </is>
      </c>
      <c r="D375" s="12" t="inlineStr">
        <is>
          <t>Provider of video socialization services. The company provides a platform for creating, publishing and analyzing interactive social video marketing campaigns.</t>
        </is>
      </c>
      <c r="E375" s="13" t="inlineStr">
        <is>
          <t>Media and Information Services (B2B)</t>
        </is>
      </c>
      <c r="F375" s="14" t="inlineStr">
        <is>
          <t>San Francisco, CA</t>
        </is>
      </c>
      <c r="G375" s="15" t="inlineStr">
        <is>
          <t>Privately Held (backing)</t>
        </is>
      </c>
      <c r="H375" s="16" t="inlineStr">
        <is>
          <t>Angel-Backed</t>
        </is>
      </c>
      <c r="I375" s="17" t="inlineStr">
        <is>
          <t>Ernest Hodge, Joe Morgan, Jon Lamb, Raymond Chester</t>
        </is>
      </c>
      <c r="J375" s="18" t="inlineStr">
        <is>
          <t>www.scenechat.com</t>
        </is>
      </c>
      <c r="K375" s="19" t="inlineStr">
        <is>
          <t/>
        </is>
      </c>
      <c r="L375" s="20" t="inlineStr">
        <is>
          <t>+1 (415) 992-3433</t>
        </is>
      </c>
      <c r="M375" s="21" t="inlineStr">
        <is>
          <t>Shawn Hopwood</t>
        </is>
      </c>
      <c r="N375" s="22" t="inlineStr">
        <is>
          <t>Co-Founder &amp; Chief Executive Officer</t>
        </is>
      </c>
      <c r="O375" s="23" t="inlineStr">
        <is>
          <t/>
        </is>
      </c>
      <c r="P375" s="24" t="inlineStr">
        <is>
          <t/>
        </is>
      </c>
      <c r="Q375" s="25" t="n">
        <v>2009.0</v>
      </c>
      <c r="R375" s="113">
        <f>HYPERLINK("https://my.pitchbook.com?c=94775-41", "View company online")</f>
      </c>
    </row>
    <row r="376">
      <c r="A376" s="27" t="inlineStr">
        <is>
          <t>178719-31</t>
        </is>
      </c>
      <c r="B376" s="28" t="inlineStr">
        <is>
          <t>Villa (Toolbox)</t>
        </is>
      </c>
      <c r="C376" s="29" t="inlineStr">
        <is>
          <t/>
        </is>
      </c>
      <c r="D376" s="30" t="inlineStr">
        <is>
          <t>Developer of a project collaboration application designed for analyzing and managing project communication data. The company develops a project collaboration application designed to provide project communication features, project tracker and digital payment gateway for sending end digital invoices enabling users to run business more efficiently via mobile phone.</t>
        </is>
      </c>
      <c r="E376" s="31" t="inlineStr">
        <is>
          <t>Application Software</t>
        </is>
      </c>
      <c r="F376" s="32" t="inlineStr">
        <is>
          <t>Berkeley, CA</t>
        </is>
      </c>
      <c r="G376" s="33" t="inlineStr">
        <is>
          <t>Privately Held (backing)</t>
        </is>
      </c>
      <c r="H376" s="34" t="inlineStr">
        <is>
          <t>Accelerator/Incubator Backed</t>
        </is>
      </c>
      <c r="I376" s="35" t="inlineStr">
        <is>
          <t>iAngels, NFX Guild</t>
        </is>
      </c>
      <c r="J376" s="36" t="inlineStr">
        <is>
          <t>www.villatoolbox.com</t>
        </is>
      </c>
      <c r="K376" s="37" t="inlineStr">
        <is>
          <t/>
        </is>
      </c>
      <c r="L376" s="38" t="inlineStr">
        <is>
          <t/>
        </is>
      </c>
      <c r="M376" s="39" t="inlineStr">
        <is>
          <t>Jonathan Heyne</t>
        </is>
      </c>
      <c r="N376" s="40" t="inlineStr">
        <is>
          <t>Chief Executive Officer</t>
        </is>
      </c>
      <c r="O376" s="41" t="inlineStr">
        <is>
          <t>jonathan.heyne@villatoolbox.com</t>
        </is>
      </c>
      <c r="P376" s="42" t="inlineStr">
        <is>
          <t/>
        </is>
      </c>
      <c r="Q376" s="43" t="n">
        <v>2016.0</v>
      </c>
      <c r="R376" s="114">
        <f>HYPERLINK("https://my.pitchbook.com?c=178719-31", "View company online")</f>
      </c>
    </row>
    <row r="377">
      <c r="A377" s="9" t="inlineStr">
        <is>
          <t>118239-94</t>
        </is>
      </c>
      <c r="B377" s="10" t="inlineStr">
        <is>
          <t>ViKPiK</t>
        </is>
      </c>
      <c r="C377" s="11" t="inlineStr">
        <is>
          <t>92121</t>
        </is>
      </c>
      <c r="D377" s="12" t="inlineStr">
        <is>
          <t>Developer of a content sharing application. The company helps in creating and sharing content via social media, combining photos, privacy, and location in one application.</t>
        </is>
      </c>
      <c r="E377" s="13" t="inlineStr">
        <is>
          <t>Social Content</t>
        </is>
      </c>
      <c r="F377" s="14" t="inlineStr">
        <is>
          <t>San Diego, CA</t>
        </is>
      </c>
      <c r="G377" s="15" t="inlineStr">
        <is>
          <t>Privately Held (backing)</t>
        </is>
      </c>
      <c r="H377" s="16" t="inlineStr">
        <is>
          <t>Angel-Backed</t>
        </is>
      </c>
      <c r="I377" s="17" t="inlineStr">
        <is>
          <t/>
        </is>
      </c>
      <c r="J377" s="18" t="inlineStr">
        <is>
          <t>www.vikpik.com</t>
        </is>
      </c>
      <c r="K377" s="19" t="inlineStr">
        <is>
          <t>support@vikpik.com</t>
        </is>
      </c>
      <c r="L377" s="20" t="inlineStr">
        <is>
          <t/>
        </is>
      </c>
      <c r="M377" s="21" t="inlineStr">
        <is>
          <t>Daniel Hoffman</t>
        </is>
      </c>
      <c r="N377" s="22" t="inlineStr">
        <is>
          <t>Co-Founder &amp; Chief Executive Officer &amp; Board Member</t>
        </is>
      </c>
      <c r="O377" s="23" t="inlineStr">
        <is>
          <t>dan@vikpik.com</t>
        </is>
      </c>
      <c r="P377" s="24" t="inlineStr">
        <is>
          <t/>
        </is>
      </c>
      <c r="Q377" s="25" t="n">
        <v>2014.0</v>
      </c>
      <c r="R377" s="113">
        <f>HYPERLINK("https://my.pitchbook.com?c=118239-94", "View company online")</f>
      </c>
    </row>
    <row r="378">
      <c r="A378" s="27" t="inlineStr">
        <is>
          <t>149195-98</t>
        </is>
      </c>
      <c r="B378" s="28" t="inlineStr">
        <is>
          <t>Viking Scientific</t>
        </is>
      </c>
      <c r="C378" s="29" t="inlineStr">
        <is>
          <t/>
        </is>
      </c>
      <c r="D378" s="30" t="inlineStr">
        <is>
          <t>Provider of a drug delivery technology platform . The company offers a drug delivery platform which incorporates existing drugs and improves their results by achieving a consistent linear release pattern</t>
        </is>
      </c>
      <c r="E378" s="31" t="inlineStr">
        <is>
          <t>Drug Discovery</t>
        </is>
      </c>
      <c r="F378" s="32" t="inlineStr">
        <is>
          <t>Carlsbad, CA</t>
        </is>
      </c>
      <c r="G378" s="33" t="inlineStr">
        <is>
          <t>Privately Held (backing)</t>
        </is>
      </c>
      <c r="H378" s="34" t="inlineStr">
        <is>
          <t>Accelerator/Incubator Backed</t>
        </is>
      </c>
      <c r="I378" s="35" t="inlineStr">
        <is>
          <t>Bio, Tech and Beyond</t>
        </is>
      </c>
      <c r="J378" s="36" t="inlineStr">
        <is>
          <t>www.vikingscientificinc.com</t>
        </is>
      </c>
      <c r="K378" s="37" t="inlineStr">
        <is>
          <t>contact@vikingsci.com</t>
        </is>
      </c>
      <c r="L378" s="38" t="inlineStr">
        <is>
          <t/>
        </is>
      </c>
      <c r="M378" s="39" t="inlineStr">
        <is>
          <t/>
        </is>
      </c>
      <c r="N378" s="40" t="inlineStr">
        <is>
          <t/>
        </is>
      </c>
      <c r="O378" s="41" t="inlineStr">
        <is>
          <t/>
        </is>
      </c>
      <c r="P378" s="42" t="inlineStr">
        <is>
          <t/>
        </is>
      </c>
      <c r="Q378" s="43" t="inlineStr">
        <is>
          <t/>
        </is>
      </c>
      <c r="R378" s="114">
        <f>HYPERLINK("https://my.pitchbook.com?c=149195-98", "View company online")</f>
      </c>
    </row>
    <row r="379">
      <c r="A379" s="9" t="inlineStr">
        <is>
          <t>163339-39</t>
        </is>
      </c>
      <c r="B379" s="10" t="inlineStr">
        <is>
          <t>Vigilant Web</t>
        </is>
      </c>
      <c r="C379" s="11" t="inlineStr">
        <is>
          <t>95816</t>
        </is>
      </c>
      <c r="D379" s="12" t="inlineStr">
        <is>
          <t>Provider of a data search and monitoring platform. The company's platform enables users to access and gather data from various sources.</t>
        </is>
      </c>
      <c r="E379" s="13" t="inlineStr">
        <is>
          <t>Social/Platform Software</t>
        </is>
      </c>
      <c r="F379" s="14" t="inlineStr">
        <is>
          <t>Sacramento, CA</t>
        </is>
      </c>
      <c r="G379" s="15" t="inlineStr">
        <is>
          <t>Privately Held (backing)</t>
        </is>
      </c>
      <c r="H379" s="16" t="inlineStr">
        <is>
          <t>Accelerator/Incubator Backed</t>
        </is>
      </c>
      <c r="I379" s="17" t="inlineStr">
        <is>
          <t>The LAUNCH Incubator</t>
        </is>
      </c>
      <c r="J379" s="18" t="inlineStr">
        <is>
          <t>www.vigilant.cc</t>
        </is>
      </c>
      <c r="K379" s="19" t="inlineStr">
        <is>
          <t>win@vigilant.cc</t>
        </is>
      </c>
      <c r="L379" s="20" t="inlineStr">
        <is>
          <t/>
        </is>
      </c>
      <c r="M379" s="21" t="inlineStr">
        <is>
          <t>Zac Palin</t>
        </is>
      </c>
      <c r="N379" s="22" t="inlineStr">
        <is>
          <t>Co-Founder &amp; Engineer</t>
        </is>
      </c>
      <c r="O379" s="23" t="inlineStr">
        <is>
          <t/>
        </is>
      </c>
      <c r="P379" s="24" t="inlineStr">
        <is>
          <t/>
        </is>
      </c>
      <c r="Q379" s="25" t="n">
        <v>2015.0</v>
      </c>
      <c r="R379" s="113">
        <f>HYPERLINK("https://my.pitchbook.com?c=163339-39", "View company online")</f>
      </c>
    </row>
    <row r="380">
      <c r="A380" s="27" t="inlineStr">
        <is>
          <t>103025-53</t>
        </is>
      </c>
      <c r="B380" s="28" t="inlineStr">
        <is>
          <t>ViFlux</t>
        </is>
      </c>
      <c r="C380" s="29" t="inlineStr">
        <is>
          <t>90401</t>
        </is>
      </c>
      <c r="D380" s="30" t="inlineStr">
        <is>
          <t>Developer and provider of an online platform for video production. The company offers an online marketplace for audiovisual professionals, brands, agencies, productions companies, freelancers, publishers and small businesses to create, share and collaborate audiovisual productions.</t>
        </is>
      </c>
      <c r="E380" s="31" t="inlineStr">
        <is>
          <t>Social/Platform Software</t>
        </is>
      </c>
      <c r="F380" s="32" t="inlineStr">
        <is>
          <t>Santa Monica, CA</t>
        </is>
      </c>
      <c r="G380" s="33" t="inlineStr">
        <is>
          <t>Privately Held (backing)</t>
        </is>
      </c>
      <c r="H380" s="34" t="inlineStr">
        <is>
          <t>Accelerator/Incubator Backed</t>
        </is>
      </c>
      <c r="I380" s="35" t="inlineStr">
        <is>
          <t>NXTP Labs</t>
        </is>
      </c>
      <c r="J380" s="36" t="inlineStr">
        <is>
          <t>www.viflux.com</t>
        </is>
      </c>
      <c r="K380" s="37" t="inlineStr">
        <is>
          <t>info@viflux.com</t>
        </is>
      </c>
      <c r="L380" s="38" t="inlineStr">
        <is>
          <t/>
        </is>
      </c>
      <c r="M380" s="39" t="inlineStr">
        <is>
          <t>Sebastián Firtman</t>
        </is>
      </c>
      <c r="N380" s="40" t="inlineStr">
        <is>
          <t>Co-Founder &amp; Chief Executive Officer</t>
        </is>
      </c>
      <c r="O380" s="41" t="inlineStr">
        <is>
          <t>sebastian@viflux.com</t>
        </is>
      </c>
      <c r="P380" s="42" t="inlineStr">
        <is>
          <t/>
        </is>
      </c>
      <c r="Q380" s="43" t="n">
        <v>2012.0</v>
      </c>
      <c r="R380" s="114">
        <f>HYPERLINK("https://my.pitchbook.com?c=103025-53", "View company online")</f>
      </c>
    </row>
    <row r="381">
      <c r="A381" s="9" t="inlineStr">
        <is>
          <t>157320-82</t>
        </is>
      </c>
      <c r="B381" s="10" t="inlineStr">
        <is>
          <t>ViewSay</t>
        </is>
      </c>
      <c r="C381" s="11" t="inlineStr">
        <is>
          <t>94107</t>
        </is>
      </c>
      <c r="D381" s="12" t="inlineStr">
        <is>
          <t>Provider of an online video streaming platform. The company offers a Web-based video streaming platform that enables viewers to add or share comments that highlight specific moments of internet videos.</t>
        </is>
      </c>
      <c r="E381" s="13" t="inlineStr">
        <is>
          <t>Social Content</t>
        </is>
      </c>
      <c r="F381" s="14" t="inlineStr">
        <is>
          <t>San Francisco, CA</t>
        </is>
      </c>
      <c r="G381" s="15" t="inlineStr">
        <is>
          <t>Privately Held (backing)</t>
        </is>
      </c>
      <c r="H381" s="16" t="inlineStr">
        <is>
          <t>Accelerator/Incubator Backed</t>
        </is>
      </c>
      <c r="I381" s="17" t="inlineStr">
        <is>
          <t>Hubraum</t>
        </is>
      </c>
      <c r="J381" s="18" t="inlineStr">
        <is>
          <t>www.viewsay.com</t>
        </is>
      </c>
      <c r="K381" s="19" t="inlineStr">
        <is>
          <t>info@vusay.com</t>
        </is>
      </c>
      <c r="L381" s="20" t="inlineStr">
        <is>
          <t/>
        </is>
      </c>
      <c r="M381" s="21" t="inlineStr">
        <is>
          <t>Juan Vegarra</t>
        </is>
      </c>
      <c r="N381" s="22" t="inlineStr">
        <is>
          <t>Co-Founder, Chief Executive Officer &amp; Board Member</t>
        </is>
      </c>
      <c r="O381" s="23" t="inlineStr">
        <is>
          <t/>
        </is>
      </c>
      <c r="P381" s="24" t="inlineStr">
        <is>
          <t>+1 (416) 364-7739</t>
        </is>
      </c>
      <c r="Q381" s="25" t="n">
        <v>2013.0</v>
      </c>
      <c r="R381" s="113">
        <f>HYPERLINK("https://my.pitchbook.com?c=157320-82", "View company online")</f>
      </c>
    </row>
    <row r="382">
      <c r="A382" s="27" t="inlineStr">
        <is>
          <t>148730-41</t>
        </is>
      </c>
      <c r="B382" s="28" t="inlineStr">
        <is>
          <t>Vidlet</t>
        </is>
      </c>
      <c r="C382" s="29" t="inlineStr">
        <is>
          <t>94105</t>
        </is>
      </c>
      <c r="D382" s="30" t="inlineStr">
        <is>
          <t>Developer of a mobile video platform created to transform how companies capture and communicate insights with customers and employees. The company's mobile application makes it easy for brands to use mobile video for a wide range of business communication enabling researchers to send a script to the firm's app on any number of mobile devices and within minutes receives responses directly from users in the form of short mobile videos.</t>
        </is>
      </c>
      <c r="E382" s="31" t="inlineStr">
        <is>
          <t>Application Software</t>
        </is>
      </c>
      <c r="F382" s="32" t="inlineStr">
        <is>
          <t>San Francisco, CA</t>
        </is>
      </c>
      <c r="G382" s="33" t="inlineStr">
        <is>
          <t>Privately Held (backing)</t>
        </is>
      </c>
      <c r="H382" s="34" t="inlineStr">
        <is>
          <t>Angel-Backed</t>
        </is>
      </c>
      <c r="I382" s="35" t="inlineStr">
        <is>
          <t/>
        </is>
      </c>
      <c r="J382" s="36" t="inlineStr">
        <is>
          <t>www.vidlet.com</t>
        </is>
      </c>
      <c r="K382" s="37" t="inlineStr">
        <is>
          <t>info@vidlet.com</t>
        </is>
      </c>
      <c r="L382" s="38" t="inlineStr">
        <is>
          <t>+1 (650) 331-7007</t>
        </is>
      </c>
      <c r="M382" s="39" t="inlineStr">
        <is>
          <t>Patricia Roller</t>
        </is>
      </c>
      <c r="N382" s="40" t="inlineStr">
        <is>
          <t>Co-Founder, President, Chief Executive Officer &amp; Board Member</t>
        </is>
      </c>
      <c r="O382" s="41" t="inlineStr">
        <is>
          <t>patricia@vidlet.com</t>
        </is>
      </c>
      <c r="P382" s="42" t="inlineStr">
        <is>
          <t>+1 (650) 331-7007</t>
        </is>
      </c>
      <c r="Q382" s="43" t="n">
        <v>2014.0</v>
      </c>
      <c r="R382" s="114">
        <f>HYPERLINK("https://my.pitchbook.com?c=148730-41", "View company online")</f>
      </c>
    </row>
    <row r="383">
      <c r="A383" s="9" t="inlineStr">
        <is>
          <t>97269-40</t>
        </is>
      </c>
      <c r="B383" s="10" t="inlineStr">
        <is>
          <t>Vidiam</t>
        </is>
      </c>
      <c r="C383" s="11" t="inlineStr">
        <is>
          <t/>
        </is>
      </c>
      <c r="D383" s="12" t="inlineStr">
        <is>
          <t>Provider of a content and media platform. The companty offers a content platform that brings the online traffic that artists create while promoting their work, such as podcasts, videos and tracks, into digital and mobile experiences, thereby creating opportunity for all levels of aspiring artists and media influencers.</t>
        </is>
      </c>
      <c r="E383" s="13" t="inlineStr">
        <is>
          <t>Movies, Music and Entertainment</t>
        </is>
      </c>
      <c r="F383" s="14" t="inlineStr">
        <is>
          <t>Los Angeles, CA</t>
        </is>
      </c>
      <c r="G383" s="15" t="inlineStr">
        <is>
          <t>Privately Held (backing)</t>
        </is>
      </c>
      <c r="H383" s="16" t="inlineStr">
        <is>
          <t>Angel-Backed</t>
        </is>
      </c>
      <c r="I383" s="17" t="inlineStr">
        <is>
          <t/>
        </is>
      </c>
      <c r="J383" s="18" t="inlineStr">
        <is>
          <t>www.vidi.am</t>
        </is>
      </c>
      <c r="K383" s="19" t="inlineStr">
        <is>
          <t/>
        </is>
      </c>
      <c r="L383" s="20" t="inlineStr">
        <is>
          <t/>
        </is>
      </c>
      <c r="M383" s="21" t="inlineStr">
        <is>
          <t>Alec Marshall</t>
        </is>
      </c>
      <c r="N383" s="22" t="inlineStr">
        <is>
          <t>Chief Executive Officer &amp; Co-Founder</t>
        </is>
      </c>
      <c r="O383" s="23" t="inlineStr">
        <is>
          <t/>
        </is>
      </c>
      <c r="P383" s="24" t="inlineStr">
        <is>
          <t/>
        </is>
      </c>
      <c r="Q383" s="25" t="n">
        <v>2013.0</v>
      </c>
      <c r="R383" s="113">
        <f>HYPERLINK("https://my.pitchbook.com?c=97269-40", "View company online")</f>
      </c>
    </row>
    <row r="384">
      <c r="A384" s="27" t="inlineStr">
        <is>
          <t>151486-39</t>
        </is>
      </c>
      <c r="B384" s="28" t="inlineStr">
        <is>
          <t>VidFluent</t>
        </is>
      </c>
      <c r="C384" s="29" t="inlineStr">
        <is>
          <t>94102</t>
        </is>
      </c>
      <c r="D384" s="30" t="inlineStr">
        <is>
          <t>Provider of a video based platform for campaigning services. The company provides a video based platform which offers organization to share their story for customer engagement to drive sales.</t>
        </is>
      </c>
      <c r="E384" s="31" t="inlineStr">
        <is>
          <t>Social/Platform Software</t>
        </is>
      </c>
      <c r="F384" s="32" t="inlineStr">
        <is>
          <t>San Francisco, CA</t>
        </is>
      </c>
      <c r="G384" s="33" t="inlineStr">
        <is>
          <t>Privately Held (backing)</t>
        </is>
      </c>
      <c r="H384" s="34" t="inlineStr">
        <is>
          <t>Accelerator/Incubator Backed</t>
        </is>
      </c>
      <c r="I384" s="35" t="inlineStr">
        <is>
          <t>Acceleprise</t>
        </is>
      </c>
      <c r="J384" s="36" t="inlineStr">
        <is>
          <t>www.vidfluent.com</t>
        </is>
      </c>
      <c r="K384" s="37" t="inlineStr">
        <is>
          <t/>
        </is>
      </c>
      <c r="L384" s="38" t="inlineStr">
        <is>
          <t>+1 (415) 236-0357</t>
        </is>
      </c>
      <c r="M384" s="39" t="inlineStr">
        <is>
          <t>Steven Simoni</t>
        </is>
      </c>
      <c r="N384" s="40" t="inlineStr">
        <is>
          <t>Co-Founder &amp; Chief Technology Officer</t>
        </is>
      </c>
      <c r="O384" s="41" t="inlineStr">
        <is>
          <t/>
        </is>
      </c>
      <c r="P384" s="42" t="inlineStr">
        <is>
          <t>+1 (415) 236-0357</t>
        </is>
      </c>
      <c r="Q384" s="43" t="n">
        <v>2015.0</v>
      </c>
      <c r="R384" s="114">
        <f>HYPERLINK("https://my.pitchbook.com?c=151486-39", "View company online")</f>
      </c>
    </row>
    <row r="385">
      <c r="A385" s="9" t="inlineStr">
        <is>
          <t>104457-97</t>
        </is>
      </c>
      <c r="B385" s="10" t="inlineStr">
        <is>
          <t>Viderian</t>
        </is>
      </c>
      <c r="C385" s="85">
        <f>HYPERLINK("https://my.pitchbook.com?rrp=104457-97&amp;type=c", "This Company's information is not available to download. Need this Company? Request availability")</f>
      </c>
      <c r="D385" s="12" t="inlineStr">
        <is>
          <t/>
        </is>
      </c>
      <c r="E385" s="13" t="inlineStr">
        <is>
          <t/>
        </is>
      </c>
      <c r="F385" s="14" t="inlineStr">
        <is>
          <t/>
        </is>
      </c>
      <c r="G385" s="15" t="inlineStr">
        <is>
          <t/>
        </is>
      </c>
      <c r="H385" s="16" t="inlineStr">
        <is>
          <t/>
        </is>
      </c>
      <c r="I385" s="17" t="inlineStr">
        <is>
          <t/>
        </is>
      </c>
      <c r="J385" s="18" t="inlineStr">
        <is>
          <t/>
        </is>
      </c>
      <c r="K385" s="19" t="inlineStr">
        <is>
          <t/>
        </is>
      </c>
      <c r="L385" s="20" t="inlineStr">
        <is>
          <t/>
        </is>
      </c>
      <c r="M385" s="21" t="inlineStr">
        <is>
          <t/>
        </is>
      </c>
      <c r="N385" s="22" t="inlineStr">
        <is>
          <t/>
        </is>
      </c>
      <c r="O385" s="23" t="inlineStr">
        <is>
          <t/>
        </is>
      </c>
      <c r="P385" s="24" t="inlineStr">
        <is>
          <t/>
        </is>
      </c>
      <c r="Q385" s="25" t="inlineStr">
        <is>
          <t/>
        </is>
      </c>
      <c r="R385" s="26" t="inlineStr">
        <is>
          <t/>
        </is>
      </c>
    </row>
    <row r="386">
      <c r="A386" s="27" t="inlineStr">
        <is>
          <t>57583-90</t>
        </is>
      </c>
      <c r="B386" s="28" t="inlineStr">
        <is>
          <t>VideoMining</t>
        </is>
      </c>
      <c r="C386" s="86">
        <f>HYPERLINK("https://my.pitchbook.com?rrp=57583-90&amp;type=c", "This Company's information is not available to download. Need this Company? Request availability")</f>
      </c>
      <c r="D386" s="30" t="inlineStr">
        <is>
          <t/>
        </is>
      </c>
      <c r="E386" s="31" t="inlineStr">
        <is>
          <t/>
        </is>
      </c>
      <c r="F386" s="32" t="inlineStr">
        <is>
          <t/>
        </is>
      </c>
      <c r="G386" s="33" t="inlineStr">
        <is>
          <t/>
        </is>
      </c>
      <c r="H386" s="34" t="inlineStr">
        <is>
          <t/>
        </is>
      </c>
      <c r="I386" s="35" t="inlineStr">
        <is>
          <t/>
        </is>
      </c>
      <c r="J386" s="36" t="inlineStr">
        <is>
          <t/>
        </is>
      </c>
      <c r="K386" s="37" t="inlineStr">
        <is>
          <t/>
        </is>
      </c>
      <c r="L386" s="38" t="inlineStr">
        <is>
          <t/>
        </is>
      </c>
      <c r="M386" s="39" t="inlineStr">
        <is>
          <t/>
        </is>
      </c>
      <c r="N386" s="40" t="inlineStr">
        <is>
          <t/>
        </is>
      </c>
      <c r="O386" s="41" t="inlineStr">
        <is>
          <t/>
        </is>
      </c>
      <c r="P386" s="42" t="inlineStr">
        <is>
          <t/>
        </is>
      </c>
      <c r="Q386" s="43" t="inlineStr">
        <is>
          <t/>
        </is>
      </c>
      <c r="R386" s="44" t="inlineStr">
        <is>
          <t/>
        </is>
      </c>
    </row>
    <row r="387">
      <c r="A387" s="9" t="inlineStr">
        <is>
          <t>98915-68</t>
        </is>
      </c>
      <c r="B387" s="10" t="inlineStr">
        <is>
          <t>Videolla</t>
        </is>
      </c>
      <c r="C387" s="11" t="inlineStr">
        <is>
          <t/>
        </is>
      </c>
      <c r="D387" s="12" t="inlineStr">
        <is>
          <t>Provider of an online marketplace for videos. The company's platform connects indie video producers, bloggers, advertisers and viewers to help them make video production and distribution sustainable and fair business.</t>
        </is>
      </c>
      <c r="E387" s="13" t="inlineStr">
        <is>
          <t>Entertainment Software</t>
        </is>
      </c>
      <c r="F387" s="14" t="inlineStr">
        <is>
          <t>Mountain View, CA</t>
        </is>
      </c>
      <c r="G387" s="15" t="inlineStr">
        <is>
          <t>Privately Held (backing)</t>
        </is>
      </c>
      <c r="H387" s="16" t="inlineStr">
        <is>
          <t>Accelerator/Incubator Backed</t>
        </is>
      </c>
      <c r="I387" s="17" t="inlineStr">
        <is>
          <t>Startup Sauna, Vladimir Gurgov</t>
        </is>
      </c>
      <c r="J387" s="18" t="inlineStr">
        <is>
          <t>www.videolla.com</t>
        </is>
      </c>
      <c r="K387" s="19" t="inlineStr">
        <is>
          <t>support@videolla.com</t>
        </is>
      </c>
      <c r="L387" s="20" t="inlineStr">
        <is>
          <t>+1 (415) 968-9771</t>
        </is>
      </c>
      <c r="M387" s="21" t="inlineStr">
        <is>
          <t>Vladimir Gurgov</t>
        </is>
      </c>
      <c r="N387" s="22" t="inlineStr">
        <is>
          <t>Founder &amp; Chief Executive Officer</t>
        </is>
      </c>
      <c r="O387" s="23" t="inlineStr">
        <is>
          <t>vladimir@virool.com</t>
        </is>
      </c>
      <c r="P387" s="24" t="inlineStr">
        <is>
          <t>+1 (415) 780-9664</t>
        </is>
      </c>
      <c r="Q387" s="25" t="n">
        <v>2010.0</v>
      </c>
      <c r="R387" s="113">
        <f>HYPERLINK("https://my.pitchbook.com?c=98915-68", "View company online")</f>
      </c>
    </row>
    <row r="388">
      <c r="A388" s="27" t="inlineStr">
        <is>
          <t>106840-36</t>
        </is>
      </c>
      <c r="B388" s="28" t="inlineStr">
        <is>
          <t>VideoKall</t>
        </is>
      </c>
      <c r="C388" s="29" t="inlineStr">
        <is>
          <t>93002</t>
        </is>
      </c>
      <c r="D388" s="30" t="inlineStr">
        <is>
          <t>Developer of a healthcare service platform. The company offers self-service micro-clinics and outpatient services wherever satellite coverage or fiber access exist such as at drug stores, supermarkets, corporate buildings, universities, senior housing projects, work locations, self-insured companies, oil fields and airports in partnership with hospital affiliated medical call centers.</t>
        </is>
      </c>
      <c r="E388" s="31" t="inlineStr">
        <is>
          <t>Clinics/Outpatient Services</t>
        </is>
      </c>
      <c r="F388" s="32" t="inlineStr">
        <is>
          <t>Ventura, CA</t>
        </is>
      </c>
      <c r="G388" s="33" t="inlineStr">
        <is>
          <t>Privately Held (backing)</t>
        </is>
      </c>
      <c r="H388" s="34" t="inlineStr">
        <is>
          <t>Accelerator/Incubator Backed</t>
        </is>
      </c>
      <c r="I388" s="35" t="inlineStr">
        <is>
          <t>Benjamin Berg, Bill Allen, Chesapeake Innovation Center, Govindan Gopinathan, Jay Middleton, John Hanou, Nick Shipley</t>
        </is>
      </c>
      <c r="J388" s="36" t="inlineStr">
        <is>
          <t>www.medexspot.com</t>
        </is>
      </c>
      <c r="K388" s="37" t="inlineStr">
        <is>
          <t>info@medexspot.com</t>
        </is>
      </c>
      <c r="L388" s="38" t="inlineStr">
        <is>
          <t>+1 (805) 233-7844</t>
        </is>
      </c>
      <c r="M388" s="39" t="inlineStr">
        <is>
          <t>Charles Nahabedian</t>
        </is>
      </c>
      <c r="N388" s="40" t="inlineStr">
        <is>
          <t>Chief Executive Officer</t>
        </is>
      </c>
      <c r="O388" s="41" t="inlineStr">
        <is>
          <t/>
        </is>
      </c>
      <c r="P388" s="42" t="inlineStr">
        <is>
          <t>+1 (805) 233-7844</t>
        </is>
      </c>
      <c r="Q388" s="43" t="n">
        <v>2006.0</v>
      </c>
      <c r="R388" s="114">
        <f>HYPERLINK("https://my.pitchbook.com?c=106840-36", "View company online")</f>
      </c>
    </row>
    <row r="389">
      <c r="A389" s="9" t="inlineStr">
        <is>
          <t>103432-24</t>
        </is>
      </c>
      <c r="B389" s="10" t="inlineStr">
        <is>
          <t>Video Analytics</t>
        </is>
      </c>
      <c r="C389" s="11" t="inlineStr">
        <is>
          <t>95054</t>
        </is>
      </c>
      <c r="D389" s="12" t="inlineStr">
        <is>
          <t>Provider of video management platform. The company's platform helps to tag videos, store them in the cloud and create private groups and communities for sharing.</t>
        </is>
      </c>
      <c r="E389" s="13" t="inlineStr">
        <is>
          <t>Entertainment Software</t>
        </is>
      </c>
      <c r="F389" s="14" t="inlineStr">
        <is>
          <t>Santa Clara, CA</t>
        </is>
      </c>
      <c r="G389" s="15" t="inlineStr">
        <is>
          <t>Privately Held (backing)</t>
        </is>
      </c>
      <c r="H389" s="16" t="inlineStr">
        <is>
          <t>Angel-Backed</t>
        </is>
      </c>
      <c r="I389" s="17" t="inlineStr">
        <is>
          <t>Joe Chernesky</t>
        </is>
      </c>
      <c r="J389" s="18" t="inlineStr">
        <is>
          <t>www.viblio.com</t>
        </is>
      </c>
      <c r="K389" s="19" t="inlineStr">
        <is>
          <t>privacy@viblio.com</t>
        </is>
      </c>
      <c r="L389" s="20" t="inlineStr">
        <is>
          <t/>
        </is>
      </c>
      <c r="M389" s="21" t="inlineStr">
        <is>
          <t/>
        </is>
      </c>
      <c r="N389" s="22" t="inlineStr">
        <is>
          <t/>
        </is>
      </c>
      <c r="O389" s="23" t="inlineStr">
        <is>
          <t/>
        </is>
      </c>
      <c r="P389" s="24" t="inlineStr">
        <is>
          <t/>
        </is>
      </c>
      <c r="Q389" s="25" t="n">
        <v>2013.0</v>
      </c>
      <c r="R389" s="113">
        <f>HYPERLINK("https://my.pitchbook.com?c=103432-24", "View company online")</f>
      </c>
    </row>
    <row r="390">
      <c r="A390" s="27" t="inlineStr">
        <is>
          <t>61699-33</t>
        </is>
      </c>
      <c r="B390" s="28" t="inlineStr">
        <is>
          <t>Videable</t>
        </is>
      </c>
      <c r="C390" s="29" t="inlineStr">
        <is>
          <t>94102</t>
        </is>
      </c>
      <c r="D390" s="30" t="inlineStr">
        <is>
          <t>Developer of a push-to-talk video chat platform. The company has developed a platform for co-workers in an organization to video chat with each other. It also provides a system to create and manage email lists.</t>
        </is>
      </c>
      <c r="E390" s="31" t="inlineStr">
        <is>
          <t>Communication Software</t>
        </is>
      </c>
      <c r="F390" s="32" t="inlineStr">
        <is>
          <t>San Francisco, CA</t>
        </is>
      </c>
      <c r="G390" s="33" t="inlineStr">
        <is>
          <t>Privately Held (backing)</t>
        </is>
      </c>
      <c r="H390" s="34" t="inlineStr">
        <is>
          <t>Accelerator/Incubator Backed</t>
        </is>
      </c>
      <c r="I390" s="35" t="inlineStr">
        <is>
          <t>Y Combinator</t>
        </is>
      </c>
      <c r="J390" s="36" t="inlineStr">
        <is>
          <t>www.quicklychat.com</t>
        </is>
      </c>
      <c r="K390" s="37" t="inlineStr">
        <is>
          <t>feedback@quicklychat.com</t>
        </is>
      </c>
      <c r="L390" s="38" t="inlineStr">
        <is>
          <t>+1 (866) 949-7842</t>
        </is>
      </c>
      <c r="M390" s="39" t="inlineStr">
        <is>
          <t>James Harvey</t>
        </is>
      </c>
      <c r="N390" s="40" t="inlineStr">
        <is>
          <t>Co-Founder</t>
        </is>
      </c>
      <c r="O390" s="41" t="inlineStr">
        <is>
          <t>james@quicklychat.com</t>
        </is>
      </c>
      <c r="P390" s="42" t="inlineStr">
        <is>
          <t>+1 (866) 949-7842</t>
        </is>
      </c>
      <c r="Q390" s="43" t="n">
        <v>2012.0</v>
      </c>
      <c r="R390" s="114">
        <f>HYPERLINK("https://my.pitchbook.com?c=61699-33", "View company online")</f>
      </c>
    </row>
    <row r="391">
      <c r="A391" s="9" t="inlineStr">
        <is>
          <t>95979-61</t>
        </is>
      </c>
      <c r="B391" s="10" t="inlineStr">
        <is>
          <t>Victory Sports &amp; Entertainment</t>
        </is>
      </c>
      <c r="C391" s="11" t="inlineStr">
        <is>
          <t>90405</t>
        </is>
      </c>
      <c r="D391" s="12" t="inlineStr">
        <is>
          <t>Organizer of fantasy sports contests. The company conducts daily and weekly contests for cash prizes related to sports including NFL, MLB, NBA, NHL, PGA, NASCAR and FC.</t>
        </is>
      </c>
      <c r="E391" s="13" t="inlineStr">
        <is>
          <t>Other Services (B2C Non-Financial)</t>
        </is>
      </c>
      <c r="F391" s="14" t="inlineStr">
        <is>
          <t>Santa Monica, CA</t>
        </is>
      </c>
      <c r="G391" s="15" t="inlineStr">
        <is>
          <t>Privately Held (backing)</t>
        </is>
      </c>
      <c r="H391" s="16" t="inlineStr">
        <is>
          <t>Angel-Backed</t>
        </is>
      </c>
      <c r="I391" s="17" t="inlineStr">
        <is>
          <t/>
        </is>
      </c>
      <c r="J391" s="18" t="inlineStr">
        <is>
          <t>www.draftster.com</t>
        </is>
      </c>
      <c r="K391" s="19" t="inlineStr">
        <is>
          <t>info@draftster.com</t>
        </is>
      </c>
      <c r="L391" s="20" t="inlineStr">
        <is>
          <t>+1 (855) 504-7665</t>
        </is>
      </c>
      <c r="M391" s="21" t="inlineStr">
        <is>
          <t/>
        </is>
      </c>
      <c r="N391" s="22" t="inlineStr">
        <is>
          <t/>
        </is>
      </c>
      <c r="O391" s="23" t="inlineStr">
        <is>
          <t/>
        </is>
      </c>
      <c r="P391" s="24" t="inlineStr">
        <is>
          <t/>
        </is>
      </c>
      <c r="Q391" s="25" t="n">
        <v>2013.0</v>
      </c>
      <c r="R391" s="113">
        <f>HYPERLINK("https://my.pitchbook.com?c=95979-61", "View company online")</f>
      </c>
    </row>
    <row r="392">
      <c r="A392" s="27" t="inlineStr">
        <is>
          <t>103552-48</t>
        </is>
      </c>
      <c r="B392" s="28" t="inlineStr">
        <is>
          <t>Vicejar</t>
        </is>
      </c>
      <c r="C392" s="29" t="inlineStr">
        <is>
          <t/>
        </is>
      </c>
      <c r="D392" s="30" t="inlineStr">
        <is>
          <t>Provider of a behavioral change tracking application. The company offers an online application that uses monetary and social motivation to promote health and fitness and encourage users to quit smocking.</t>
        </is>
      </c>
      <c r="E392" s="31" t="inlineStr">
        <is>
          <t>Application Software</t>
        </is>
      </c>
      <c r="F392" s="32" t="inlineStr">
        <is>
          <t>Santa Monica, CA</t>
        </is>
      </c>
      <c r="G392" s="33" t="inlineStr">
        <is>
          <t>Privately Held (backing)</t>
        </is>
      </c>
      <c r="H392" s="34" t="inlineStr">
        <is>
          <t>Angel-Backed</t>
        </is>
      </c>
      <c r="I392" s="35" t="inlineStr">
        <is>
          <t/>
        </is>
      </c>
      <c r="J392" s="36" t="inlineStr">
        <is>
          <t>www.thevicejar.com</t>
        </is>
      </c>
      <c r="K392" s="37" t="inlineStr">
        <is>
          <t>hello@fitjar.co</t>
        </is>
      </c>
      <c r="L392" s="38" t="inlineStr">
        <is>
          <t/>
        </is>
      </c>
      <c r="M392" s="39" t="inlineStr">
        <is>
          <t>Jackson Quach</t>
        </is>
      </c>
      <c r="N392" s="40" t="inlineStr">
        <is>
          <t>Chief Executive Officer &amp; Co-Founder</t>
        </is>
      </c>
      <c r="O392" s="41" t="inlineStr">
        <is>
          <t>jackson@thevicejar.com</t>
        </is>
      </c>
      <c r="P392" s="42" t="inlineStr">
        <is>
          <t/>
        </is>
      </c>
      <c r="Q392" s="43" t="n">
        <v>2012.0</v>
      </c>
      <c r="R392" s="114">
        <f>HYPERLINK("https://my.pitchbook.com?c=103552-48", "View company online")</f>
      </c>
    </row>
    <row r="393">
      <c r="A393" s="9" t="inlineStr">
        <is>
          <t>170436-79</t>
        </is>
      </c>
      <c r="B393" s="10" t="inlineStr">
        <is>
          <t>Vibedration</t>
        </is>
      </c>
      <c r="C393" s="11" t="inlineStr">
        <is>
          <t>90401</t>
        </is>
      </c>
      <c r="D393" s="12" t="inlineStr">
        <is>
          <t>Seller and designer of backpacks intended to carry hydration products during emergency. The company design and develops backpacks specially designed to carry hydration products like water bottles, juice bottles or any other liquid products along with rave gear and festival wear and sells them online, enabling party lovers or adventure lovers to have backup supply for water or any hydration product.</t>
        </is>
      </c>
      <c r="E393" s="13" t="inlineStr">
        <is>
          <t>Accessories</t>
        </is>
      </c>
      <c r="F393" s="14" t="inlineStr">
        <is>
          <t>Santa Monica, CA</t>
        </is>
      </c>
      <c r="G393" s="15" t="inlineStr">
        <is>
          <t>Privately Held (backing)</t>
        </is>
      </c>
      <c r="H393" s="16" t="inlineStr">
        <is>
          <t>Angel-Backed</t>
        </is>
      </c>
      <c r="I393" s="17" t="inlineStr">
        <is>
          <t/>
        </is>
      </c>
      <c r="J393" s="18" t="inlineStr">
        <is>
          <t>www.vibedration.com</t>
        </is>
      </c>
      <c r="K393" s="19" t="inlineStr">
        <is>
          <t>hello@vibedration.com</t>
        </is>
      </c>
      <c r="L393" s="20" t="inlineStr">
        <is>
          <t/>
        </is>
      </c>
      <c r="M393" s="21" t="inlineStr">
        <is>
          <t>Mark Sopcik</t>
        </is>
      </c>
      <c r="N393" s="22" t="inlineStr">
        <is>
          <t>Co-Founder, Chief Executive Officer &amp; Board Member</t>
        </is>
      </c>
      <c r="O393" s="23" t="inlineStr">
        <is>
          <t>mark@vibedration.com</t>
        </is>
      </c>
      <c r="P393" s="24" t="inlineStr">
        <is>
          <t/>
        </is>
      </c>
      <c r="Q393" s="25" t="n">
        <v>2016.0</v>
      </c>
      <c r="R393" s="113">
        <f>HYPERLINK("https://my.pitchbook.com?c=170436-79", "View company online")</f>
      </c>
    </row>
    <row r="394">
      <c r="A394" s="27" t="inlineStr">
        <is>
          <t>55464-04</t>
        </is>
      </c>
      <c r="B394" s="28" t="inlineStr">
        <is>
          <t>Vibease</t>
        </is>
      </c>
      <c r="C394" s="29" t="inlineStr">
        <is>
          <t/>
        </is>
      </c>
      <c r="D394" s="30" t="inlineStr">
        <is>
          <t>Developer of a massager application. The company develops an application that allows the users to connect to the external massager through bluetooth connection and control it with an iPhone or Android phone.</t>
        </is>
      </c>
      <c r="E394" s="31" t="inlineStr">
        <is>
          <t>Electronics (B2C)</t>
        </is>
      </c>
      <c r="F394" s="32" t="inlineStr">
        <is>
          <t>San Francisco, CA</t>
        </is>
      </c>
      <c r="G394" s="33" t="inlineStr">
        <is>
          <t>Privately Held (backing)</t>
        </is>
      </c>
      <c r="H394" s="34" t="inlineStr">
        <is>
          <t>Angel-Backed</t>
        </is>
      </c>
      <c r="I394" s="35" t="inlineStr">
        <is>
          <t>FocusTech Ventures, Founder Institute, Individual Investor, Kelvin Ong, Quest Ventures, SOSV</t>
        </is>
      </c>
      <c r="J394" s="36" t="inlineStr">
        <is>
          <t>www.vibease.com</t>
        </is>
      </c>
      <c r="K394" s="37" t="inlineStr">
        <is>
          <t>info@vibease.com</t>
        </is>
      </c>
      <c r="L394" s="38" t="inlineStr">
        <is>
          <t/>
        </is>
      </c>
      <c r="M394" s="39" t="inlineStr">
        <is>
          <t>Dema Tio</t>
        </is>
      </c>
      <c r="N394" s="40" t="inlineStr">
        <is>
          <t>Co-Founder, Hacker &amp; Chief Executive Officer</t>
        </is>
      </c>
      <c r="O394" s="41" t="inlineStr">
        <is>
          <t>dema@vibease.com</t>
        </is>
      </c>
      <c r="P394" s="42" t="inlineStr">
        <is>
          <t/>
        </is>
      </c>
      <c r="Q394" s="43" t="n">
        <v>2011.0</v>
      </c>
      <c r="R394" s="114">
        <f>HYPERLINK("https://my.pitchbook.com?c=55464-04", "View company online")</f>
      </c>
    </row>
    <row r="395">
      <c r="A395" s="9" t="inlineStr">
        <is>
          <t>170978-77</t>
        </is>
      </c>
      <c r="B395" s="10" t="inlineStr">
        <is>
          <t>Viasys Intelligent Video</t>
        </is>
      </c>
      <c r="C395" s="11" t="inlineStr">
        <is>
          <t>60318</t>
        </is>
      </c>
      <c r="D395" s="12" t="inlineStr">
        <is>
          <t>Developer of a video alarm system intended to protect utility scale solar world wide. The company's video alarm system speaks to the special needs of solar farms that have long perimeters in isolated areas with few network and power resources, thermal imaging cameras are placed with interlocking fields of view around the perimeter and when a person crosses a virtual tripwire, images with a red box around the event are sent to the central station for response enabling solar farms to prevent outages caused by theft and vandalism.</t>
        </is>
      </c>
      <c r="E395" s="13" t="inlineStr">
        <is>
          <t>Other Commercial Products</t>
        </is>
      </c>
      <c r="F395" s="14" t="inlineStr">
        <is>
          <t>Frankfurt, Germany</t>
        </is>
      </c>
      <c r="G395" s="15" t="inlineStr">
        <is>
          <t>Privately Held (backing)</t>
        </is>
      </c>
      <c r="H395" s="16" t="inlineStr">
        <is>
          <t>Accelerator/Incubator Backed</t>
        </is>
      </c>
      <c r="I395" s="17" t="inlineStr">
        <is>
          <t>Mujinzo Labs</t>
        </is>
      </c>
      <c r="J395" s="18" t="inlineStr">
        <is>
          <t>www.viasys-iv.com</t>
        </is>
      </c>
      <c r="K395" s="19" t="inlineStr">
        <is>
          <t>info@viasys-iv.com</t>
        </is>
      </c>
      <c r="L395" s="20" t="inlineStr">
        <is>
          <t>+49 (0)69 7191 3880</t>
        </is>
      </c>
      <c r="M395" s="21" t="inlineStr">
        <is>
          <t>Hannes Ackfeld</t>
        </is>
      </c>
      <c r="N395" s="22" t="inlineStr">
        <is>
          <t>Chief Executive Officer</t>
        </is>
      </c>
      <c r="O395" s="23" t="inlineStr">
        <is>
          <t>ackfeld@viasys-iv.com</t>
        </is>
      </c>
      <c r="P395" s="24" t="inlineStr">
        <is>
          <t>+49 (0)69 7191 3880</t>
        </is>
      </c>
      <c r="Q395" s="25" t="n">
        <v>2002.0</v>
      </c>
      <c r="R395" s="113">
        <f>HYPERLINK("https://my.pitchbook.com?c=170978-77", "View company online")</f>
      </c>
    </row>
    <row r="396">
      <c r="A396" s="27" t="inlineStr">
        <is>
          <t>99219-61</t>
        </is>
      </c>
      <c r="B396" s="28" t="inlineStr">
        <is>
          <t>Vianza</t>
        </is>
      </c>
      <c r="C396" s="29" t="inlineStr">
        <is>
          <t>94103</t>
        </is>
      </c>
      <c r="D396" s="30" t="inlineStr">
        <is>
          <t>Provider of curated commerce platform for retailers and brands. The company offers online wholesale storefronts that enables buyers to assort their products, buy wholesale products and manage their orders.</t>
        </is>
      </c>
      <c r="E396" s="31" t="inlineStr">
        <is>
          <t>Internet Retail</t>
        </is>
      </c>
      <c r="F396" s="32" t="inlineStr">
        <is>
          <t>San Francisco, CA</t>
        </is>
      </c>
      <c r="G396" s="33" t="inlineStr">
        <is>
          <t>Privately Held (backing)</t>
        </is>
      </c>
      <c r="H396" s="34" t="inlineStr">
        <is>
          <t>Accelerator/Incubator Backed</t>
        </is>
      </c>
      <c r="I396" s="35" t="inlineStr">
        <is>
          <t>Acceleprise</t>
        </is>
      </c>
      <c r="J396" s="36" t="inlineStr">
        <is>
          <t>www.vianza.com</t>
        </is>
      </c>
      <c r="K396" s="37" t="inlineStr">
        <is>
          <t/>
        </is>
      </c>
      <c r="L396" s="38" t="inlineStr">
        <is>
          <t>+1 (415) 913-8539</t>
        </is>
      </c>
      <c r="M396" s="39" t="inlineStr">
        <is>
          <t>Mita Patnaik</t>
        </is>
      </c>
      <c r="N396" s="40" t="inlineStr">
        <is>
          <t>Co-Founder, Chief Executive Officer and Vice President of Product Management</t>
        </is>
      </c>
      <c r="O396" s="41" t="inlineStr">
        <is>
          <t>mita@vianza.com</t>
        </is>
      </c>
      <c r="P396" s="42" t="inlineStr">
        <is>
          <t>+1 (415) 913-8539</t>
        </is>
      </c>
      <c r="Q396" s="43" t="n">
        <v>2010.0</v>
      </c>
      <c r="R396" s="114">
        <f>HYPERLINK("https://my.pitchbook.com?c=99219-61", "View company online")</f>
      </c>
    </row>
    <row r="397">
      <c r="A397" s="9" t="inlineStr">
        <is>
          <t>169313-14</t>
        </is>
      </c>
      <c r="B397" s="10" t="inlineStr">
        <is>
          <t>ViaeX Technology</t>
        </is>
      </c>
      <c r="C397" s="11" t="inlineStr">
        <is>
          <t>94103</t>
        </is>
      </c>
      <c r="D397" s="12" t="inlineStr">
        <is>
          <t>Provider of biological nano filtration systems for water and air preservation. The company is engaged in developing a nano filtration technology that helps in removing all pollutants from the air and water with no environmental impacts.</t>
        </is>
      </c>
      <c r="E397" s="13" t="inlineStr">
        <is>
          <t>Environmental Services (B2B)</t>
        </is>
      </c>
      <c r="F397" s="14" t="inlineStr">
        <is>
          <t>San Francisco, CA</t>
        </is>
      </c>
      <c r="G397" s="15" t="inlineStr">
        <is>
          <t>Privately Held (backing)</t>
        </is>
      </c>
      <c r="H397" s="16" t="inlineStr">
        <is>
          <t>Accelerator/Incubator Backed</t>
        </is>
      </c>
      <c r="I397" s="17" t="inlineStr">
        <is>
          <t>Big Ideas, SOSV</t>
        </is>
      </c>
      <c r="J397" s="18" t="inlineStr">
        <is>
          <t>www.viaextechnologies.com</t>
        </is>
      </c>
      <c r="K397" s="19" t="inlineStr">
        <is>
          <t>contact@viaex.co</t>
        </is>
      </c>
      <c r="L397" s="20" t="inlineStr">
        <is>
          <t/>
        </is>
      </c>
      <c r="M397" s="21" t="inlineStr">
        <is>
          <t>Vivian Qu</t>
        </is>
      </c>
      <c r="N397" s="22" t="inlineStr">
        <is>
          <t>Founder &amp; Chief Executive Officer</t>
        </is>
      </c>
      <c r="O397" s="23" t="inlineStr">
        <is>
          <t>vivian.qu@viaextechnologies.com</t>
        </is>
      </c>
      <c r="P397" s="24" t="inlineStr">
        <is>
          <t/>
        </is>
      </c>
      <c r="Q397" s="25" t="inlineStr">
        <is>
          <t/>
        </is>
      </c>
      <c r="R397" s="113">
        <f>HYPERLINK("https://my.pitchbook.com?c=169313-14", "View company online")</f>
      </c>
    </row>
    <row r="398">
      <c r="A398" s="27" t="inlineStr">
        <is>
          <t>103551-67</t>
        </is>
      </c>
      <c r="B398" s="28" t="inlineStr">
        <is>
          <t>ViaClix</t>
        </is>
      </c>
      <c r="C398" s="29" t="inlineStr">
        <is>
          <t>95032</t>
        </is>
      </c>
      <c r="D398" s="30" t="inlineStr">
        <is>
          <t>Developer of web browsing software. The company's software offers web browsing services through the channel network where users can browse by moving channel up and down or with a swipe of the finger.</t>
        </is>
      </c>
      <c r="E398" s="31" t="inlineStr">
        <is>
          <t>Information Services (B2C)</t>
        </is>
      </c>
      <c r="F398" s="32" t="inlineStr">
        <is>
          <t>Los Gatos, CA</t>
        </is>
      </c>
      <c r="G398" s="33" t="inlineStr">
        <is>
          <t>Privately Held (backing)</t>
        </is>
      </c>
      <c r="H398" s="34" t="inlineStr">
        <is>
          <t>Angel-Backed</t>
        </is>
      </c>
      <c r="I398" s="35" t="inlineStr">
        <is>
          <t/>
        </is>
      </c>
      <c r="J398" s="36" t="inlineStr">
        <is>
          <t>www.viaclix.com</t>
        </is>
      </c>
      <c r="K398" s="37" t="inlineStr">
        <is>
          <t>info@viaclix.com</t>
        </is>
      </c>
      <c r="L398" s="38" t="inlineStr">
        <is>
          <t>+1 (408) 827-4645</t>
        </is>
      </c>
      <c r="M398" s="39" t="inlineStr">
        <is>
          <t>Lida Nobakht</t>
        </is>
      </c>
      <c r="N398" s="40" t="inlineStr">
        <is>
          <t>Founder, Chairman &amp; Chief Executive Officer</t>
        </is>
      </c>
      <c r="O398" s="41" t="inlineStr">
        <is>
          <t>lnobakht@viaclix.com</t>
        </is>
      </c>
      <c r="P398" s="42" t="inlineStr">
        <is>
          <t>+1 (760) 501-5459</t>
        </is>
      </c>
      <c r="Q398" s="43" t="n">
        <v>1999.0</v>
      </c>
      <c r="R398" s="114">
        <f>HYPERLINK("https://my.pitchbook.com?c=103551-67", "View company online")</f>
      </c>
    </row>
    <row r="399">
      <c r="A399" s="9" t="inlineStr">
        <is>
          <t>150700-78</t>
        </is>
      </c>
      <c r="B399" s="10" t="inlineStr">
        <is>
          <t>viaChat</t>
        </is>
      </c>
      <c r="C399" s="11" t="inlineStr">
        <is>
          <t>92614</t>
        </is>
      </c>
      <c r="D399" s="12" t="inlineStr">
        <is>
          <t>Developer of a communication platform. The company's software allows users and customers to request for information via a calling and messaging systems and also allows business and corporates to revert back via the same channel.</t>
        </is>
      </c>
      <c r="E399" s="13" t="inlineStr">
        <is>
          <t>Communication Software</t>
        </is>
      </c>
      <c r="F399" s="14" t="inlineStr">
        <is>
          <t>Irvine, CA</t>
        </is>
      </c>
      <c r="G399" s="15" t="inlineStr">
        <is>
          <t>Privately Held (backing)</t>
        </is>
      </c>
      <c r="H399" s="16" t="inlineStr">
        <is>
          <t>Angel-Backed</t>
        </is>
      </c>
      <c r="I399" s="17" t="inlineStr">
        <is>
          <t/>
        </is>
      </c>
      <c r="J399" s="18" t="inlineStr">
        <is>
          <t>www.viachat.co</t>
        </is>
      </c>
      <c r="K399" s="19" t="inlineStr">
        <is>
          <t>info@viachat.co</t>
        </is>
      </c>
      <c r="L399" s="20" t="inlineStr">
        <is>
          <t>+1 (949) 400-9854</t>
        </is>
      </c>
      <c r="M399" s="21" t="inlineStr">
        <is>
          <t>Shahryar Talukder</t>
        </is>
      </c>
      <c r="N399" s="22" t="inlineStr">
        <is>
          <t>Co-Founder, Chief Executive Officer &amp; Board Member</t>
        </is>
      </c>
      <c r="O399" s="23" t="inlineStr">
        <is>
          <t>stalukder@viachat.co</t>
        </is>
      </c>
      <c r="P399" s="24" t="inlineStr">
        <is>
          <t>+1 (949) 400-9854</t>
        </is>
      </c>
      <c r="Q399" s="25" t="n">
        <v>2015.0</v>
      </c>
      <c r="R399" s="113">
        <f>HYPERLINK("https://my.pitchbook.com?c=150700-78", "View company online")</f>
      </c>
    </row>
    <row r="400">
      <c r="A400" s="27" t="inlineStr">
        <is>
          <t>110513-44</t>
        </is>
      </c>
      <c r="B400" s="28" t="inlineStr">
        <is>
          <t>Via Analytics</t>
        </is>
      </c>
      <c r="C400" s="29" t="inlineStr">
        <is>
          <t>94704</t>
        </is>
      </c>
      <c r="D400" s="30" t="inlineStr">
        <is>
          <t>Developer of a platform for the improvement of transits through the research and deployment of innovative solutions. The company also provides VIZ, a free, open-source AVL, passenger information, analytics, report generation platform.</t>
        </is>
      </c>
      <c r="E400" s="31" t="inlineStr">
        <is>
          <t>Social/Platform Software</t>
        </is>
      </c>
      <c r="F400" s="32" t="inlineStr">
        <is>
          <t>Berkeley, CA</t>
        </is>
      </c>
      <c r="G400" s="33" t="inlineStr">
        <is>
          <t>Privately Held (backing)</t>
        </is>
      </c>
      <c r="H400" s="34" t="inlineStr">
        <is>
          <t>Accelerator/Incubator Backed</t>
        </is>
      </c>
      <c r="I400" s="35" t="inlineStr">
        <is>
          <t>Skydeck | Berkeley</t>
        </is>
      </c>
      <c r="J400" s="36" t="inlineStr">
        <is>
          <t>www.v-a.io</t>
        </is>
      </c>
      <c r="K400" s="37" t="inlineStr">
        <is>
          <t>contact@v-a.io</t>
        </is>
      </c>
      <c r="L400" s="38" t="inlineStr">
        <is>
          <t/>
        </is>
      </c>
      <c r="M400" s="39" t="inlineStr">
        <is>
          <t>Dylan Saloner</t>
        </is>
      </c>
      <c r="N400" s="40" t="inlineStr">
        <is>
          <t>Co-Founder &amp; Chief Executive Officer</t>
        </is>
      </c>
      <c r="O400" s="41" t="inlineStr">
        <is>
          <t>dylan@v-a.io</t>
        </is>
      </c>
      <c r="P400" s="42" t="inlineStr">
        <is>
          <t/>
        </is>
      </c>
      <c r="Q400" s="43" t="n">
        <v>2011.0</v>
      </c>
      <c r="R400" s="114">
        <f>HYPERLINK("https://my.pitchbook.com?c=110513-44", "View company online")</f>
      </c>
    </row>
    <row r="401">
      <c r="A401" s="9" t="inlineStr">
        <is>
          <t>103021-57</t>
        </is>
      </c>
      <c r="B401" s="10" t="inlineStr">
        <is>
          <t>Vetter Software</t>
        </is>
      </c>
      <c r="C401" s="85">
        <f>HYPERLINK("https://my.pitchbook.com?rrp=103021-57&amp;type=c", "This Company's information is not available to download. Need this Company? Request availability")</f>
      </c>
      <c r="D401" s="12" t="inlineStr">
        <is>
          <t/>
        </is>
      </c>
      <c r="E401" s="13" t="inlineStr">
        <is>
          <t/>
        </is>
      </c>
      <c r="F401" s="14" t="inlineStr">
        <is>
          <t/>
        </is>
      </c>
      <c r="G401" s="15" t="inlineStr">
        <is>
          <t/>
        </is>
      </c>
      <c r="H401" s="16" t="inlineStr">
        <is>
          <t/>
        </is>
      </c>
      <c r="I401" s="17" t="inlineStr">
        <is>
          <t/>
        </is>
      </c>
      <c r="J401" s="18" t="inlineStr">
        <is>
          <t/>
        </is>
      </c>
      <c r="K401" s="19" t="inlineStr">
        <is>
          <t/>
        </is>
      </c>
      <c r="L401" s="20" t="inlineStr">
        <is>
          <t/>
        </is>
      </c>
      <c r="M401" s="21" t="inlineStr">
        <is>
          <t/>
        </is>
      </c>
      <c r="N401" s="22" t="inlineStr">
        <is>
          <t/>
        </is>
      </c>
      <c r="O401" s="23" t="inlineStr">
        <is>
          <t/>
        </is>
      </c>
      <c r="P401" s="24" t="inlineStr">
        <is>
          <t/>
        </is>
      </c>
      <c r="Q401" s="25" t="inlineStr">
        <is>
          <t/>
        </is>
      </c>
      <c r="R401" s="26" t="inlineStr">
        <is>
          <t/>
        </is>
      </c>
    </row>
    <row r="402">
      <c r="A402" s="27" t="inlineStr">
        <is>
          <t>172559-26</t>
        </is>
      </c>
      <c r="B402" s="28" t="inlineStr">
        <is>
          <t>VetShare</t>
        </is>
      </c>
      <c r="C402" s="86">
        <f>HYPERLINK("https://my.pitchbook.com?rrp=172559-26&amp;type=c", "This Company's information is not available to download. Need this Company? Request availability")</f>
      </c>
      <c r="D402" s="30" t="inlineStr">
        <is>
          <t/>
        </is>
      </c>
      <c r="E402" s="31" t="inlineStr">
        <is>
          <t/>
        </is>
      </c>
      <c r="F402" s="32" t="inlineStr">
        <is>
          <t/>
        </is>
      </c>
      <c r="G402" s="33" t="inlineStr">
        <is>
          <t/>
        </is>
      </c>
      <c r="H402" s="34" t="inlineStr">
        <is>
          <t/>
        </is>
      </c>
      <c r="I402" s="35" t="inlineStr">
        <is>
          <t/>
        </is>
      </c>
      <c r="J402" s="36" t="inlineStr">
        <is>
          <t/>
        </is>
      </c>
      <c r="K402" s="37" t="inlineStr">
        <is>
          <t/>
        </is>
      </c>
      <c r="L402" s="38" t="inlineStr">
        <is>
          <t/>
        </is>
      </c>
      <c r="M402" s="39" t="inlineStr">
        <is>
          <t/>
        </is>
      </c>
      <c r="N402" s="40" t="inlineStr">
        <is>
          <t/>
        </is>
      </c>
      <c r="O402" s="41" t="inlineStr">
        <is>
          <t/>
        </is>
      </c>
      <c r="P402" s="42" t="inlineStr">
        <is>
          <t/>
        </is>
      </c>
      <c r="Q402" s="43" t="inlineStr">
        <is>
          <t/>
        </is>
      </c>
      <c r="R402" s="44" t="inlineStr">
        <is>
          <t/>
        </is>
      </c>
    </row>
    <row r="403">
      <c r="A403" s="9" t="inlineStr">
        <is>
          <t>103404-61</t>
        </is>
      </c>
      <c r="B403" s="10" t="inlineStr">
        <is>
          <t>VetCompare</t>
        </is>
      </c>
      <c r="C403" s="11" t="inlineStr">
        <is>
          <t/>
        </is>
      </c>
      <c r="D403" s="12" t="inlineStr">
        <is>
          <t>Provider of an online price comparison platform for veterinary services. The company offers a web-based platform that allows users to choose a vet based on price, distance, and quality.</t>
        </is>
      </c>
      <c r="E403" s="13" t="inlineStr">
        <is>
          <t>Social/Platform Software</t>
        </is>
      </c>
      <c r="F403" s="14" t="inlineStr">
        <is>
          <t>Sunnyvale, CA</t>
        </is>
      </c>
      <c r="G403" s="15" t="inlineStr">
        <is>
          <t>Privately Held (backing)</t>
        </is>
      </c>
      <c r="H403" s="16" t="inlineStr">
        <is>
          <t>Accelerator/Incubator Backed</t>
        </is>
      </c>
      <c r="I403" s="17" t="inlineStr">
        <is>
          <t>Plug and Play Tech Center</t>
        </is>
      </c>
      <c r="J403" s="18" t="inlineStr">
        <is>
          <t>www.vetcompare.co</t>
        </is>
      </c>
      <c r="K403" s="19" t="inlineStr">
        <is>
          <t>vetcompare@gmail.com</t>
        </is>
      </c>
      <c r="L403" s="20" t="inlineStr">
        <is>
          <t/>
        </is>
      </c>
      <c r="M403" s="21" t="inlineStr">
        <is>
          <t>Ryan Rennaker</t>
        </is>
      </c>
      <c r="N403" s="22" t="inlineStr">
        <is>
          <t>Co-Founder</t>
        </is>
      </c>
      <c r="O403" s="23" t="inlineStr">
        <is>
          <t>rrennaker@twitter.com</t>
        </is>
      </c>
      <c r="P403" s="24" t="inlineStr">
        <is>
          <t>+1 (415) 222-9670</t>
        </is>
      </c>
      <c r="Q403" s="25" t="n">
        <v>2014.0</v>
      </c>
      <c r="R403" s="113">
        <f>HYPERLINK("https://my.pitchbook.com?c=103404-61", "View company online")</f>
      </c>
    </row>
    <row r="404">
      <c r="A404" s="27" t="inlineStr">
        <is>
          <t>102614-95</t>
        </is>
      </c>
      <c r="B404" s="28" t="inlineStr">
        <is>
          <t>Vessix</t>
        </is>
      </c>
      <c r="C404" s="29" t="inlineStr">
        <is>
          <t>90048</t>
        </is>
      </c>
      <c r="D404" s="30" t="inlineStr">
        <is>
          <t>Provider of business management services for the airport operations industry. The company provides scheduling and fuel inventory management application that helps operators to schedule facilities, process payments, track aviation taxes and fuel inventories in time.</t>
        </is>
      </c>
      <c r="E404" s="31" t="inlineStr">
        <is>
          <t>Business/Productivity Software</t>
        </is>
      </c>
      <c r="F404" s="32" t="inlineStr">
        <is>
          <t>West Hollywood, CA</t>
        </is>
      </c>
      <c r="G404" s="33" t="inlineStr">
        <is>
          <t>Privately Held (backing)</t>
        </is>
      </c>
      <c r="H404" s="34" t="inlineStr">
        <is>
          <t>Accelerator/Incubator Backed</t>
        </is>
      </c>
      <c r="I404" s="35" t="inlineStr">
        <is>
          <t>Launchpad LA</t>
        </is>
      </c>
      <c r="J404" s="36" t="inlineStr">
        <is>
          <t>www.vessix.com</t>
        </is>
      </c>
      <c r="K404" s="37" t="inlineStr">
        <is>
          <t>sales@vessix.com</t>
        </is>
      </c>
      <c r="L404" s="38" t="inlineStr">
        <is>
          <t>+1 (800) 418-0344</t>
        </is>
      </c>
      <c r="M404" s="39" t="inlineStr">
        <is>
          <t>Christopher Bridges</t>
        </is>
      </c>
      <c r="N404" s="40" t="inlineStr">
        <is>
          <t>Co-Founder, Chief Executive Officer &amp; Board Member</t>
        </is>
      </c>
      <c r="O404" s="41" t="inlineStr">
        <is>
          <t>chris@vessix.com</t>
        </is>
      </c>
      <c r="P404" s="42" t="inlineStr">
        <is>
          <t>+1 (800) 418-0344</t>
        </is>
      </c>
      <c r="Q404" s="43" t="n">
        <v>2011.0</v>
      </c>
      <c r="R404" s="114">
        <f>HYPERLINK("https://my.pitchbook.com?c=102614-95", "View company online")</f>
      </c>
    </row>
    <row r="405">
      <c r="A405" s="9" t="inlineStr">
        <is>
          <t>121427-29</t>
        </is>
      </c>
      <c r="B405" s="10" t="inlineStr">
        <is>
          <t>Vervid</t>
        </is>
      </c>
      <c r="C405" s="11" t="inlineStr">
        <is>
          <t>95134</t>
        </is>
      </c>
      <c r="D405" s="12" t="inlineStr">
        <is>
          <t>Developer of a mobile video editing application. The company develops a mobile application for playing and editing mobile video shots in a vertical format.</t>
        </is>
      </c>
      <c r="E405" s="13" t="inlineStr">
        <is>
          <t>Social/Platform Software</t>
        </is>
      </c>
      <c r="F405" s="14" t="inlineStr">
        <is>
          <t>San Jose, CA</t>
        </is>
      </c>
      <c r="G405" s="15" t="inlineStr">
        <is>
          <t>Privately Held (backing)</t>
        </is>
      </c>
      <c r="H405" s="16" t="inlineStr">
        <is>
          <t>Accelerator/Incubator Backed</t>
        </is>
      </c>
      <c r="I405" s="17" t="inlineStr">
        <is>
          <t>Coolhouse Labs</t>
        </is>
      </c>
      <c r="J405" s="18" t="inlineStr">
        <is>
          <t>www.vervid.com</t>
        </is>
      </c>
      <c r="K405" s="19" t="inlineStr">
        <is>
          <t>help@vervid.com</t>
        </is>
      </c>
      <c r="L405" s="20" t="inlineStr">
        <is>
          <t>+1 (415) 810-7227</t>
        </is>
      </c>
      <c r="M405" s="21" t="inlineStr">
        <is>
          <t>Tongliang Liu</t>
        </is>
      </c>
      <c r="N405" s="22" t="inlineStr">
        <is>
          <t>Co-Founder</t>
        </is>
      </c>
      <c r="O405" s="23" t="inlineStr">
        <is>
          <t/>
        </is>
      </c>
      <c r="P405" s="24" t="inlineStr">
        <is>
          <t>+1 (415) 810-7227</t>
        </is>
      </c>
      <c r="Q405" s="25" t="n">
        <v>2014.0</v>
      </c>
      <c r="R405" s="113">
        <f>HYPERLINK("https://my.pitchbook.com?c=121427-29", "View company online")</f>
      </c>
    </row>
    <row r="406">
      <c r="A406" s="27" t="inlineStr">
        <is>
          <t>177667-75</t>
        </is>
      </c>
      <c r="B406" s="28" t="inlineStr">
        <is>
          <t>Veruca</t>
        </is>
      </c>
      <c r="C406" s="86">
        <f>HYPERLINK("https://my.pitchbook.com?rrp=177667-75&amp;type=c", "This Company's information is not available to download. Need this Company? Request availability")</f>
      </c>
      <c r="D406" s="30" t="inlineStr">
        <is>
          <t/>
        </is>
      </c>
      <c r="E406" s="31" t="inlineStr">
        <is>
          <t/>
        </is>
      </c>
      <c r="F406" s="32" t="inlineStr">
        <is>
          <t/>
        </is>
      </c>
      <c r="G406" s="33" t="inlineStr">
        <is>
          <t/>
        </is>
      </c>
      <c r="H406" s="34" t="inlineStr">
        <is>
          <t/>
        </is>
      </c>
      <c r="I406" s="35" t="inlineStr">
        <is>
          <t/>
        </is>
      </c>
      <c r="J406" s="36" t="inlineStr">
        <is>
          <t/>
        </is>
      </c>
      <c r="K406" s="37" t="inlineStr">
        <is>
          <t/>
        </is>
      </c>
      <c r="L406" s="38" t="inlineStr">
        <is>
          <t/>
        </is>
      </c>
      <c r="M406" s="39" t="inlineStr">
        <is>
          <t/>
        </is>
      </c>
      <c r="N406" s="40" t="inlineStr">
        <is>
          <t/>
        </is>
      </c>
      <c r="O406" s="41" t="inlineStr">
        <is>
          <t/>
        </is>
      </c>
      <c r="P406" s="42" t="inlineStr">
        <is>
          <t/>
        </is>
      </c>
      <c r="Q406" s="43" t="inlineStr">
        <is>
          <t/>
        </is>
      </c>
      <c r="R406" s="44" t="inlineStr">
        <is>
          <t/>
        </is>
      </c>
    </row>
    <row r="407">
      <c r="A407" s="9" t="inlineStr">
        <is>
          <t>62015-05</t>
        </is>
      </c>
      <c r="B407" s="10" t="inlineStr">
        <is>
          <t>VerticaLive</t>
        </is>
      </c>
      <c r="C407" s="11" t="inlineStr">
        <is>
          <t>70360</t>
        </is>
      </c>
      <c r="D407" s="12" t="inlineStr">
        <is>
          <t>Provider of a vertical cloud platform and development technologies. The company provides VL Business Framework that helps to create and monetize applications for startup cloud ventures and established technology companies.</t>
        </is>
      </c>
      <c r="E407" s="13" t="inlineStr">
        <is>
          <t>Application Software</t>
        </is>
      </c>
      <c r="F407" s="14" t="inlineStr">
        <is>
          <t>Houma, LA</t>
        </is>
      </c>
      <c r="G407" s="15" t="inlineStr">
        <is>
          <t>Privately Held (backing)</t>
        </is>
      </c>
      <c r="H407" s="16" t="inlineStr">
        <is>
          <t>Angel-Backed</t>
        </is>
      </c>
      <c r="I407" s="17" t="inlineStr">
        <is>
          <t>Investment Partners of McMinnville</t>
        </is>
      </c>
      <c r="J407" s="18" t="inlineStr">
        <is>
          <t>www.verticalive.com</t>
        </is>
      </c>
      <c r="K407" s="19" t="inlineStr">
        <is>
          <t>info@verticalive.com</t>
        </is>
      </c>
      <c r="L407" s="20" t="inlineStr">
        <is>
          <t>+1 (866) 836-6262</t>
        </is>
      </c>
      <c r="M407" s="21" t="inlineStr">
        <is>
          <t>David Hanowski</t>
        </is>
      </c>
      <c r="N407" s="22" t="inlineStr">
        <is>
          <t>Co-Founder, Chief Executive Officer, Chief Operating Officer &amp; Board Member</t>
        </is>
      </c>
      <c r="O407" s="23" t="inlineStr">
        <is>
          <t>dhanowski@verticalive.com</t>
        </is>
      </c>
      <c r="P407" s="24" t="inlineStr">
        <is>
          <t>+1 (985) 746-3979</t>
        </is>
      </c>
      <c r="Q407" s="25" t="n">
        <v>2008.0</v>
      </c>
      <c r="R407" s="113">
        <f>HYPERLINK("https://my.pitchbook.com?c=62015-05", "View company online")</f>
      </c>
    </row>
    <row r="408">
      <c r="A408" s="27" t="inlineStr">
        <is>
          <t>58571-65</t>
        </is>
      </c>
      <c r="B408" s="28" t="inlineStr">
        <is>
          <t>Vertical Point Solutions</t>
        </is>
      </c>
      <c r="C408" s="29" t="inlineStr">
        <is>
          <t>92660</t>
        </is>
      </c>
      <c r="D408" s="30" t="inlineStr">
        <is>
          <t>Provider of legal process management services. The company offers services such as organizing corporate content and improving legal process management.</t>
        </is>
      </c>
      <c r="E408" s="31" t="inlineStr">
        <is>
          <t>Other Commercial Services</t>
        </is>
      </c>
      <c r="F408" s="32" t="inlineStr">
        <is>
          <t>Newport Beach, CA</t>
        </is>
      </c>
      <c r="G408" s="33" t="inlineStr">
        <is>
          <t>Privately Held (backing)</t>
        </is>
      </c>
      <c r="H408" s="34" t="inlineStr">
        <is>
          <t>Angel-Backed</t>
        </is>
      </c>
      <c r="I408" s="35" t="inlineStr">
        <is>
          <t/>
        </is>
      </c>
      <c r="J408" s="36" t="inlineStr">
        <is>
          <t>www.verticalpoint.net</t>
        </is>
      </c>
      <c r="K408" s="37" t="inlineStr">
        <is>
          <t>info@verticalpoint.net</t>
        </is>
      </c>
      <c r="L408" s="38" t="inlineStr">
        <is>
          <t>+1 (949) 340-0921</t>
        </is>
      </c>
      <c r="M408" s="39" t="inlineStr">
        <is>
          <t>Roger Cohen</t>
        </is>
      </c>
      <c r="N408" s="40" t="inlineStr">
        <is>
          <t>Co-Founder, Board Member, Chief Executive Officer &amp; Managing Director</t>
        </is>
      </c>
      <c r="O408" s="41" t="inlineStr">
        <is>
          <t>roger.cohen@verticalpoint.net</t>
        </is>
      </c>
      <c r="P408" s="42" t="inlineStr">
        <is>
          <t>+1 (949) 340-0921</t>
        </is>
      </c>
      <c r="Q408" s="43" t="n">
        <v>2011.0</v>
      </c>
      <c r="R408" s="114">
        <f>HYPERLINK("https://my.pitchbook.com?c=58571-65", "View company online")</f>
      </c>
    </row>
    <row r="409">
      <c r="A409" s="9" t="inlineStr">
        <is>
          <t>171817-30</t>
        </is>
      </c>
      <c r="B409" s="10" t="inlineStr">
        <is>
          <t>Vertex Promotional</t>
        </is>
      </c>
      <c r="C409" s="85">
        <f>HYPERLINK("https://my.pitchbook.com?rrp=171817-30&amp;type=c", "This Company's information is not available to download. Need this Company? Request availability")</f>
      </c>
      <c r="D409" s="12" t="inlineStr">
        <is>
          <t/>
        </is>
      </c>
      <c r="E409" s="13" t="inlineStr">
        <is>
          <t/>
        </is>
      </c>
      <c r="F409" s="14" t="inlineStr">
        <is>
          <t/>
        </is>
      </c>
      <c r="G409" s="15" t="inlineStr">
        <is>
          <t/>
        </is>
      </c>
      <c r="H409" s="16" t="inlineStr">
        <is>
          <t/>
        </is>
      </c>
      <c r="I409" s="17" t="inlineStr">
        <is>
          <t/>
        </is>
      </c>
      <c r="J409" s="18" t="inlineStr">
        <is>
          <t/>
        </is>
      </c>
      <c r="K409" s="19" t="inlineStr">
        <is>
          <t/>
        </is>
      </c>
      <c r="L409" s="20" t="inlineStr">
        <is>
          <t/>
        </is>
      </c>
      <c r="M409" s="21" t="inlineStr">
        <is>
          <t/>
        </is>
      </c>
      <c r="N409" s="22" t="inlineStr">
        <is>
          <t/>
        </is>
      </c>
      <c r="O409" s="23" t="inlineStr">
        <is>
          <t/>
        </is>
      </c>
      <c r="P409" s="24" t="inlineStr">
        <is>
          <t/>
        </is>
      </c>
      <c r="Q409" s="25" t="inlineStr">
        <is>
          <t/>
        </is>
      </c>
      <c r="R409" s="26" t="inlineStr">
        <is>
          <t/>
        </is>
      </c>
    </row>
    <row r="410">
      <c r="A410" s="27" t="inlineStr">
        <is>
          <t>133482-79</t>
        </is>
      </c>
      <c r="B410" s="28" t="inlineStr">
        <is>
          <t>Vertechs Enterprises</t>
        </is>
      </c>
      <c r="C410" s="29" t="inlineStr">
        <is>
          <t>92020</t>
        </is>
      </c>
      <c r="D410" s="30" t="inlineStr">
        <is>
          <t>Provider of lightweight sandwich structures to the aerospace industry. The company specializes in in complex sheet metal and machined aerospace components that include environmentally controlled welding processes and superplastic forming of titanium.</t>
        </is>
      </c>
      <c r="E410" s="31" t="inlineStr">
        <is>
          <t>Industrial Supplies and Parts</t>
        </is>
      </c>
      <c r="F410" s="32" t="inlineStr">
        <is>
          <t>El Cajon, CA</t>
        </is>
      </c>
      <c r="G410" s="33" t="inlineStr">
        <is>
          <t>Privately Held (backing)</t>
        </is>
      </c>
      <c r="H410" s="34" t="inlineStr">
        <is>
          <t>Angel-Backed</t>
        </is>
      </c>
      <c r="I410" s="35" t="inlineStr">
        <is>
          <t/>
        </is>
      </c>
      <c r="J410" s="36" t="inlineStr">
        <is>
          <t>www.vertechsusa.com</t>
        </is>
      </c>
      <c r="K410" s="37" t="inlineStr">
        <is>
          <t>info@vertechsusa.com</t>
        </is>
      </c>
      <c r="L410" s="38" t="inlineStr">
        <is>
          <t>+1 (858) 578-3900</t>
        </is>
      </c>
      <c r="M410" s="39" t="inlineStr">
        <is>
          <t>Geosef Straza</t>
        </is>
      </c>
      <c r="N410" s="40" t="inlineStr">
        <is>
          <t>Co-Founder, Chief Executive Officer &amp; President</t>
        </is>
      </c>
      <c r="O410" s="41" t="inlineStr">
        <is>
          <t>gstraza@vertechsusa.com</t>
        </is>
      </c>
      <c r="P410" s="42" t="inlineStr">
        <is>
          <t>+1 (858) 578-3900</t>
        </is>
      </c>
      <c r="Q410" s="43" t="n">
        <v>2007.0</v>
      </c>
      <c r="R410" s="114">
        <f>HYPERLINK("https://my.pitchbook.com?c=133482-79", "View company online")</f>
      </c>
    </row>
    <row r="411">
      <c r="A411" s="9" t="inlineStr">
        <is>
          <t>166340-35</t>
        </is>
      </c>
      <c r="B411" s="10" t="inlineStr">
        <is>
          <t>Vertebrae</t>
        </is>
      </c>
      <c r="C411" s="11" t="inlineStr">
        <is>
          <t>90401</t>
        </is>
      </c>
      <c r="D411" s="12" t="inlineStr">
        <is>
          <t>Developer of a virtual reality advertising platform designed to connects advertisers with developers and publishers to deliver 360 video advertising experiences. The company's virtual reality advertising platform offers interactivity and distribution tools along with powerful analytics and mobile engaging advertising experience between brands and audiences, enabling virtual reality gaming and content developers to monetizing their creations with 3D brand advertising videos and helps brands to reach to their consumers through advertisements</t>
        </is>
      </c>
      <c r="E411" s="13" t="inlineStr">
        <is>
          <t>Media and Information Services (B2B)</t>
        </is>
      </c>
      <c r="F411" s="14" t="inlineStr">
        <is>
          <t>Santa Monica, CA</t>
        </is>
      </c>
      <c r="G411" s="15" t="inlineStr">
        <is>
          <t>Privately Held (backing)</t>
        </is>
      </c>
      <c r="H411" s="16" t="inlineStr">
        <is>
          <t>Accelerator/Incubator Backed</t>
        </is>
      </c>
      <c r="I411" s="17" t="inlineStr">
        <is>
          <t>Vive X Accelerator</t>
        </is>
      </c>
      <c r="J411" s="18" t="inlineStr">
        <is>
          <t>www.vertebrae.io</t>
        </is>
      </c>
      <c r="K411" s="19" t="inlineStr">
        <is>
          <t>info@vertebrae.io</t>
        </is>
      </c>
      <c r="L411" s="20" t="inlineStr">
        <is>
          <t/>
        </is>
      </c>
      <c r="M411" s="21" t="inlineStr">
        <is>
          <t>Vince Cacace</t>
        </is>
      </c>
      <c r="N411" s="22" t="inlineStr">
        <is>
          <t>Founder &amp; Chief Executive Officer</t>
        </is>
      </c>
      <c r="O411" s="23" t="inlineStr">
        <is>
          <t>vince@vertebrae.io</t>
        </is>
      </c>
      <c r="P411" s="24" t="inlineStr">
        <is>
          <t/>
        </is>
      </c>
      <c r="Q411" s="25" t="n">
        <v>2015.0</v>
      </c>
      <c r="R411" s="113">
        <f>HYPERLINK("https://my.pitchbook.com?c=166340-35", "View company online")</f>
      </c>
    </row>
    <row r="412">
      <c r="A412" s="27" t="inlineStr">
        <is>
          <t>176380-75</t>
        </is>
      </c>
      <c r="B412" s="28" t="inlineStr">
        <is>
          <t>Versafit</t>
        </is>
      </c>
      <c r="C412" s="86">
        <f>HYPERLINK("https://my.pitchbook.com?rrp=176380-75&amp;type=c", "This Company's information is not available to download. Need this Company? Request availability")</f>
      </c>
      <c r="D412" s="30" t="inlineStr">
        <is>
          <t/>
        </is>
      </c>
      <c r="E412" s="31" t="inlineStr">
        <is>
          <t/>
        </is>
      </c>
      <c r="F412" s="32" t="inlineStr">
        <is>
          <t/>
        </is>
      </c>
      <c r="G412" s="33" t="inlineStr">
        <is>
          <t/>
        </is>
      </c>
      <c r="H412" s="34" t="inlineStr">
        <is>
          <t/>
        </is>
      </c>
      <c r="I412" s="35" t="inlineStr">
        <is>
          <t/>
        </is>
      </c>
      <c r="J412" s="36" t="inlineStr">
        <is>
          <t/>
        </is>
      </c>
      <c r="K412" s="37" t="inlineStr">
        <is>
          <t/>
        </is>
      </c>
      <c r="L412" s="38" t="inlineStr">
        <is>
          <t/>
        </is>
      </c>
      <c r="M412" s="39" t="inlineStr">
        <is>
          <t/>
        </is>
      </c>
      <c r="N412" s="40" t="inlineStr">
        <is>
          <t/>
        </is>
      </c>
      <c r="O412" s="41" t="inlineStr">
        <is>
          <t/>
        </is>
      </c>
      <c r="P412" s="42" t="inlineStr">
        <is>
          <t/>
        </is>
      </c>
      <c r="Q412" s="43" t="inlineStr">
        <is>
          <t/>
        </is>
      </c>
      <c r="R412" s="44" t="inlineStr">
        <is>
          <t/>
        </is>
      </c>
    </row>
    <row r="413">
      <c r="A413" s="9" t="inlineStr">
        <is>
          <t>122346-64</t>
        </is>
      </c>
      <c r="B413" s="10" t="inlineStr">
        <is>
          <t>Vernox Labs</t>
        </is>
      </c>
      <c r="C413" s="11" t="inlineStr">
        <is>
          <t/>
        </is>
      </c>
      <c r="D413" s="12" t="inlineStr">
        <is>
          <t>Owner and operator of a company that provides a platform to analyze data from construction projects. The comapny provides services to analyze data from construction projects to figure out how to sidestep building errors for developers and contractors.</t>
        </is>
      </c>
      <c r="E413" s="13" t="inlineStr">
        <is>
          <t>Other Commercial Services</t>
        </is>
      </c>
      <c r="F413" s="14" t="inlineStr">
        <is>
          <t>Berkeley, CA</t>
        </is>
      </c>
      <c r="G413" s="15" t="inlineStr">
        <is>
          <t>Privately Held (backing)</t>
        </is>
      </c>
      <c r="H413" s="16" t="inlineStr">
        <is>
          <t>Accelerator/Incubator Backed</t>
        </is>
      </c>
      <c r="I413" s="17" t="inlineStr">
        <is>
          <t>Y Combinator</t>
        </is>
      </c>
      <c r="J413" s="18" t="inlineStr">
        <is>
          <t>www.vernoxlabs.com</t>
        </is>
      </c>
      <c r="K413" s="19" t="inlineStr">
        <is>
          <t>info@vernoxlabs.com</t>
        </is>
      </c>
      <c r="L413" s="20" t="inlineStr">
        <is>
          <t/>
        </is>
      </c>
      <c r="M413" s="21" t="inlineStr">
        <is>
          <t>Vinayak Nagpal</t>
        </is>
      </c>
      <c r="N413" s="22" t="inlineStr">
        <is>
          <t>Co-Founder</t>
        </is>
      </c>
      <c r="O413" s="23" t="inlineStr">
        <is>
          <t>vinayak@vernoxlabs.com</t>
        </is>
      </c>
      <c r="P413" s="24" t="inlineStr">
        <is>
          <t/>
        </is>
      </c>
      <c r="Q413" s="25" t="n">
        <v>2014.0</v>
      </c>
      <c r="R413" s="113">
        <f>HYPERLINK("https://my.pitchbook.com?c=122346-64", "View company online")</f>
      </c>
    </row>
    <row r="414">
      <c r="A414" s="27" t="inlineStr">
        <is>
          <t>104232-34</t>
        </is>
      </c>
      <c r="B414" s="28" t="inlineStr">
        <is>
          <t>VeriTainer Asset Holding</t>
        </is>
      </c>
      <c r="C414" s="29" t="inlineStr">
        <is>
          <t>94574</t>
        </is>
      </c>
      <c r="D414" s="30" t="inlineStr">
        <is>
          <t>Developer and designer of crane based radiation detection technology. The company develops a technology for scanning of shipping containers to ensure that the ports are free from nuclear terrorism.</t>
        </is>
      </c>
      <c r="E414" s="31" t="inlineStr">
        <is>
          <t>Electronic Equipment and Instruments</t>
        </is>
      </c>
      <c r="F414" s="32" t="inlineStr">
        <is>
          <t>Saint Helena, CA</t>
        </is>
      </c>
      <c r="G414" s="33" t="inlineStr">
        <is>
          <t>Privately Held (backing)</t>
        </is>
      </c>
      <c r="H414" s="34" t="inlineStr">
        <is>
          <t>Angel-Backed</t>
        </is>
      </c>
      <c r="I414" s="35" t="inlineStr">
        <is>
          <t/>
        </is>
      </c>
      <c r="J414" s="36" t="inlineStr">
        <is>
          <t>www.veritainer.com</t>
        </is>
      </c>
      <c r="K414" s="37" t="inlineStr">
        <is>
          <t>info@veritainer.com</t>
        </is>
      </c>
      <c r="L414" s="38" t="inlineStr">
        <is>
          <t>+1 (844) 344-8796</t>
        </is>
      </c>
      <c r="M414" s="39" t="inlineStr">
        <is>
          <t>John Alioto</t>
        </is>
      </c>
      <c r="N414" s="40" t="inlineStr">
        <is>
          <t>Chairman &amp; Chief Executive Officer</t>
        </is>
      </c>
      <c r="O414" s="41" t="inlineStr">
        <is>
          <t/>
        </is>
      </c>
      <c r="P414" s="42" t="inlineStr">
        <is>
          <t>+1 (844) 344-8796</t>
        </is>
      </c>
      <c r="Q414" s="43" t="n">
        <v>2003.0</v>
      </c>
      <c r="R414" s="114">
        <f>HYPERLINK("https://my.pitchbook.com?c=104232-34", "View company online")</f>
      </c>
    </row>
    <row r="415">
      <c r="A415" s="9" t="inlineStr">
        <is>
          <t>172379-62</t>
        </is>
      </c>
      <c r="B415" s="10" t="inlineStr">
        <is>
          <t>Verigio Communications</t>
        </is>
      </c>
      <c r="C415" s="85">
        <f>HYPERLINK("https://my.pitchbook.com?rrp=172379-62&amp;type=c", "This Company's information is not available to download. Need this Company? Request availability")</f>
      </c>
      <c r="D415" s="12" t="inlineStr">
        <is>
          <t/>
        </is>
      </c>
      <c r="E415" s="13" t="inlineStr">
        <is>
          <t/>
        </is>
      </c>
      <c r="F415" s="14" t="inlineStr">
        <is>
          <t/>
        </is>
      </c>
      <c r="G415" s="15" t="inlineStr">
        <is>
          <t/>
        </is>
      </c>
      <c r="H415" s="16" t="inlineStr">
        <is>
          <t/>
        </is>
      </c>
      <c r="I415" s="17" t="inlineStr">
        <is>
          <t/>
        </is>
      </c>
      <c r="J415" s="18" t="inlineStr">
        <is>
          <t/>
        </is>
      </c>
      <c r="K415" s="19" t="inlineStr">
        <is>
          <t/>
        </is>
      </c>
      <c r="L415" s="20" t="inlineStr">
        <is>
          <t/>
        </is>
      </c>
      <c r="M415" s="21" t="inlineStr">
        <is>
          <t/>
        </is>
      </c>
      <c r="N415" s="22" t="inlineStr">
        <is>
          <t/>
        </is>
      </c>
      <c r="O415" s="23" t="inlineStr">
        <is>
          <t/>
        </is>
      </c>
      <c r="P415" s="24" t="inlineStr">
        <is>
          <t/>
        </is>
      </c>
      <c r="Q415" s="25" t="inlineStr">
        <is>
          <t/>
        </is>
      </c>
      <c r="R415" s="26" t="inlineStr">
        <is>
          <t/>
        </is>
      </c>
    </row>
    <row r="416">
      <c r="A416" s="27" t="inlineStr">
        <is>
          <t>158696-56</t>
        </is>
      </c>
      <c r="B416" s="28" t="inlineStr">
        <is>
          <t>VerifiR</t>
        </is>
      </c>
      <c r="C416" s="29" t="inlineStr">
        <is>
          <t>92130</t>
        </is>
      </c>
      <c r="D416" s="30" t="inlineStr">
        <is>
          <t>Provider of anti-counterfeiting services for businesses. The company specializes in combining near field communication (NFC) with bitcoin block chain technology to allow consumers to authenticate products and documents.</t>
        </is>
      </c>
      <c r="E416" s="31" t="inlineStr">
        <is>
          <t>Network Management Software</t>
        </is>
      </c>
      <c r="F416" s="32" t="inlineStr">
        <is>
          <t>San Diego, CA</t>
        </is>
      </c>
      <c r="G416" s="33" t="inlineStr">
        <is>
          <t>Privately Held (backing)</t>
        </is>
      </c>
      <c r="H416" s="34" t="inlineStr">
        <is>
          <t>Accelerator/Incubator Backed</t>
        </is>
      </c>
      <c r="I416" s="35" t="inlineStr">
        <is>
          <t>CONNECT (Accelerator)</t>
        </is>
      </c>
      <c r="J416" s="36" t="inlineStr">
        <is>
          <t>www.verifir.com</t>
        </is>
      </c>
      <c r="K416" s="37" t="inlineStr">
        <is>
          <t>info@verifir.com</t>
        </is>
      </c>
      <c r="L416" s="38" t="inlineStr">
        <is>
          <t>+1 (858) 794-6854</t>
        </is>
      </c>
      <c r="M416" s="39" t="inlineStr">
        <is>
          <t>David Kramer</t>
        </is>
      </c>
      <c r="N416" s="40" t="inlineStr">
        <is>
          <t>Chief Financial Officer</t>
        </is>
      </c>
      <c r="O416" s="41" t="inlineStr">
        <is>
          <t/>
        </is>
      </c>
      <c r="P416" s="42" t="inlineStr">
        <is>
          <t>+1 (858) 794-6854</t>
        </is>
      </c>
      <c r="Q416" s="43" t="n">
        <v>2015.0</v>
      </c>
      <c r="R416" s="114">
        <f>HYPERLINK("https://my.pitchbook.com?c=158696-56", "View company online")</f>
      </c>
    </row>
    <row r="417">
      <c r="A417" s="9" t="inlineStr">
        <is>
          <t>178225-75</t>
        </is>
      </c>
      <c r="B417" s="10" t="inlineStr">
        <is>
          <t>VeriComply</t>
        </is>
      </c>
      <c r="C417" s="85">
        <f>HYPERLINK("https://my.pitchbook.com?rrp=178225-75&amp;type=c", "This Company's information is not available to download. Need this Company? Request availability")</f>
      </c>
      <c r="D417" s="12" t="inlineStr">
        <is>
          <t/>
        </is>
      </c>
      <c r="E417" s="13" t="inlineStr">
        <is>
          <t/>
        </is>
      </c>
      <c r="F417" s="14" t="inlineStr">
        <is>
          <t/>
        </is>
      </c>
      <c r="G417" s="15" t="inlineStr">
        <is>
          <t/>
        </is>
      </c>
      <c r="H417" s="16" t="inlineStr">
        <is>
          <t/>
        </is>
      </c>
      <c r="I417" s="17" t="inlineStr">
        <is>
          <t/>
        </is>
      </c>
      <c r="J417" s="18" t="inlineStr">
        <is>
          <t/>
        </is>
      </c>
      <c r="K417" s="19" t="inlineStr">
        <is>
          <t/>
        </is>
      </c>
      <c r="L417" s="20" t="inlineStr">
        <is>
          <t/>
        </is>
      </c>
      <c r="M417" s="21" t="inlineStr">
        <is>
          <t/>
        </is>
      </c>
      <c r="N417" s="22" t="inlineStr">
        <is>
          <t/>
        </is>
      </c>
      <c r="O417" s="23" t="inlineStr">
        <is>
          <t/>
        </is>
      </c>
      <c r="P417" s="24" t="inlineStr">
        <is>
          <t/>
        </is>
      </c>
      <c r="Q417" s="25" t="inlineStr">
        <is>
          <t/>
        </is>
      </c>
      <c r="R417" s="26" t="inlineStr">
        <is>
          <t/>
        </is>
      </c>
    </row>
    <row r="418">
      <c r="A418" s="27" t="inlineStr">
        <is>
          <t>152103-25</t>
        </is>
      </c>
      <c r="B418" s="28" t="inlineStr">
        <is>
          <t>Verdiseno</t>
        </is>
      </c>
      <c r="C418" s="29" t="inlineStr">
        <is>
          <t>95061</t>
        </is>
      </c>
      <c r="D418" s="30" t="inlineStr">
        <is>
          <t>Provider of solar design tools. The company specializes in designing and developing design application for solar professionals that enables them to create preliminary designs and layouts for bids using 3D models based on aerial and satellite imagery.</t>
        </is>
      </c>
      <c r="E418" s="31" t="inlineStr">
        <is>
          <t>Other Software</t>
        </is>
      </c>
      <c r="F418" s="32" t="inlineStr">
        <is>
          <t>Santa Cruz, CA</t>
        </is>
      </c>
      <c r="G418" s="33" t="inlineStr">
        <is>
          <t>Privately Held (backing)</t>
        </is>
      </c>
      <c r="H418" s="34" t="inlineStr">
        <is>
          <t>Angel-Backed</t>
        </is>
      </c>
      <c r="I418" s="35" t="inlineStr">
        <is>
          <t>Thomas Varghese</t>
        </is>
      </c>
      <c r="J418" s="36" t="inlineStr">
        <is>
          <t>get.solardesigntool.com</t>
        </is>
      </c>
      <c r="K418" s="37" t="inlineStr">
        <is>
          <t>hello@solardesigntool.com</t>
        </is>
      </c>
      <c r="L418" s="38" t="inlineStr">
        <is>
          <t>+1 (217) 722-0832</t>
        </is>
      </c>
      <c r="M418" s="39" t="inlineStr">
        <is>
          <t>Derek Mitchell</t>
        </is>
      </c>
      <c r="N418" s="40" t="inlineStr">
        <is>
          <t>Co-Founder, President, Chief Executive Officer &amp; Board Member</t>
        </is>
      </c>
      <c r="O418" s="41" t="inlineStr">
        <is>
          <t/>
        </is>
      </c>
      <c r="P418" s="42" t="inlineStr">
        <is>
          <t>+1 (217) 722-0832</t>
        </is>
      </c>
      <c r="Q418" s="43" t="n">
        <v>2009.0</v>
      </c>
      <c r="R418" s="114">
        <f>HYPERLINK("https://my.pitchbook.com?c=152103-25", "View company online")</f>
      </c>
    </row>
    <row r="419">
      <c r="A419" s="9" t="inlineStr">
        <is>
          <t>169294-60</t>
        </is>
      </c>
      <c r="B419" s="10" t="inlineStr">
        <is>
          <t>Verdical</t>
        </is>
      </c>
      <c r="C419" s="11" t="inlineStr">
        <is>
          <t>94704</t>
        </is>
      </c>
      <c r="D419" s="12" t="inlineStr">
        <is>
          <t>Developer of an indoor food growing system. The company designs and develops a vertical hydroponic indoor farming system that uses horticultural LED's and temperature controlling sensors to grow fruits and vegetables at homes.</t>
        </is>
      </c>
      <c r="E419" s="13" t="inlineStr">
        <is>
          <t>Electronics (B2C)</t>
        </is>
      </c>
      <c r="F419" s="14" t="inlineStr">
        <is>
          <t>Berkeley, CA</t>
        </is>
      </c>
      <c r="G419" s="15" t="inlineStr">
        <is>
          <t>Privately Held (backing)</t>
        </is>
      </c>
      <c r="H419" s="16" t="inlineStr">
        <is>
          <t>Accelerator/Incubator Backed</t>
        </is>
      </c>
      <c r="I419" s="17" t="inlineStr">
        <is>
          <t>Skydeck | Berkeley</t>
        </is>
      </c>
      <c r="J419" s="18" t="inlineStr">
        <is>
          <t>www.verdical.io</t>
        </is>
      </c>
      <c r="K419" s="19" t="inlineStr">
        <is>
          <t>smarx@verdical.io</t>
        </is>
      </c>
      <c r="L419" s="20" t="inlineStr">
        <is>
          <t>+1 (925) 262-3886</t>
        </is>
      </c>
      <c r="M419" s="21" t="inlineStr">
        <is>
          <t>Spencer Marx</t>
        </is>
      </c>
      <c r="N419" s="22" t="inlineStr">
        <is>
          <t>Co-Founder &amp; Chief Executive Officer</t>
        </is>
      </c>
      <c r="O419" s="23" t="inlineStr">
        <is>
          <t>smarx@verdical.io</t>
        </is>
      </c>
      <c r="P419" s="24" t="inlineStr">
        <is>
          <t>+1 (925) 262-3886</t>
        </is>
      </c>
      <c r="Q419" s="25" t="n">
        <v>2016.0</v>
      </c>
      <c r="R419" s="113">
        <f>HYPERLINK("https://my.pitchbook.com?c=169294-60", "View company online")</f>
      </c>
    </row>
    <row r="420">
      <c r="A420" s="27" t="inlineStr">
        <is>
          <t>123639-40</t>
        </is>
      </c>
      <c r="B420" s="28" t="inlineStr">
        <is>
          <t>Verbatm</t>
        </is>
      </c>
      <c r="C420" s="29" t="inlineStr">
        <is>
          <t/>
        </is>
      </c>
      <c r="D420" s="30" t="inlineStr">
        <is>
          <t>Developer and provider of a mobile based citizen journalism application. The company provides an application which helps the millennial generation to transform first person perspectives into multimedia to be shared and disseminated among the users.</t>
        </is>
      </c>
      <c r="E420" s="31" t="inlineStr">
        <is>
          <t>Application Software</t>
        </is>
      </c>
      <c r="F420" s="32" t="inlineStr">
        <is>
          <t>San Francisco, CA</t>
        </is>
      </c>
      <c r="G420" s="33" t="inlineStr">
        <is>
          <t>Privately Held (backing)</t>
        </is>
      </c>
      <c r="H420" s="34" t="inlineStr">
        <is>
          <t>Accelerator/Incubator Backed</t>
        </is>
      </c>
      <c r="I420" s="35" t="inlineStr">
        <is>
          <t>Matter Ventures, Pear Ventures</t>
        </is>
      </c>
      <c r="J420" s="36" t="inlineStr">
        <is>
          <t>www.myverbatm.com</t>
        </is>
      </c>
      <c r="K420" s="37" t="inlineStr">
        <is>
          <t>founders@myverbatm.com</t>
        </is>
      </c>
      <c r="L420" s="38" t="inlineStr">
        <is>
          <t/>
        </is>
      </c>
      <c r="M420" s="39" t="inlineStr">
        <is>
          <t>Aishwarya Vardhana</t>
        </is>
      </c>
      <c r="N420" s="40" t="inlineStr">
        <is>
          <t>Co-Founder &amp; Designer-in-Chief</t>
        </is>
      </c>
      <c r="O420" s="41" t="inlineStr">
        <is>
          <t>aishwarya@myverbatm.com</t>
        </is>
      </c>
      <c r="P420" s="42" t="inlineStr">
        <is>
          <t/>
        </is>
      </c>
      <c r="Q420" s="43" t="n">
        <v>2014.0</v>
      </c>
      <c r="R420" s="114">
        <f>HYPERLINK("https://my.pitchbook.com?c=123639-40", "View company online")</f>
      </c>
    </row>
    <row r="421">
      <c r="A421" s="9" t="inlineStr">
        <is>
          <t>104761-54</t>
        </is>
      </c>
      <c r="B421" s="10" t="inlineStr">
        <is>
          <t>Venyooz</t>
        </is>
      </c>
      <c r="C421" s="11" t="inlineStr">
        <is>
          <t>90401</t>
        </is>
      </c>
      <c r="D421" s="12" t="inlineStr">
        <is>
          <t>Provider of an online marketplace that allows users to find and rent spaces. The company offers an online peer to peer marketplace that works with schools, churches, community centers and other businesses to rent spaces for everyday activities, such as playgroups, meetups, fitness classes and workshops.</t>
        </is>
      </c>
      <c r="E421" s="13" t="inlineStr">
        <is>
          <t>Social/Platform Software</t>
        </is>
      </c>
      <c r="F421" s="14" t="inlineStr">
        <is>
          <t>Santa Monica, CA</t>
        </is>
      </c>
      <c r="G421" s="15" t="inlineStr">
        <is>
          <t>Privately Held (backing)</t>
        </is>
      </c>
      <c r="H421" s="16" t="inlineStr">
        <is>
          <t>Angel-Backed</t>
        </is>
      </c>
      <c r="I421" s="17" t="inlineStr">
        <is>
          <t/>
        </is>
      </c>
      <c r="J421" s="18" t="inlineStr">
        <is>
          <t>www.venyooz.com</t>
        </is>
      </c>
      <c r="K421" s="19" t="inlineStr">
        <is>
          <t>info@venyooz.com</t>
        </is>
      </c>
      <c r="L421" s="20" t="inlineStr">
        <is>
          <t>+1 (310) 745-3550</t>
        </is>
      </c>
      <c r="M421" s="21" t="inlineStr">
        <is>
          <t>Lauren Shapiro</t>
        </is>
      </c>
      <c r="N421" s="22" t="inlineStr">
        <is>
          <t>President, Promoter, Director, Chief Executive Officer &amp; Co-Founder</t>
        </is>
      </c>
      <c r="O421" s="23" t="inlineStr">
        <is>
          <t>lauren@venyooz.com</t>
        </is>
      </c>
      <c r="P421" s="24" t="inlineStr">
        <is>
          <t>+1 (310) 745-3550</t>
        </is>
      </c>
      <c r="Q421" s="25" t="n">
        <v>2012.0</v>
      </c>
      <c r="R421" s="113">
        <f>HYPERLINK("https://my.pitchbook.com?c=104761-54", "View company online")</f>
      </c>
    </row>
    <row r="422">
      <c r="A422" s="27" t="inlineStr">
        <is>
          <t>171944-02</t>
        </is>
      </c>
      <c r="B422" s="28" t="inlineStr">
        <is>
          <t>Venuelytics</t>
        </is>
      </c>
      <c r="C422" s="86">
        <f>HYPERLINK("https://my.pitchbook.com?rrp=171944-02&amp;type=c", "This Company's information is not available to download. Need this Company? Request availability")</f>
      </c>
      <c r="D422" s="30" t="inlineStr">
        <is>
          <t/>
        </is>
      </c>
      <c r="E422" s="31" t="inlineStr">
        <is>
          <t/>
        </is>
      </c>
      <c r="F422" s="32" t="inlineStr">
        <is>
          <t/>
        </is>
      </c>
      <c r="G422" s="33" t="inlineStr">
        <is>
          <t/>
        </is>
      </c>
      <c r="H422" s="34" t="inlineStr">
        <is>
          <t/>
        </is>
      </c>
      <c r="I422" s="35" t="inlineStr">
        <is>
          <t/>
        </is>
      </c>
      <c r="J422" s="36" t="inlineStr">
        <is>
          <t/>
        </is>
      </c>
      <c r="K422" s="37" t="inlineStr">
        <is>
          <t/>
        </is>
      </c>
      <c r="L422" s="38" t="inlineStr">
        <is>
          <t/>
        </is>
      </c>
      <c r="M422" s="39" t="inlineStr">
        <is>
          <t/>
        </is>
      </c>
      <c r="N422" s="40" t="inlineStr">
        <is>
          <t/>
        </is>
      </c>
      <c r="O422" s="41" t="inlineStr">
        <is>
          <t/>
        </is>
      </c>
      <c r="P422" s="42" t="inlineStr">
        <is>
          <t/>
        </is>
      </c>
      <c r="Q422" s="43" t="inlineStr">
        <is>
          <t/>
        </is>
      </c>
      <c r="R422" s="44" t="inlineStr">
        <is>
          <t/>
        </is>
      </c>
    </row>
    <row r="423">
      <c r="A423" s="9" t="inlineStr">
        <is>
          <t>97188-85</t>
        </is>
      </c>
      <c r="B423" s="10" t="inlineStr">
        <is>
          <t>Venue Report</t>
        </is>
      </c>
      <c r="C423" s="11" t="inlineStr">
        <is>
          <t>92024</t>
        </is>
      </c>
      <c r="D423" s="12" t="inlineStr">
        <is>
          <t>Provider of an online platform for event venues. The company provides a web-based, curated guide to gathering locations and events across the globe.</t>
        </is>
      </c>
      <c r="E423" s="13" t="inlineStr">
        <is>
          <t>Other Services (B2C Non-Financial)</t>
        </is>
      </c>
      <c r="F423" s="14" t="inlineStr">
        <is>
          <t>Encinitas, CA</t>
        </is>
      </c>
      <c r="G423" s="15" t="inlineStr">
        <is>
          <t>Privately Held (backing)</t>
        </is>
      </c>
      <c r="H423" s="16" t="inlineStr">
        <is>
          <t>Angel-Backed</t>
        </is>
      </c>
      <c r="I423" s="17" t="inlineStr">
        <is>
          <t>Tech Coast Angels</t>
        </is>
      </c>
      <c r="J423" s="18" t="inlineStr">
        <is>
          <t>www.venuereport.com</t>
        </is>
      </c>
      <c r="K423" s="19" t="inlineStr">
        <is>
          <t>info@venuereport.com</t>
        </is>
      </c>
      <c r="L423" s="20" t="inlineStr">
        <is>
          <t>+1 (760) 652-9046</t>
        </is>
      </c>
      <c r="M423" s="21" t="inlineStr">
        <is>
          <t>Cortnie Purdy-Fausner</t>
        </is>
      </c>
      <c r="N423" s="22" t="inlineStr">
        <is>
          <t>Co-Founder, Board Member, Chief Executive Officer &amp; Creative Director</t>
        </is>
      </c>
      <c r="O423" s="23" t="inlineStr">
        <is>
          <t>cortnie@venuereport.com</t>
        </is>
      </c>
      <c r="P423" s="24" t="inlineStr">
        <is>
          <t>+1 (760) 652-9046</t>
        </is>
      </c>
      <c r="Q423" s="25" t="n">
        <v>2013.0</v>
      </c>
      <c r="R423" s="113">
        <f>HYPERLINK("https://my.pitchbook.com?c=97188-85", "View company online")</f>
      </c>
    </row>
    <row r="424">
      <c r="A424" s="27" t="inlineStr">
        <is>
          <t>176821-66</t>
        </is>
      </c>
      <c r="B424" s="28" t="inlineStr">
        <is>
          <t>Venture West Funding</t>
        </is>
      </c>
      <c r="C424" s="86">
        <f>HYPERLINK("https://my.pitchbook.com?rrp=176821-66&amp;type=c", "This Company's information is not available to download. Need this Company? Request availability")</f>
      </c>
      <c r="D424" s="30" t="inlineStr">
        <is>
          <t/>
        </is>
      </c>
      <c r="E424" s="31" t="inlineStr">
        <is>
          <t/>
        </is>
      </c>
      <c r="F424" s="32" t="inlineStr">
        <is>
          <t/>
        </is>
      </c>
      <c r="G424" s="33" t="inlineStr">
        <is>
          <t/>
        </is>
      </c>
      <c r="H424" s="34" t="inlineStr">
        <is>
          <t/>
        </is>
      </c>
      <c r="I424" s="35" t="inlineStr">
        <is>
          <t/>
        </is>
      </c>
      <c r="J424" s="36" t="inlineStr">
        <is>
          <t/>
        </is>
      </c>
      <c r="K424" s="37" t="inlineStr">
        <is>
          <t/>
        </is>
      </c>
      <c r="L424" s="38" t="inlineStr">
        <is>
          <t/>
        </is>
      </c>
      <c r="M424" s="39" t="inlineStr">
        <is>
          <t/>
        </is>
      </c>
      <c r="N424" s="40" t="inlineStr">
        <is>
          <t/>
        </is>
      </c>
      <c r="O424" s="41" t="inlineStr">
        <is>
          <t/>
        </is>
      </c>
      <c r="P424" s="42" t="inlineStr">
        <is>
          <t/>
        </is>
      </c>
      <c r="Q424" s="43" t="inlineStr">
        <is>
          <t/>
        </is>
      </c>
      <c r="R424" s="44" t="inlineStr">
        <is>
          <t/>
        </is>
      </c>
    </row>
    <row r="425">
      <c r="A425" s="9" t="inlineStr">
        <is>
          <t>173922-67</t>
        </is>
      </c>
      <c r="B425" s="10" t="inlineStr">
        <is>
          <t>Ventura County Office of Education</t>
        </is>
      </c>
      <c r="C425" s="85">
        <f>HYPERLINK("https://my.pitchbook.com?rrp=173922-67&amp;type=c", "This Company's information is not available to download. Need this Company? Request availability")</f>
      </c>
      <c r="D425" s="12" t="inlineStr">
        <is>
          <t/>
        </is>
      </c>
      <c r="E425" s="13" t="inlineStr">
        <is>
          <t/>
        </is>
      </c>
      <c r="F425" s="14" t="inlineStr">
        <is>
          <t/>
        </is>
      </c>
      <c r="G425" s="15" t="inlineStr">
        <is>
          <t/>
        </is>
      </c>
      <c r="H425" s="16" t="inlineStr">
        <is>
          <t/>
        </is>
      </c>
      <c r="I425" s="17" t="inlineStr">
        <is>
          <t/>
        </is>
      </c>
      <c r="J425" s="18" t="inlineStr">
        <is>
          <t/>
        </is>
      </c>
      <c r="K425" s="19" t="inlineStr">
        <is>
          <t/>
        </is>
      </c>
      <c r="L425" s="20" t="inlineStr">
        <is>
          <t/>
        </is>
      </c>
      <c r="M425" s="21" t="inlineStr">
        <is>
          <t/>
        </is>
      </c>
      <c r="N425" s="22" t="inlineStr">
        <is>
          <t/>
        </is>
      </c>
      <c r="O425" s="23" t="inlineStr">
        <is>
          <t/>
        </is>
      </c>
      <c r="P425" s="24" t="inlineStr">
        <is>
          <t/>
        </is>
      </c>
      <c r="Q425" s="25" t="inlineStr">
        <is>
          <t/>
        </is>
      </c>
      <c r="R425" s="26" t="inlineStr">
        <is>
          <t/>
        </is>
      </c>
    </row>
    <row r="426">
      <c r="A426" s="27" t="inlineStr">
        <is>
          <t>63605-17</t>
        </is>
      </c>
      <c r="B426" s="28" t="inlineStr">
        <is>
          <t>Venovate</t>
        </is>
      </c>
      <c r="C426" s="29" t="inlineStr">
        <is>
          <t>94111</t>
        </is>
      </c>
      <c r="D426" s="30" t="inlineStr">
        <is>
          <t>Provider of an online financial platform. The company's software helps accredited investors and institutions to invest and trade alternative assets, which include private equity, hedge funds, real estate, natural resources and venture capital.</t>
        </is>
      </c>
      <c r="E426" s="31" t="inlineStr">
        <is>
          <t>Social/Platform Software</t>
        </is>
      </c>
      <c r="F426" s="32" t="inlineStr">
        <is>
          <t>San Francisco, CA</t>
        </is>
      </c>
      <c r="G426" s="33" t="inlineStr">
        <is>
          <t>Privately Held (backing)</t>
        </is>
      </c>
      <c r="H426" s="34" t="inlineStr">
        <is>
          <t>Accelerator/Incubator Backed</t>
        </is>
      </c>
      <c r="I426" s="35" t="inlineStr">
        <is>
          <t>YouWeb</t>
        </is>
      </c>
      <c r="J426" s="36" t="inlineStr">
        <is>
          <t>www.venovate.com</t>
        </is>
      </c>
      <c r="K426" s="37" t="inlineStr">
        <is>
          <t/>
        </is>
      </c>
      <c r="L426" s="38" t="inlineStr">
        <is>
          <t/>
        </is>
      </c>
      <c r="M426" s="39" t="inlineStr">
        <is>
          <t>Keith Corbin</t>
        </is>
      </c>
      <c r="N426" s="40" t="inlineStr">
        <is>
          <t>Chief Financial Officer</t>
        </is>
      </c>
      <c r="O426" s="41" t="inlineStr">
        <is>
          <t>keith@venovate.com</t>
        </is>
      </c>
      <c r="P426" s="42" t="inlineStr">
        <is>
          <t/>
        </is>
      </c>
      <c r="Q426" s="43" t="n">
        <v>2013.0</v>
      </c>
      <c r="R426" s="114">
        <f>HYPERLINK("https://my.pitchbook.com?c=63605-17", "View company online")</f>
      </c>
    </row>
    <row r="427">
      <c r="A427" s="9" t="inlineStr">
        <is>
          <t>169312-51</t>
        </is>
      </c>
      <c r="B427" s="10" t="inlineStr">
        <is>
          <t>Venomyx Therapeutics</t>
        </is>
      </c>
      <c r="C427" s="11" t="inlineStr">
        <is>
          <t>94103</t>
        </is>
      </c>
      <c r="D427" s="12" t="inlineStr">
        <is>
          <t>Developer of antivenom. The company has created toxin-specific snake antivenom.</t>
        </is>
      </c>
      <c r="E427" s="13" t="inlineStr">
        <is>
          <t>Drug Discovery</t>
        </is>
      </c>
      <c r="F427" s="14" t="inlineStr">
        <is>
          <t>San Francisco, CA</t>
        </is>
      </c>
      <c r="G427" s="15" t="inlineStr">
        <is>
          <t>Privately Held (backing)</t>
        </is>
      </c>
      <c r="H427" s="16" t="inlineStr">
        <is>
          <t>Accelerator/Incubator Backed</t>
        </is>
      </c>
      <c r="I427" s="17" t="inlineStr">
        <is>
          <t>SOSV</t>
        </is>
      </c>
      <c r="J427" s="18" t="inlineStr">
        <is>
          <t>www.venomyx.com</t>
        </is>
      </c>
      <c r="K427" s="19" t="inlineStr">
        <is>
          <t>info@venomyx.com</t>
        </is>
      </c>
      <c r="L427" s="20" t="inlineStr">
        <is>
          <t>+1 (858) 531-8336</t>
        </is>
      </c>
      <c r="M427" s="21" t="inlineStr">
        <is>
          <t>Daniel Dempsey</t>
        </is>
      </c>
      <c r="N427" s="22" t="inlineStr">
        <is>
          <t>Chief Executive Officer &amp; Founder</t>
        </is>
      </c>
      <c r="O427" s="23" t="inlineStr">
        <is>
          <t>ddempsey@venomyx.com</t>
        </is>
      </c>
      <c r="P427" s="24" t="inlineStr">
        <is>
          <t>+1 (858) 531-8336</t>
        </is>
      </c>
      <c r="Q427" s="25" t="n">
        <v>2015.0</v>
      </c>
      <c r="R427" s="113">
        <f>HYPERLINK("https://my.pitchbook.com?c=169312-51", "View company online")</f>
      </c>
    </row>
    <row r="428">
      <c r="A428" s="27" t="inlineStr">
        <is>
          <t>118598-77</t>
        </is>
      </c>
      <c r="B428" s="28" t="inlineStr">
        <is>
          <t>Vendri</t>
        </is>
      </c>
      <c r="C428" s="29" t="inlineStr">
        <is>
          <t>94107</t>
        </is>
      </c>
      <c r="D428" s="30" t="inlineStr">
        <is>
          <t>Developer of an online media files management system. The company helps to deliver, stream, protect, record, and play owned and third party media and monetize with ads using any technology on any device and browser.</t>
        </is>
      </c>
      <c r="E428" s="31" t="inlineStr">
        <is>
          <t>Network Management Software</t>
        </is>
      </c>
      <c r="F428" s="32" t="inlineStr">
        <is>
          <t>San Francisco, CA</t>
        </is>
      </c>
      <c r="G428" s="33" t="inlineStr">
        <is>
          <t>Privately Held (backing)</t>
        </is>
      </c>
      <c r="H428" s="34" t="inlineStr">
        <is>
          <t>Accelerator/Incubator Backed</t>
        </is>
      </c>
      <c r="I428" s="35" t="inlineStr">
        <is>
          <t>Carthona Capital, Chris Hulls, Founder.org, Wharton Venture Initiation Program</t>
        </is>
      </c>
      <c r="J428" s="36" t="inlineStr">
        <is>
          <t>www.vendri.com</t>
        </is>
      </c>
      <c r="K428" s="37" t="inlineStr">
        <is>
          <t>sayhi@vendri.com</t>
        </is>
      </c>
      <c r="L428" s="38" t="inlineStr">
        <is>
          <t/>
        </is>
      </c>
      <c r="M428" s="39" t="inlineStr">
        <is>
          <t>Jon Jones</t>
        </is>
      </c>
      <c r="N428" s="40" t="inlineStr">
        <is>
          <t>Co-Founder &amp; Advisor</t>
        </is>
      </c>
      <c r="O428" s="41" t="inlineStr">
        <is>
          <t>jon@gsvlabs.com</t>
        </is>
      </c>
      <c r="P428" s="42" t="inlineStr">
        <is>
          <t>+1 (650) 421-2000</t>
        </is>
      </c>
      <c r="Q428" s="43" t="n">
        <v>2014.0</v>
      </c>
      <c r="R428" s="114">
        <f>HYPERLINK("https://my.pitchbook.com?c=118598-77", "View company online")</f>
      </c>
    </row>
    <row r="429">
      <c r="A429" s="9" t="inlineStr">
        <is>
          <t>104760-28</t>
        </is>
      </c>
      <c r="B429" s="10" t="inlineStr">
        <is>
          <t>VendOp</t>
        </is>
      </c>
      <c r="C429" s="11" t="inlineStr">
        <is>
          <t>94104</t>
        </is>
      </c>
      <c r="D429" s="12" t="inlineStr">
        <is>
          <t>Provider of a platform for professionals to share ratings and reviews of business and industrial vendors. The company allows professionals to get first-hand insights on all types of vendors injection molding, component suppliers, 3D printers, precision vises and also share their experiences and opinions with other professionals in the community.</t>
        </is>
      </c>
      <c r="E429" s="13" t="inlineStr">
        <is>
          <t>Social/Platform Software</t>
        </is>
      </c>
      <c r="F429" s="14" t="inlineStr">
        <is>
          <t>San Francisco, CA</t>
        </is>
      </c>
      <c r="G429" s="15" t="inlineStr">
        <is>
          <t>Privately Held (backing)</t>
        </is>
      </c>
      <c r="H429" s="16" t="inlineStr">
        <is>
          <t>Angel-Backed</t>
        </is>
      </c>
      <c r="I429" s="17" t="inlineStr">
        <is>
          <t>Dan Bruckner, Leonard Lodish, Martin Lautman, Steve Katz</t>
        </is>
      </c>
      <c r="J429" s="18" t="inlineStr">
        <is>
          <t>www.vendop.com</t>
        </is>
      </c>
      <c r="K429" s="19" t="inlineStr">
        <is>
          <t>feedback@vendop.com</t>
        </is>
      </c>
      <c r="L429" s="20" t="inlineStr">
        <is>
          <t/>
        </is>
      </c>
      <c r="M429" s="21" t="inlineStr">
        <is>
          <t>Andrew Kohm</t>
        </is>
      </c>
      <c r="N429" s="22" t="inlineStr">
        <is>
          <t>Co-Founder &amp; Chief Executive Officer</t>
        </is>
      </c>
      <c r="O429" s="23" t="inlineStr">
        <is>
          <t>andy@vendop.com</t>
        </is>
      </c>
      <c r="P429" s="24" t="inlineStr">
        <is>
          <t/>
        </is>
      </c>
      <c r="Q429" s="25" t="n">
        <v>2013.0</v>
      </c>
      <c r="R429" s="113">
        <f>HYPERLINK("https://my.pitchbook.com?c=104760-28", "View company online")</f>
      </c>
    </row>
    <row r="430">
      <c r="A430" s="27" t="inlineStr">
        <is>
          <t>103400-83</t>
        </is>
      </c>
      <c r="B430" s="28" t="inlineStr">
        <is>
          <t>Vendigi</t>
        </is>
      </c>
      <c r="C430" s="29" t="inlineStr">
        <is>
          <t>92128</t>
        </is>
      </c>
      <c r="D430" s="30" t="inlineStr">
        <is>
          <t>Provider of digital marketing and advertisement services. The company offers a real estate technology platform that enables marketers to market and promote their real estate business and connect with home owners and lenders.</t>
        </is>
      </c>
      <c r="E430" s="31" t="inlineStr">
        <is>
          <t>Social/Platform Software</t>
        </is>
      </c>
      <c r="F430" s="32" t="inlineStr">
        <is>
          <t>San Diego, CA</t>
        </is>
      </c>
      <c r="G430" s="33" t="inlineStr">
        <is>
          <t>Privately Held (backing)</t>
        </is>
      </c>
      <c r="H430" s="34" t="inlineStr">
        <is>
          <t>Angel-Backed</t>
        </is>
      </c>
      <c r="I430" s="35" t="inlineStr">
        <is>
          <t/>
        </is>
      </c>
      <c r="J430" s="36" t="inlineStr">
        <is>
          <t>www.vendigi.com</t>
        </is>
      </c>
      <c r="K430" s="37" t="inlineStr">
        <is>
          <t>info@vendigi.com</t>
        </is>
      </c>
      <c r="L430" s="38" t="inlineStr">
        <is>
          <t>+1 (858) 353-4243</t>
        </is>
      </c>
      <c r="M430" s="39" t="inlineStr">
        <is>
          <t>Trent Gardner</t>
        </is>
      </c>
      <c r="N430" s="40" t="inlineStr">
        <is>
          <t>Co-Founder &amp; Chief Executive Officer</t>
        </is>
      </c>
      <c r="O430" s="41" t="inlineStr">
        <is>
          <t>trent@vendigi.com</t>
        </is>
      </c>
      <c r="P430" s="42" t="inlineStr">
        <is>
          <t>+1 (858) 353-4243</t>
        </is>
      </c>
      <c r="Q430" s="43" t="n">
        <v>2014.0</v>
      </c>
      <c r="R430" s="114">
        <f>HYPERLINK("https://my.pitchbook.com?c=103400-83", "View company online")</f>
      </c>
    </row>
    <row r="431">
      <c r="A431" s="9" t="inlineStr">
        <is>
          <t>103355-29</t>
        </is>
      </c>
      <c r="B431" s="10" t="inlineStr">
        <is>
          <t>Vencosba</t>
        </is>
      </c>
      <c r="C431" s="11" t="inlineStr">
        <is>
          <t>93036</t>
        </is>
      </c>
      <c r="D431" s="12" t="inlineStr">
        <is>
          <t>Operator of a performance based consulting firm. The company provides venture development, investment holdings, angel investment services for small businesses and start up entrepreneurs.</t>
        </is>
      </c>
      <c r="E431" s="13" t="inlineStr">
        <is>
          <t>Consulting Services (B2B)</t>
        </is>
      </c>
      <c r="F431" s="14" t="inlineStr">
        <is>
          <t>Oxnard, CA</t>
        </is>
      </c>
      <c r="G431" s="15" t="inlineStr">
        <is>
          <t>Privately Held (backing)</t>
        </is>
      </c>
      <c r="H431" s="16" t="inlineStr">
        <is>
          <t>Accelerator/Incubator Backed</t>
        </is>
      </c>
      <c r="I431" s="17" t="inlineStr">
        <is>
          <t>The Lights on Lab</t>
        </is>
      </c>
      <c r="J431" s="18" t="inlineStr">
        <is>
          <t>www.vencosba.com</t>
        </is>
      </c>
      <c r="K431" s="19" t="inlineStr">
        <is>
          <t>contact@vencosba.com</t>
        </is>
      </c>
      <c r="L431" s="20" t="inlineStr">
        <is>
          <t>+1 (805) 217-6185</t>
        </is>
      </c>
      <c r="M431" s="21" t="inlineStr">
        <is>
          <t>Jeff McDermott</t>
        </is>
      </c>
      <c r="N431" s="22" t="inlineStr">
        <is>
          <t>Founder &amp; Chief Executive Officer</t>
        </is>
      </c>
      <c r="O431" s="23" t="inlineStr">
        <is>
          <t/>
        </is>
      </c>
      <c r="P431" s="24" t="inlineStr">
        <is>
          <t/>
        </is>
      </c>
      <c r="Q431" s="25" t="n">
        <v>2014.0</v>
      </c>
      <c r="R431" s="113">
        <f>HYPERLINK("https://my.pitchbook.com?c=103355-29", "View company online")</f>
      </c>
    </row>
    <row r="432">
      <c r="A432" s="27" t="inlineStr">
        <is>
          <t>171815-95</t>
        </is>
      </c>
      <c r="B432" s="28" t="inlineStr">
        <is>
          <t>Vence</t>
        </is>
      </c>
      <c r="C432" s="29" t="inlineStr">
        <is>
          <t>94025</t>
        </is>
      </c>
      <c r="D432" s="30" t="inlineStr">
        <is>
          <t>Developer of a livestock management system designed to increase stocking rate and farm yields. The company's livestock management system creates automation of rotational grazing, creates virtual paddocks and maximize the utilization of land and monitors the health and fertility of animals and send alerts, enabling farm owners to increase revenues, eliminate fencing costs and reduce labor expenses.</t>
        </is>
      </c>
      <c r="E432" s="31" t="inlineStr">
        <is>
          <t>Business/Productivity Software</t>
        </is>
      </c>
      <c r="F432" s="32" t="inlineStr">
        <is>
          <t>Menlo Park, CA</t>
        </is>
      </c>
      <c r="G432" s="33" t="inlineStr">
        <is>
          <t>Privately Held (backing)</t>
        </is>
      </c>
      <c r="H432" s="34" t="inlineStr">
        <is>
          <t>Accelerator/Incubator Backed</t>
        </is>
      </c>
      <c r="I432" s="35" t="inlineStr">
        <is>
          <t>MassChallenge</t>
        </is>
      </c>
      <c r="J432" s="36" t="inlineStr">
        <is>
          <t>www.vence.io</t>
        </is>
      </c>
      <c r="K432" s="37" t="inlineStr">
        <is>
          <t>frank@vence.io</t>
        </is>
      </c>
      <c r="L432" s="38" t="inlineStr">
        <is>
          <t/>
        </is>
      </c>
      <c r="M432" s="39" t="inlineStr">
        <is>
          <t>Frank Wooten</t>
        </is>
      </c>
      <c r="N432" s="40" t="inlineStr">
        <is>
          <t>Chief Executive Officer</t>
        </is>
      </c>
      <c r="O432" s="41" t="inlineStr">
        <is>
          <t>frank@vence.io</t>
        </is>
      </c>
      <c r="P432" s="42" t="inlineStr">
        <is>
          <t/>
        </is>
      </c>
      <c r="Q432" s="43" t="n">
        <v>2016.0</v>
      </c>
      <c r="R432" s="114">
        <f>HYPERLINK("https://my.pitchbook.com?c=171815-95", "View company online")</f>
      </c>
    </row>
    <row r="433">
      <c r="A433" s="9" t="inlineStr">
        <is>
          <t>167195-26</t>
        </is>
      </c>
      <c r="B433" s="10" t="inlineStr">
        <is>
          <t>VENA (atmosperic water generation technology company)</t>
        </is>
      </c>
      <c r="C433" s="11" t="inlineStr">
        <is>
          <t>90013</t>
        </is>
      </c>
      <c r="D433" s="12" t="inlineStr">
        <is>
          <t>Developer of atmospheric water generators. The company specializes in developing low cost atmospheric water generators and power-free water condensers that helps in providing water for people living in arid conditions.</t>
        </is>
      </c>
      <c r="E433" s="13" t="inlineStr">
        <is>
          <t>Other Commercial Products</t>
        </is>
      </c>
      <c r="F433" s="14" t="inlineStr">
        <is>
          <t>Los Angeles, CA</t>
        </is>
      </c>
      <c r="G433" s="15" t="inlineStr">
        <is>
          <t>Privately Held (backing)</t>
        </is>
      </c>
      <c r="H433" s="16" t="inlineStr">
        <is>
          <t>Accelerator/Incubator Backed</t>
        </is>
      </c>
      <c r="I433" s="17" t="inlineStr">
        <is>
          <t>Los Angeles Cleantech Incubator, SDSU Zahn Innovation Center</t>
        </is>
      </c>
      <c r="J433" s="18" t="inlineStr">
        <is>
          <t>www.venawater.com</t>
        </is>
      </c>
      <c r="K433" s="19" t="inlineStr">
        <is>
          <t/>
        </is>
      </c>
      <c r="L433" s="20" t="inlineStr">
        <is>
          <t/>
        </is>
      </c>
      <c r="M433" s="21" t="inlineStr">
        <is>
          <t>John Walsh</t>
        </is>
      </c>
      <c r="N433" s="22" t="inlineStr">
        <is>
          <t>Co-Founder &amp; Chief Executive Officer</t>
        </is>
      </c>
      <c r="O433" s="23" t="inlineStr">
        <is>
          <t>john@venawater.com</t>
        </is>
      </c>
      <c r="P433" s="24" t="inlineStr">
        <is>
          <t/>
        </is>
      </c>
      <c r="Q433" s="25" t="n">
        <v>2014.0</v>
      </c>
      <c r="R433" s="113">
        <f>HYPERLINK("https://my.pitchbook.com?c=167195-26", "View company online")</f>
      </c>
    </row>
    <row r="434">
      <c r="A434" s="27" t="inlineStr">
        <is>
          <t>122547-52</t>
        </is>
      </c>
      <c r="B434" s="28" t="inlineStr">
        <is>
          <t>Velocity Signs</t>
        </is>
      </c>
      <c r="C434" s="29" t="inlineStr">
        <is>
          <t>95838</t>
        </is>
      </c>
      <c r="D434" s="30" t="inlineStr">
        <is>
          <t>Manufacturer of portable and rechargeable sign-waving machines. The company manufactures battery operated, portable and durable sign-waving machines that help businesses to improve their sales by directing and informing customers about the businesses.</t>
        </is>
      </c>
      <c r="E434" s="31" t="inlineStr">
        <is>
          <t>Electrical Equipment</t>
        </is>
      </c>
      <c r="F434" s="32" t="inlineStr">
        <is>
          <t>Sacramento, CA</t>
        </is>
      </c>
      <c r="G434" s="33" t="inlineStr">
        <is>
          <t>Privately Held (backing)</t>
        </is>
      </c>
      <c r="H434" s="34" t="inlineStr">
        <is>
          <t>Angel-Backed</t>
        </is>
      </c>
      <c r="I434" s="35" t="inlineStr">
        <is>
          <t>Kevin O'Leary, Mark Cuban, Robert Herjavec</t>
        </is>
      </c>
      <c r="J434" s="36" t="inlineStr">
        <is>
          <t>www.velocitysigns.com</t>
        </is>
      </c>
      <c r="K434" s="37" t="inlineStr">
        <is>
          <t>info@velocitysigns.com</t>
        </is>
      </c>
      <c r="L434" s="38" t="inlineStr">
        <is>
          <t>+1 (260) 207-4467</t>
        </is>
      </c>
      <c r="M434" s="39" t="inlineStr">
        <is>
          <t>Josh Faherty</t>
        </is>
      </c>
      <c r="N434" s="40" t="inlineStr">
        <is>
          <t>Co-Founder</t>
        </is>
      </c>
      <c r="O434" s="41" t="inlineStr">
        <is>
          <t>josh.faherty@velocitysigns.com</t>
        </is>
      </c>
      <c r="P434" s="42" t="inlineStr">
        <is>
          <t>+1 (260) 207-4467</t>
        </is>
      </c>
      <c r="Q434" s="43" t="n">
        <v>2006.0</v>
      </c>
      <c r="R434" s="114">
        <f>HYPERLINK("https://my.pitchbook.com?c=122547-52", "View company online")</f>
      </c>
    </row>
    <row r="435">
      <c r="A435" s="9" t="inlineStr">
        <is>
          <t>106980-22</t>
        </is>
      </c>
      <c r="B435" s="10" t="inlineStr">
        <is>
          <t>Velo3D</t>
        </is>
      </c>
      <c r="C435" s="11" t="inlineStr">
        <is>
          <t>95054</t>
        </is>
      </c>
      <c r="D435" s="12" t="inlineStr">
        <is>
          <t>The company is currently operating in Stealth mode.</t>
        </is>
      </c>
      <c r="E435" s="13" t="inlineStr">
        <is>
          <t>Other Business Products and Services</t>
        </is>
      </c>
      <c r="F435" s="14" t="inlineStr">
        <is>
          <t>Santa Clara, CA</t>
        </is>
      </c>
      <c r="G435" s="15" t="inlineStr">
        <is>
          <t>Privately Held (backing)</t>
        </is>
      </c>
      <c r="H435" s="16" t="inlineStr">
        <is>
          <t>Accelerator/Incubator Backed</t>
        </is>
      </c>
      <c r="I435" s="17" t="inlineStr">
        <is>
          <t>Flextronics Lab IX, Khosla Ventures</t>
        </is>
      </c>
      <c r="J435" s="18" t="inlineStr">
        <is>
          <t/>
        </is>
      </c>
      <c r="K435" s="19" t="inlineStr">
        <is>
          <t/>
        </is>
      </c>
      <c r="L435" s="20" t="inlineStr">
        <is>
          <t>+1 (408) 489-2031</t>
        </is>
      </c>
      <c r="M435" s="21" t="inlineStr">
        <is>
          <t>Erel Milshtein</t>
        </is>
      </c>
      <c r="N435" s="22" t="inlineStr">
        <is>
          <t>Co-Founder &amp; Vice President, Research &amp; Development</t>
        </is>
      </c>
      <c r="O435" s="23" t="inlineStr">
        <is>
          <t/>
        </is>
      </c>
      <c r="P435" s="24" t="inlineStr">
        <is>
          <t>+1 (408) 489-2031</t>
        </is>
      </c>
      <c r="Q435" s="25" t="n">
        <v>2014.0</v>
      </c>
      <c r="R435" s="113">
        <f>HYPERLINK("https://my.pitchbook.com?c=106980-22", "View company online")</f>
      </c>
    </row>
    <row r="436">
      <c r="A436" s="27" t="inlineStr">
        <is>
          <t>112730-32</t>
        </is>
      </c>
      <c r="B436" s="28" t="inlineStr">
        <is>
          <t>Vega Energy Systems</t>
        </is>
      </c>
      <c r="C436" s="29" t="inlineStr">
        <is>
          <t>95129</t>
        </is>
      </c>
      <c r="D436" s="30" t="inlineStr">
        <is>
          <t>Manufacturer of clean energy products. The company specializes in manufacturing a clean energy electrode by using carbon nano-tube technology.</t>
        </is>
      </c>
      <c r="E436" s="31" t="inlineStr">
        <is>
          <t>Alternative Energy Equipment</t>
        </is>
      </c>
      <c r="F436" s="32" t="inlineStr">
        <is>
          <t>San Jose, CA</t>
        </is>
      </c>
      <c r="G436" s="33" t="inlineStr">
        <is>
          <t>Privately Held (backing)</t>
        </is>
      </c>
      <c r="H436" s="34" t="inlineStr">
        <is>
          <t>Angel-Backed</t>
        </is>
      </c>
      <c r="I436" s="35" t="inlineStr">
        <is>
          <t/>
        </is>
      </c>
      <c r="J436" s="36" t="inlineStr">
        <is>
          <t>www.vegaenergysystems.com</t>
        </is>
      </c>
      <c r="K436" s="37" t="inlineStr">
        <is>
          <t/>
        </is>
      </c>
      <c r="L436" s="38" t="inlineStr">
        <is>
          <t>+1 (408) 480-5296</t>
        </is>
      </c>
      <c r="M436" s="39" t="inlineStr">
        <is>
          <t>Terence Unger</t>
        </is>
      </c>
      <c r="N436" s="40" t="inlineStr">
        <is>
          <t>Chief Executive Officer, President &amp; Troubleshooter</t>
        </is>
      </c>
      <c r="O436" s="41" t="inlineStr">
        <is>
          <t>t.w.unger@gmail.com</t>
        </is>
      </c>
      <c r="P436" s="42" t="inlineStr">
        <is>
          <t>+1 (408) 480-5296</t>
        </is>
      </c>
      <c r="Q436" s="43" t="n">
        <v>2007.0</v>
      </c>
      <c r="R436" s="114">
        <f>HYPERLINK("https://my.pitchbook.com?c=112730-32", "View company online")</f>
      </c>
    </row>
    <row r="437">
      <c r="A437" s="9" t="inlineStr">
        <is>
          <t>102953-89</t>
        </is>
      </c>
      <c r="B437" s="10" t="inlineStr">
        <is>
          <t>Veestro</t>
        </is>
      </c>
      <c r="C437" s="11" t="inlineStr">
        <is>
          <t>90058</t>
        </is>
      </c>
      <c r="D437" s="12" t="inlineStr">
        <is>
          <t>Provider of a gourmet plant-based meal delivery service. The company's online service delivers meals directly to a nationwide customer base.</t>
        </is>
      </c>
      <c r="E437" s="13" t="inlineStr">
        <is>
          <t>Internet Retail</t>
        </is>
      </c>
      <c r="F437" s="14" t="inlineStr">
        <is>
          <t>Los Angeles, CA</t>
        </is>
      </c>
      <c r="G437" s="15" t="inlineStr">
        <is>
          <t>Privately Held (backing)</t>
        </is>
      </c>
      <c r="H437" s="16" t="inlineStr">
        <is>
          <t>Angel-Backed</t>
        </is>
      </c>
      <c r="I437" s="17" t="inlineStr">
        <is>
          <t>Carlos Garcia de Paredes, Oliver Preuss</t>
        </is>
      </c>
      <c r="J437" s="18" t="inlineStr">
        <is>
          <t>www.veestro.com</t>
        </is>
      </c>
      <c r="K437" s="19" t="inlineStr">
        <is>
          <t>mfachler@veestro.com</t>
        </is>
      </c>
      <c r="L437" s="20" t="inlineStr">
        <is>
          <t>+1 (310) 844-1850</t>
        </is>
      </c>
      <c r="M437" s="21" t="inlineStr">
        <is>
          <t>Mark Fachler</t>
        </is>
      </c>
      <c r="N437" s="22" t="inlineStr">
        <is>
          <t>Co-Founder, Chief Executive Officer &amp; Board Member</t>
        </is>
      </c>
      <c r="O437" s="23" t="inlineStr">
        <is>
          <t>mfachler@veestro.com</t>
        </is>
      </c>
      <c r="P437" s="24" t="inlineStr">
        <is>
          <t>+1 (310) 844-1850</t>
        </is>
      </c>
      <c r="Q437" s="25" t="n">
        <v>2012.0</v>
      </c>
      <c r="R437" s="113">
        <f>HYPERLINK("https://my.pitchbook.com?c=102953-89", "View company online")</f>
      </c>
    </row>
    <row r="438">
      <c r="A438" s="27" t="inlineStr">
        <is>
          <t>177568-93</t>
        </is>
      </c>
      <c r="B438" s="28" t="inlineStr">
        <is>
          <t>VeepWorks</t>
        </is>
      </c>
      <c r="C438" s="86">
        <f>HYPERLINK("https://my.pitchbook.com?rrp=177568-93&amp;type=c", "This Company's information is not available to download. Need this Company? Request availability")</f>
      </c>
      <c r="D438" s="30" t="inlineStr">
        <is>
          <t/>
        </is>
      </c>
      <c r="E438" s="31" t="inlineStr">
        <is>
          <t/>
        </is>
      </c>
      <c r="F438" s="32" t="inlineStr">
        <is>
          <t/>
        </is>
      </c>
      <c r="G438" s="33" t="inlineStr">
        <is>
          <t/>
        </is>
      </c>
      <c r="H438" s="34" t="inlineStr">
        <is>
          <t/>
        </is>
      </c>
      <c r="I438" s="35" t="inlineStr">
        <is>
          <t/>
        </is>
      </c>
      <c r="J438" s="36" t="inlineStr">
        <is>
          <t/>
        </is>
      </c>
      <c r="K438" s="37" t="inlineStr">
        <is>
          <t/>
        </is>
      </c>
      <c r="L438" s="38" t="inlineStr">
        <is>
          <t/>
        </is>
      </c>
      <c r="M438" s="39" t="inlineStr">
        <is>
          <t/>
        </is>
      </c>
      <c r="N438" s="40" t="inlineStr">
        <is>
          <t/>
        </is>
      </c>
      <c r="O438" s="41" t="inlineStr">
        <is>
          <t/>
        </is>
      </c>
      <c r="P438" s="42" t="inlineStr">
        <is>
          <t/>
        </is>
      </c>
      <c r="Q438" s="43" t="inlineStr">
        <is>
          <t/>
        </is>
      </c>
      <c r="R438" s="44" t="inlineStr">
        <is>
          <t/>
        </is>
      </c>
    </row>
    <row r="439">
      <c r="A439" s="9" t="inlineStr">
        <is>
          <t>98445-07</t>
        </is>
      </c>
      <c r="B439" s="10" t="inlineStr">
        <is>
          <t>Veebot</t>
        </is>
      </c>
      <c r="C439" s="11" t="inlineStr">
        <is>
          <t>94043</t>
        </is>
      </c>
      <c r="D439" s="12" t="inlineStr">
        <is>
          <t>Developer of a robotic device for automating venipuncture. The company develops a robotic device which automates the procedure of blood sampling of venous blood through computer vision.</t>
        </is>
      </c>
      <c r="E439" s="13" t="inlineStr">
        <is>
          <t>Diagnostic Equipment</t>
        </is>
      </c>
      <c r="F439" s="14" t="inlineStr">
        <is>
          <t>Mountain View, CA</t>
        </is>
      </c>
      <c r="G439" s="15" t="inlineStr">
        <is>
          <t>Privately Held (backing)</t>
        </is>
      </c>
      <c r="H439" s="16" t="inlineStr">
        <is>
          <t>Accelerator/Incubator Backed</t>
        </is>
      </c>
      <c r="I439" s="17" t="inlineStr">
        <is>
          <t>Business Association of Stanford Entrepreneurial Students, StartX</t>
        </is>
      </c>
      <c r="J439" s="18" t="inlineStr">
        <is>
          <t>www.veebot.com</t>
        </is>
      </c>
      <c r="K439" s="19" t="inlineStr">
        <is>
          <t>info@veebot.com</t>
        </is>
      </c>
      <c r="L439" s="20" t="inlineStr">
        <is>
          <t/>
        </is>
      </c>
      <c r="M439" s="21" t="inlineStr">
        <is>
          <t>Richard Harris</t>
        </is>
      </c>
      <c r="N439" s="22" t="inlineStr">
        <is>
          <t>Co-Founder &amp; Chief Executive Officer</t>
        </is>
      </c>
      <c r="O439" s="23" t="inlineStr">
        <is>
          <t>richard@veebot.com</t>
        </is>
      </c>
      <c r="P439" s="24" t="inlineStr">
        <is>
          <t/>
        </is>
      </c>
      <c r="Q439" s="25" t="n">
        <v>2009.0</v>
      </c>
      <c r="R439" s="113">
        <f>HYPERLINK("https://my.pitchbook.com?c=98445-07", "View company online")</f>
      </c>
    </row>
    <row r="440">
      <c r="A440" s="27" t="inlineStr">
        <is>
          <t>157896-73</t>
        </is>
      </c>
      <c r="B440" s="28" t="inlineStr">
        <is>
          <t>Vector Space Systems</t>
        </is>
      </c>
      <c r="C440" s="29" t="inlineStr">
        <is>
          <t/>
        </is>
      </c>
      <c r="D440" s="30" t="inlineStr">
        <is>
          <t>Developer of low-cost micro satellites designed to space startups with space access. The company services micro satellites through low-cost frequent launches and software defined satellites to lower the barrier of entry to innovation and commerce in outer space enabling startups to focus on their innovations and reduce launch costs.</t>
        </is>
      </c>
      <c r="E440" s="31" t="inlineStr">
        <is>
          <t>Aerospace and Defense</t>
        </is>
      </c>
      <c r="F440" s="32" t="inlineStr">
        <is>
          <t>Los Angeles, CA</t>
        </is>
      </c>
      <c r="G440" s="33" t="inlineStr">
        <is>
          <t>Privately Held (backing)</t>
        </is>
      </c>
      <c r="H440" s="34" t="inlineStr">
        <is>
          <t>Angel-Backed</t>
        </is>
      </c>
      <c r="I440" s="35" t="inlineStr">
        <is>
          <t>daVinci Capital Group, Defense Advanced Research Projects Agency, Kanematsu, Make In LA, Matthew Conover, Matthew Keezer, NASA Ames Research Center, Nick Karangelan, Shaun Coleman, Space Angels Network</t>
        </is>
      </c>
      <c r="J440" s="36" t="inlineStr">
        <is>
          <t>www.vectorspacesystems.com</t>
        </is>
      </c>
      <c r="K440" s="37" t="inlineStr">
        <is>
          <t/>
        </is>
      </c>
      <c r="L440" s="38" t="inlineStr">
        <is>
          <t/>
        </is>
      </c>
      <c r="M440" s="39" t="inlineStr">
        <is>
          <t>James Cantrell</t>
        </is>
      </c>
      <c r="N440" s="40" t="inlineStr">
        <is>
          <t>Co-Founder &amp; Chief Executive Officer</t>
        </is>
      </c>
      <c r="O440" s="41" t="inlineStr">
        <is>
          <t>jim.cantrell@vector-launch.com</t>
        </is>
      </c>
      <c r="P440" s="42" t="inlineStr">
        <is>
          <t>+1 (888) 346-7778</t>
        </is>
      </c>
      <c r="Q440" s="43" t="n">
        <v>2016.0</v>
      </c>
      <c r="R440" s="114">
        <f>HYPERLINK("https://my.pitchbook.com?c=157896-73", "View company online")</f>
      </c>
    </row>
    <row r="441">
      <c r="A441" s="9" t="inlineStr">
        <is>
          <t>51502-87</t>
        </is>
      </c>
      <c r="B441" s="10" t="inlineStr">
        <is>
          <t>vChatter</t>
        </is>
      </c>
      <c r="C441" s="11" t="inlineStr">
        <is>
          <t>94025</t>
        </is>
      </c>
      <c r="D441" s="12" t="inlineStr">
        <is>
          <t>Provider of a live video chat application to connect with friends and family on Facebook.</t>
        </is>
      </c>
      <c r="E441" s="13" t="inlineStr">
        <is>
          <t>Application Software</t>
        </is>
      </c>
      <c r="F441" s="14" t="inlineStr">
        <is>
          <t>Menlo Park, CA</t>
        </is>
      </c>
      <c r="G441" s="15" t="inlineStr">
        <is>
          <t>Privately Held (backing)</t>
        </is>
      </c>
      <c r="H441" s="16" t="inlineStr">
        <is>
          <t>Angel-Backed</t>
        </is>
      </c>
      <c r="I441" s="17" t="inlineStr">
        <is>
          <t>Individual Investor</t>
        </is>
      </c>
      <c r="J441" s="18" t="inlineStr">
        <is>
          <t>www.vchatter.com</t>
        </is>
      </c>
      <c r="K441" s="19" t="inlineStr">
        <is>
          <t/>
        </is>
      </c>
      <c r="L441" s="20" t="inlineStr">
        <is>
          <t>+1 (650) 276-0536</t>
        </is>
      </c>
      <c r="M441" s="21" t="inlineStr">
        <is>
          <t>Dan Owen</t>
        </is>
      </c>
      <c r="N441" s="22" t="inlineStr">
        <is>
          <t>Co-Founder</t>
        </is>
      </c>
      <c r="O441" s="23" t="inlineStr">
        <is>
          <t>dowen@vchatter.com</t>
        </is>
      </c>
      <c r="P441" s="24" t="inlineStr">
        <is>
          <t>+1 (650) 276-0536</t>
        </is>
      </c>
      <c r="Q441" s="25" t="n">
        <v>2010.0</v>
      </c>
      <c r="R441" s="113">
        <f>HYPERLINK("https://my.pitchbook.com?c=51502-87", "View company online")</f>
      </c>
    </row>
    <row r="442">
      <c r="A442" s="27" t="inlineStr">
        <is>
          <t>102570-85</t>
        </is>
      </c>
      <c r="B442" s="28" t="inlineStr">
        <is>
          <t>Vascular Designs</t>
        </is>
      </c>
      <c r="C442" s="29" t="inlineStr">
        <is>
          <t>95118</t>
        </is>
      </c>
      <c r="D442" s="30" t="inlineStr">
        <is>
          <t>Developer of a drug infusion system for the people suffering from cancer. The company develops and markets an endovascular device which provides direct drug delivery to tumors and other delivery applications.</t>
        </is>
      </c>
      <c r="E442" s="31" t="inlineStr">
        <is>
          <t>Therapeutic Devices</t>
        </is>
      </c>
      <c r="F442" s="32" t="inlineStr">
        <is>
          <t>San Jose, CA</t>
        </is>
      </c>
      <c r="G442" s="33" t="inlineStr">
        <is>
          <t>Privately Held (backing)</t>
        </is>
      </c>
      <c r="H442" s="34" t="inlineStr">
        <is>
          <t>Angel-Backed</t>
        </is>
      </c>
      <c r="I442" s="35" t="inlineStr">
        <is>
          <t/>
        </is>
      </c>
      <c r="J442" s="36" t="inlineStr">
        <is>
          <t>www.vasculardesigns.com</t>
        </is>
      </c>
      <c r="K442" s="37" t="inlineStr">
        <is>
          <t/>
        </is>
      </c>
      <c r="L442" s="38" t="inlineStr">
        <is>
          <t>+1 (408) 484-9010</t>
        </is>
      </c>
      <c r="M442" s="39" t="inlineStr">
        <is>
          <t>Robert Goldman</t>
        </is>
      </c>
      <c r="N442" s="40" t="inlineStr">
        <is>
          <t>Co-Founder, President, Chief Technology Officer, Chief Executive Officer &amp; Chairman</t>
        </is>
      </c>
      <c r="O442" s="41" t="inlineStr">
        <is>
          <t>rgoldman@konnectsolutions.com</t>
        </is>
      </c>
      <c r="P442" s="42" t="inlineStr">
        <is>
          <t>+1 (408) 230-5560</t>
        </is>
      </c>
      <c r="Q442" s="43" t="n">
        <v>2001.0</v>
      </c>
      <c r="R442" s="114">
        <f>HYPERLINK("https://my.pitchbook.com?c=102570-85", "View company online")</f>
      </c>
    </row>
    <row r="443">
      <c r="A443" s="9" t="inlineStr">
        <is>
          <t>109453-78</t>
        </is>
      </c>
      <c r="B443" s="10" t="inlineStr">
        <is>
          <t>Vasari Energy</t>
        </is>
      </c>
      <c r="C443" s="11" t="inlineStr">
        <is>
          <t>92618</t>
        </is>
      </c>
      <c r="D443" s="12" t="inlineStr">
        <is>
          <t>Developer of utility-scale electric power plants designed to produce clean energy. The company develops, engineers, finances and constructs solar power-generating facilities worldwide enabling users to have access to clean energy all around the clock.</t>
        </is>
      </c>
      <c r="E443" s="13" t="inlineStr">
        <is>
          <t>Alternative Energy Equipment</t>
        </is>
      </c>
      <c r="F443" s="14" t="inlineStr">
        <is>
          <t>Irvine, CA</t>
        </is>
      </c>
      <c r="G443" s="15" t="inlineStr">
        <is>
          <t>Privately Held (backing)</t>
        </is>
      </c>
      <c r="H443" s="16" t="inlineStr">
        <is>
          <t>Angel-Backed</t>
        </is>
      </c>
      <c r="I443" s="17" t="inlineStr">
        <is>
          <t>John Lyons</t>
        </is>
      </c>
      <c r="J443" s="18" t="inlineStr">
        <is>
          <t>www.vasarienergy.com</t>
        </is>
      </c>
      <c r="K443" s="19" t="inlineStr">
        <is>
          <t>info@vasarienergy.com</t>
        </is>
      </c>
      <c r="L443" s="20" t="inlineStr">
        <is>
          <t>+1 (949) 529-5933</t>
        </is>
      </c>
      <c r="M443" s="21" t="inlineStr">
        <is>
          <t>Ronald Tovella</t>
        </is>
      </c>
      <c r="N443" s="22" t="inlineStr">
        <is>
          <t>Co-Chief Executive Officer</t>
        </is>
      </c>
      <c r="O443" s="23" t="inlineStr">
        <is>
          <t>r.tovella@vasarienergy.com</t>
        </is>
      </c>
      <c r="P443" s="24" t="inlineStr">
        <is>
          <t>+1 (949) 529-5933</t>
        </is>
      </c>
      <c r="Q443" s="25" t="n">
        <v>2010.0</v>
      </c>
      <c r="R443" s="113">
        <f>HYPERLINK("https://my.pitchbook.com?c=109453-78", "View company online")</f>
      </c>
    </row>
    <row r="444">
      <c r="A444" s="27" t="inlineStr">
        <is>
          <t>98419-96</t>
        </is>
      </c>
      <c r="B444" s="28" t="inlineStr">
        <is>
          <t>Varinode</t>
        </is>
      </c>
      <c r="C444" s="29" t="inlineStr">
        <is>
          <t/>
        </is>
      </c>
      <c r="D444" s="30" t="inlineStr">
        <is>
          <t>Provider of an online shopping streamline platform. The company offers an application program interface that enables users to shop from multiple retailers without redirecting to retailer's website.</t>
        </is>
      </c>
      <c r="E444" s="31" t="inlineStr">
        <is>
          <t>Internet Retail</t>
        </is>
      </c>
      <c r="F444" s="32" t="inlineStr">
        <is>
          <t>San Jose, CA</t>
        </is>
      </c>
      <c r="G444" s="33" t="inlineStr">
        <is>
          <t>Privately Held (backing)</t>
        </is>
      </c>
      <c r="H444" s="34" t="inlineStr">
        <is>
          <t>Accelerator/Incubator Backed</t>
        </is>
      </c>
      <c r="I444" s="35" t="inlineStr">
        <is>
          <t>Plug and Play Tech Center</t>
        </is>
      </c>
      <c r="J444" s="36" t="inlineStr">
        <is>
          <t>www.varinode.com</t>
        </is>
      </c>
      <c r="K444" s="37" t="inlineStr">
        <is>
          <t>info@varinode.com</t>
        </is>
      </c>
      <c r="L444" s="38" t="inlineStr">
        <is>
          <t/>
        </is>
      </c>
      <c r="M444" s="39" t="inlineStr">
        <is>
          <t>Jack Wei</t>
        </is>
      </c>
      <c r="N444" s="40" t="inlineStr">
        <is>
          <t>Co-Founder</t>
        </is>
      </c>
      <c r="O444" s="41" t="inlineStr">
        <is>
          <t>jack@varinode.com</t>
        </is>
      </c>
      <c r="P444" s="42" t="inlineStr">
        <is>
          <t/>
        </is>
      </c>
      <c r="Q444" s="43" t="n">
        <v>2014.0</v>
      </c>
      <c r="R444" s="114">
        <f>HYPERLINK("https://my.pitchbook.com?c=98419-96", "View company online")</f>
      </c>
    </row>
    <row r="445">
      <c r="A445" s="9" t="inlineStr">
        <is>
          <t>119565-82</t>
        </is>
      </c>
      <c r="B445" s="10" t="inlineStr">
        <is>
          <t>VapeXhale</t>
        </is>
      </c>
      <c r="C445" s="11" t="inlineStr">
        <is>
          <t/>
        </is>
      </c>
      <c r="D445" s="12" t="inlineStr">
        <is>
          <t>Manufacturer of vaporizers for medical industry. The company designs, engineers, manufactures and distributes vaporization products for medical companies.</t>
        </is>
      </c>
      <c r="E445" s="13" t="inlineStr">
        <is>
          <t>Other Pharmaceuticals and Biotechnology</t>
        </is>
      </c>
      <c r="F445" s="14" t="inlineStr">
        <is>
          <t>San Francisco, CA</t>
        </is>
      </c>
      <c r="G445" s="15" t="inlineStr">
        <is>
          <t>Privately Held (backing)</t>
        </is>
      </c>
      <c r="H445" s="16" t="inlineStr">
        <is>
          <t>Accelerator/Incubator Backed</t>
        </is>
      </c>
      <c r="I445" s="17" t="inlineStr">
        <is>
          <t>Shariq Minhas, Wearable IoT World</t>
        </is>
      </c>
      <c r="J445" s="18" t="inlineStr">
        <is>
          <t>www.vapexhale.com</t>
        </is>
      </c>
      <c r="K445" s="19" t="inlineStr">
        <is>
          <t/>
        </is>
      </c>
      <c r="L445" s="20" t="inlineStr">
        <is>
          <t>+1 (888) 551-0262</t>
        </is>
      </c>
      <c r="M445" s="21" t="inlineStr">
        <is>
          <t>Seibo Shen</t>
        </is>
      </c>
      <c r="N445" s="22" t="inlineStr">
        <is>
          <t>Co-Founder &amp; Chief Executive Officer</t>
        </is>
      </c>
      <c r="O445" s="23" t="inlineStr">
        <is>
          <t>seibo@vapexhale.com</t>
        </is>
      </c>
      <c r="P445" s="24" t="inlineStr">
        <is>
          <t>+1 (888) 551-0262</t>
        </is>
      </c>
      <c r="Q445" s="25" t="n">
        <v>2010.0</v>
      </c>
      <c r="R445" s="113">
        <f>HYPERLINK("https://my.pitchbook.com?c=119565-82", "View company online")</f>
      </c>
    </row>
    <row r="446">
      <c r="A446" s="27" t="inlineStr">
        <is>
          <t>102895-39</t>
        </is>
      </c>
      <c r="B446" s="28" t="inlineStr">
        <is>
          <t>Vantage.TV</t>
        </is>
      </c>
      <c r="C446" s="29" t="inlineStr">
        <is>
          <t>94103</t>
        </is>
      </c>
      <c r="D446" s="30" t="inlineStr">
        <is>
          <t>Provider of an event management platform. The company's software enables its users to get access to all virtual reality events offering live events viewing experience.</t>
        </is>
      </c>
      <c r="E446" s="31" t="inlineStr">
        <is>
          <t>Social/Platform Software</t>
        </is>
      </c>
      <c r="F446" s="32" t="inlineStr">
        <is>
          <t>San Francisco, CA</t>
        </is>
      </c>
      <c r="G446" s="33" t="inlineStr">
        <is>
          <t>Privately Held (backing)</t>
        </is>
      </c>
      <c r="H446" s="34" t="inlineStr">
        <is>
          <t>Accelerator/Incubator Backed</t>
        </is>
      </c>
      <c r="I446" s="35" t="inlineStr">
        <is>
          <t>River</t>
        </is>
      </c>
      <c r="J446" s="36" t="inlineStr">
        <is>
          <t>www.vantage.tv</t>
        </is>
      </c>
      <c r="K446" s="37" t="inlineStr">
        <is>
          <t/>
        </is>
      </c>
      <c r="L446" s="38" t="inlineStr">
        <is>
          <t/>
        </is>
      </c>
      <c r="M446" s="39" t="inlineStr">
        <is>
          <t>Juan Santillan</t>
        </is>
      </c>
      <c r="N446" s="40" t="inlineStr">
        <is>
          <t>Chief Executive Officer &amp; Co-Founder</t>
        </is>
      </c>
      <c r="O446" s="41" t="inlineStr">
        <is>
          <t>juan@vantage.tv</t>
        </is>
      </c>
      <c r="P446" s="42" t="inlineStr">
        <is>
          <t/>
        </is>
      </c>
      <c r="Q446" s="43" t="n">
        <v>2014.0</v>
      </c>
      <c r="R446" s="114">
        <f>HYPERLINK("https://my.pitchbook.com?c=102895-39", "View company online")</f>
      </c>
    </row>
    <row r="447">
      <c r="A447" s="9" t="inlineStr">
        <is>
          <t>122183-38</t>
        </is>
      </c>
      <c r="B447" s="10" t="inlineStr">
        <is>
          <t>Vantage Point Group Holding Company</t>
        </is>
      </c>
      <c r="C447" s="11" t="inlineStr">
        <is>
          <t>91765</t>
        </is>
      </c>
      <c r="D447" s="12" t="inlineStr">
        <is>
          <t>The company is currently operating in Stealth mode.</t>
        </is>
      </c>
      <c r="E447" s="13" t="inlineStr">
        <is>
          <t>Other Business Products and Services</t>
        </is>
      </c>
      <c r="F447" s="14" t="inlineStr">
        <is>
          <t>Diamond Bar, CA</t>
        </is>
      </c>
      <c r="G447" s="15" t="inlineStr">
        <is>
          <t>Privately Held (backing)</t>
        </is>
      </c>
      <c r="H447" s="16" t="inlineStr">
        <is>
          <t>Angel-Backed</t>
        </is>
      </c>
      <c r="I447" s="17" t="inlineStr">
        <is>
          <t/>
        </is>
      </c>
      <c r="J447" s="18" t="inlineStr">
        <is>
          <t/>
        </is>
      </c>
      <c r="K447" s="19" t="inlineStr">
        <is>
          <t/>
        </is>
      </c>
      <c r="L447" s="20" t="inlineStr">
        <is>
          <t>+1 (909) 219-6395</t>
        </is>
      </c>
      <c r="M447" s="21" t="inlineStr">
        <is>
          <t>Zheyuan Zheng</t>
        </is>
      </c>
      <c r="N447" s="22" t="inlineStr">
        <is>
          <t>Executive &amp; Board Member</t>
        </is>
      </c>
      <c r="O447" s="23" t="inlineStr">
        <is>
          <t/>
        </is>
      </c>
      <c r="P447" s="24" t="inlineStr">
        <is>
          <t>+1 (909) 219-6395</t>
        </is>
      </c>
      <c r="Q447" s="25" t="n">
        <v>2014.0</v>
      </c>
      <c r="R447" s="113">
        <f>HYPERLINK("https://my.pitchbook.com?c=122183-38", "View company online")</f>
      </c>
    </row>
    <row r="448">
      <c r="A448" s="27" t="inlineStr">
        <is>
          <t>109937-71</t>
        </is>
      </c>
      <c r="B448" s="28" t="inlineStr">
        <is>
          <t>Vantage Partners (Executive Search)</t>
        </is>
      </c>
      <c r="C448" s="29" t="inlineStr">
        <is>
          <t>94129</t>
        </is>
      </c>
      <c r="D448" s="30" t="inlineStr">
        <is>
          <t>Provider of an online platform to search executives. The company focuses on executive search specializing in building executive management teams for other organizations and venture-backed start-ups.</t>
        </is>
      </c>
      <c r="E448" s="31" t="inlineStr">
        <is>
          <t>Human Capital Services</t>
        </is>
      </c>
      <c r="F448" s="32" t="inlineStr">
        <is>
          <t>San Francisco, CA</t>
        </is>
      </c>
      <c r="G448" s="33" t="inlineStr">
        <is>
          <t>Privately Held (backing)</t>
        </is>
      </c>
      <c r="H448" s="34" t="inlineStr">
        <is>
          <t>Accelerator/Incubator Backed</t>
        </is>
      </c>
      <c r="I448" s="35" t="inlineStr">
        <is>
          <t>Hen House Ventures</t>
        </is>
      </c>
      <c r="J448" s="36" t="inlineStr">
        <is>
          <t>www.vantagepartners.net</t>
        </is>
      </c>
      <c r="K448" s="37" t="inlineStr">
        <is>
          <t>info@vantagepartners.net</t>
        </is>
      </c>
      <c r="L448" s="38" t="inlineStr">
        <is>
          <t>+1 (415) 459-3495</t>
        </is>
      </c>
      <c r="M448" s="39" t="inlineStr">
        <is>
          <t>Mark Hubbell</t>
        </is>
      </c>
      <c r="N448" s="40" t="inlineStr">
        <is>
          <t>Co-Founder &amp; Managing Director</t>
        </is>
      </c>
      <c r="O448" s="41" t="inlineStr">
        <is>
          <t>mark@vantagepartners.net</t>
        </is>
      </c>
      <c r="P448" s="42" t="inlineStr">
        <is>
          <t>+1 (415) 459-3495</t>
        </is>
      </c>
      <c r="Q448" s="43" t="n">
        <v>2001.0</v>
      </c>
      <c r="R448" s="114">
        <f>HYPERLINK("https://my.pitchbook.com?c=109937-71", "View company online")</f>
      </c>
    </row>
    <row r="449">
      <c r="A449" s="9" t="inlineStr">
        <is>
          <t>110541-07</t>
        </is>
      </c>
      <c r="B449" s="10" t="inlineStr">
        <is>
          <t>Vanguard Therapeutics</t>
        </is>
      </c>
      <c r="C449" s="11" t="inlineStr">
        <is>
          <t>94019</t>
        </is>
      </c>
      <c r="D449" s="12" t="inlineStr">
        <is>
          <t>Developer of therapy for sickle cell disease that targets the process that drives sickle cell disease -- abnormal blood flow. The company's oral drug that blocks the cell adhesion molecule P-selectin addresses the problem of sickle red blood cells sticking to the vascular endothelium, helping to improve blood flow, mitigate acute painful crises, and improve the quality of life of patients with sickle cell disease.</t>
        </is>
      </c>
      <c r="E449" s="13" t="inlineStr">
        <is>
          <t>Drug Discovery</t>
        </is>
      </c>
      <c r="F449" s="14" t="inlineStr">
        <is>
          <t>Half Moon Bay, CA</t>
        </is>
      </c>
      <c r="G449" s="15" t="inlineStr">
        <is>
          <t>Privately Held (backing)</t>
        </is>
      </c>
      <c r="H449" s="16" t="inlineStr">
        <is>
          <t>Accelerator/Incubator Backed</t>
        </is>
      </c>
      <c r="I449" s="17" t="inlineStr">
        <is>
          <t>BayBio FAST, California Institute for Quantitative Biosciences, U.S. Department of Health and Human Services</t>
        </is>
      </c>
      <c r="J449" s="18" t="inlineStr">
        <is>
          <t/>
        </is>
      </c>
      <c r="K449" s="19" t="inlineStr">
        <is>
          <t/>
        </is>
      </c>
      <c r="L449" s="20" t="inlineStr">
        <is>
          <t>+1 (415) 203-0436</t>
        </is>
      </c>
      <c r="M449" s="21" t="inlineStr">
        <is>
          <t>Stephen Embury</t>
        </is>
      </c>
      <c r="N449" s="22" t="inlineStr">
        <is>
          <t>Founder, Chief Executive Officer &amp; Chairman</t>
        </is>
      </c>
      <c r="O449" s="23" t="inlineStr">
        <is>
          <t>shembury@gmail.com</t>
        </is>
      </c>
      <c r="P449" s="24" t="inlineStr">
        <is>
          <t>+1 (415) 203-0436</t>
        </is>
      </c>
      <c r="Q449" s="25" t="n">
        <v>2009.0</v>
      </c>
      <c r="R449" s="113">
        <f>HYPERLINK("https://my.pitchbook.com?c=110541-07", "View company online")</f>
      </c>
    </row>
    <row r="450">
      <c r="A450" s="27" t="inlineStr">
        <is>
          <t>126492-13</t>
        </is>
      </c>
      <c r="B450" s="28" t="inlineStr">
        <is>
          <t>Vanadis</t>
        </is>
      </c>
      <c r="C450" s="29" t="inlineStr">
        <is>
          <t>92008</t>
        </is>
      </c>
      <c r="D450" s="30" t="inlineStr">
        <is>
          <t>Owner and operator of a medical technology company. The company specializes in protein chemistry and immunology and analyzes cosmetic products for antigens from natural rubber latex.</t>
        </is>
      </c>
      <c r="E450" s="31" t="inlineStr">
        <is>
          <t>Other Healthcare Technology Systems</t>
        </is>
      </c>
      <c r="F450" s="32" t="inlineStr">
        <is>
          <t>Carlsbad, CA</t>
        </is>
      </c>
      <c r="G450" s="33" t="inlineStr">
        <is>
          <t>Privately Held (backing)</t>
        </is>
      </c>
      <c r="H450" s="34" t="inlineStr">
        <is>
          <t>Accelerator/Incubator Backed</t>
        </is>
      </c>
      <c r="I450" s="35" t="inlineStr">
        <is>
          <t>Bio, Tech and Beyond</t>
        </is>
      </c>
      <c r="J450" s="36" t="inlineStr">
        <is>
          <t>www.vanadislabs.com</t>
        </is>
      </c>
      <c r="K450" s="37" t="inlineStr">
        <is>
          <t/>
        </is>
      </c>
      <c r="L450" s="38" t="inlineStr">
        <is>
          <t>+1 (858) 356-5123</t>
        </is>
      </c>
      <c r="M450" s="39" t="inlineStr">
        <is>
          <t>Brian Watson</t>
        </is>
      </c>
      <c r="N450" s="40" t="inlineStr">
        <is>
          <t>Co-Founder and Chief Scientist</t>
        </is>
      </c>
      <c r="O450" s="41" t="inlineStr">
        <is>
          <t>brian@vanadislabs.com</t>
        </is>
      </c>
      <c r="P450" s="42" t="inlineStr">
        <is>
          <t>+1 (858) 356-5123</t>
        </is>
      </c>
      <c r="Q450" s="43" t="n">
        <v>2014.0</v>
      </c>
      <c r="R450" s="114">
        <f>HYPERLINK("https://my.pitchbook.com?c=126492-13", "View company online")</f>
      </c>
    </row>
    <row r="451">
      <c r="A451" s="9" t="inlineStr">
        <is>
          <t>170939-62</t>
        </is>
      </c>
      <c r="B451" s="10" t="inlineStr">
        <is>
          <t>Vampr</t>
        </is>
      </c>
      <c r="C451" s="11" t="inlineStr">
        <is>
          <t>90405</t>
        </is>
      </c>
      <c r="D451" s="12" t="inlineStr">
        <is>
          <t>Developer of an application designed to help musicians discover, connect and collaborate with fellow musicians, music industry personnel and music lovers alike. The company's application allows users to find a local guitarist, singer or producer for latest projects, audition for a punk on the other side of the planet, or simply discover new friends with the same taste in music.</t>
        </is>
      </c>
      <c r="E451" s="13" t="inlineStr">
        <is>
          <t>Application Software</t>
        </is>
      </c>
      <c r="F451" s="14" t="inlineStr">
        <is>
          <t>Los Angeles, CA</t>
        </is>
      </c>
      <c r="G451" s="15" t="inlineStr">
        <is>
          <t>Privately Held (backing)</t>
        </is>
      </c>
      <c r="H451" s="16" t="inlineStr">
        <is>
          <t>Angel-Backed</t>
        </is>
      </c>
      <c r="I451" s="17" t="inlineStr">
        <is>
          <t/>
        </is>
      </c>
      <c r="J451" s="18" t="inlineStr">
        <is>
          <t>www.vampr.me</t>
        </is>
      </c>
      <c r="K451" s="19" t="inlineStr">
        <is>
          <t>social@vampr.me</t>
        </is>
      </c>
      <c r="L451" s="20" t="inlineStr">
        <is>
          <t/>
        </is>
      </c>
      <c r="M451" s="21" t="inlineStr">
        <is>
          <t>Josh Simons</t>
        </is>
      </c>
      <c r="N451" s="22" t="inlineStr">
        <is>
          <t>Co-Founder, Chief Executive Officer &amp; Board Member</t>
        </is>
      </c>
      <c r="O451" s="23" t="inlineStr">
        <is>
          <t>josh@vampr.me</t>
        </is>
      </c>
      <c r="P451" s="24" t="inlineStr">
        <is>
          <t/>
        </is>
      </c>
      <c r="Q451" s="25" t="n">
        <v>2015.0</v>
      </c>
      <c r="R451" s="113">
        <f>HYPERLINK("https://my.pitchbook.com?c=170939-62", "View company online")</f>
      </c>
    </row>
    <row r="452">
      <c r="A452" s="27" t="inlineStr">
        <is>
          <t>120986-47</t>
        </is>
      </c>
      <c r="B452" s="28" t="inlineStr">
        <is>
          <t>Vama</t>
        </is>
      </c>
      <c r="C452" s="29" t="inlineStr">
        <is>
          <t>94403</t>
        </is>
      </c>
      <c r="D452" s="30" t="inlineStr">
        <is>
          <t>Owner and operator of a biotechnology company. The company offers non-toxic pest control chemicals and devices using receptor binding technology for hotels, offices, healthcare facilities, ships and cinemas.</t>
        </is>
      </c>
      <c r="E452" s="31" t="inlineStr">
        <is>
          <t>Other Consumer Products and Services</t>
        </is>
      </c>
      <c r="F452" s="32" t="inlineStr">
        <is>
          <t>San Mateo, CA</t>
        </is>
      </c>
      <c r="G452" s="33" t="inlineStr">
        <is>
          <t>Privately Held (backing)</t>
        </is>
      </c>
      <c r="H452" s="34" t="inlineStr">
        <is>
          <t>Angel-Backed</t>
        </is>
      </c>
      <c r="I452" s="35" t="inlineStr">
        <is>
          <t/>
        </is>
      </c>
      <c r="J452" s="36" t="inlineStr">
        <is>
          <t>www.vamainc.com</t>
        </is>
      </c>
      <c r="K452" s="37" t="inlineStr">
        <is>
          <t>info@vamainc.com</t>
        </is>
      </c>
      <c r="L452" s="38" t="inlineStr">
        <is>
          <t>+1 (650) 539-5540</t>
        </is>
      </c>
      <c r="M452" s="39" t="inlineStr">
        <is>
          <t>Ankur Jain</t>
        </is>
      </c>
      <c r="N452" s="40" t="inlineStr">
        <is>
          <t>Co-Founder, Board Member &amp; Chief Financial Officer</t>
        </is>
      </c>
      <c r="O452" s="41" t="inlineStr">
        <is>
          <t>ankur.j@vamainc.com</t>
        </is>
      </c>
      <c r="P452" s="42" t="inlineStr">
        <is>
          <t>+1 (650) 539-5540</t>
        </is>
      </c>
      <c r="Q452" s="43" t="n">
        <v>2013.0</v>
      </c>
      <c r="R452" s="114">
        <f>HYPERLINK("https://my.pitchbook.com?c=120986-47", "View company online")</f>
      </c>
    </row>
    <row r="453">
      <c r="A453" s="9" t="inlineStr">
        <is>
          <t>176580-64</t>
        </is>
      </c>
      <c r="B453" s="10" t="inlineStr">
        <is>
          <t>Value This Now</t>
        </is>
      </c>
      <c r="C453" s="85">
        <f>HYPERLINK("https://my.pitchbook.com?rrp=176580-64&amp;type=c", "This Company's information is not available to download. Need this Company? Request availability")</f>
      </c>
      <c r="D453" s="12" t="inlineStr">
        <is>
          <t/>
        </is>
      </c>
      <c r="E453" s="13" t="inlineStr">
        <is>
          <t/>
        </is>
      </c>
      <c r="F453" s="14" t="inlineStr">
        <is>
          <t/>
        </is>
      </c>
      <c r="G453" s="15" t="inlineStr">
        <is>
          <t/>
        </is>
      </c>
      <c r="H453" s="16" t="inlineStr">
        <is>
          <t/>
        </is>
      </c>
      <c r="I453" s="17" t="inlineStr">
        <is>
          <t/>
        </is>
      </c>
      <c r="J453" s="18" t="inlineStr">
        <is>
          <t/>
        </is>
      </c>
      <c r="K453" s="19" t="inlineStr">
        <is>
          <t/>
        </is>
      </c>
      <c r="L453" s="20" t="inlineStr">
        <is>
          <t/>
        </is>
      </c>
      <c r="M453" s="21" t="inlineStr">
        <is>
          <t/>
        </is>
      </c>
      <c r="N453" s="22" t="inlineStr">
        <is>
          <t/>
        </is>
      </c>
      <c r="O453" s="23" t="inlineStr">
        <is>
          <t/>
        </is>
      </c>
      <c r="P453" s="24" t="inlineStr">
        <is>
          <t/>
        </is>
      </c>
      <c r="Q453" s="25" t="inlineStr">
        <is>
          <t/>
        </is>
      </c>
      <c r="R453" s="26" t="inlineStr">
        <is>
          <t/>
        </is>
      </c>
    </row>
    <row r="454">
      <c r="A454" s="27" t="inlineStr">
        <is>
          <t>127665-10</t>
        </is>
      </c>
      <c r="B454" s="28" t="inlineStr">
        <is>
          <t>Vali Nanomedical</t>
        </is>
      </c>
      <c r="C454" s="29" t="inlineStr">
        <is>
          <t>94103</t>
        </is>
      </c>
      <c r="D454" s="30" t="inlineStr">
        <is>
          <t>Developer of a drug delivery platform. The company develops a multi-drug delivery platform using proprietary nano particles with multi-layered structure.</t>
        </is>
      </c>
      <c r="E454" s="31" t="inlineStr">
        <is>
          <t>Diagnostic Equipment</t>
        </is>
      </c>
      <c r="F454" s="32" t="inlineStr">
        <is>
          <t>San Francisco, CA</t>
        </is>
      </c>
      <c r="G454" s="33" t="inlineStr">
        <is>
          <t>Privately Held (backing)</t>
        </is>
      </c>
      <c r="H454" s="34" t="inlineStr">
        <is>
          <t>Accelerator/Incubator Backed</t>
        </is>
      </c>
      <c r="I454" s="35" t="inlineStr">
        <is>
          <t>SOSV</t>
        </is>
      </c>
      <c r="J454" s="36" t="inlineStr">
        <is>
          <t>www.valinano.com</t>
        </is>
      </c>
      <c r="K454" s="37" t="inlineStr">
        <is>
          <t>info@valinano.com</t>
        </is>
      </c>
      <c r="L454" s="38" t="inlineStr">
        <is>
          <t/>
        </is>
      </c>
      <c r="M454" s="39" t="inlineStr">
        <is>
          <t>Gordon Galloway</t>
        </is>
      </c>
      <c r="N454" s="40" t="inlineStr">
        <is>
          <t>Chief Financial Officer</t>
        </is>
      </c>
      <c r="O454" s="41" t="inlineStr">
        <is>
          <t/>
        </is>
      </c>
      <c r="P454" s="42" t="inlineStr">
        <is>
          <t/>
        </is>
      </c>
      <c r="Q454" s="43" t="n">
        <v>2013.0</v>
      </c>
      <c r="R454" s="114">
        <f>HYPERLINK("https://my.pitchbook.com?c=127665-10", "View company online")</f>
      </c>
    </row>
    <row r="455">
      <c r="A455" s="9" t="inlineStr">
        <is>
          <t>109718-29</t>
        </is>
      </c>
      <c r="B455" s="10" t="inlineStr">
        <is>
          <t>Valencia Technologies</t>
        </is>
      </c>
      <c r="C455" s="11" t="inlineStr">
        <is>
          <t>91355</t>
        </is>
      </c>
      <c r="D455" s="12" t="inlineStr">
        <is>
          <t>Manufacturer of a coin sized pacemaker like device created to help in the treatment of major chronic hypertension. The company's coin sized pacemaker like device can easily be placed just under the skin in the forearm and offers an affordable and non-drug therapy way to reduce blood pressure, risk of cardiovascular disease and stroke in patients, enabling them to recover hypertension and blood pressure.</t>
        </is>
      </c>
      <c r="E455" s="13" t="inlineStr">
        <is>
          <t>Therapeutic Devices</t>
        </is>
      </c>
      <c r="F455" s="14" t="inlineStr">
        <is>
          <t>Santa Clarita, CA</t>
        </is>
      </c>
      <c r="G455" s="15" t="inlineStr">
        <is>
          <t>Privately Held (backing)</t>
        </is>
      </c>
      <c r="H455" s="16" t="inlineStr">
        <is>
          <t>Angel-Backed</t>
        </is>
      </c>
      <c r="I455" s="17" t="inlineStr">
        <is>
          <t>Jeff Greiner</t>
        </is>
      </c>
      <c r="J455" s="18" t="inlineStr">
        <is>
          <t>www.valenciatechnologies.com</t>
        </is>
      </c>
      <c r="K455" s="19" t="inlineStr">
        <is>
          <t>info@valenciatechnologies.com</t>
        </is>
      </c>
      <c r="L455" s="20" t="inlineStr">
        <is>
          <t>+1 (661) 775-1414</t>
        </is>
      </c>
      <c r="M455" s="21" t="inlineStr">
        <is>
          <t>Jeffrey Greiner</t>
        </is>
      </c>
      <c r="N455" s="22" t="inlineStr">
        <is>
          <t>Co-Founder, Chief Executive Officer &amp; Board Member</t>
        </is>
      </c>
      <c r="O455" s="23" t="inlineStr">
        <is>
          <t>jgreiner@valenciatechnologies.com</t>
        </is>
      </c>
      <c r="P455" s="24" t="inlineStr">
        <is>
          <t>+1 (661) 775-1414</t>
        </is>
      </c>
      <c r="Q455" s="25" t="n">
        <v>2011.0</v>
      </c>
      <c r="R455" s="113">
        <f>HYPERLINK("https://my.pitchbook.com?c=109718-29", "View company online")</f>
      </c>
    </row>
    <row r="456">
      <c r="A456" s="27" t="inlineStr">
        <is>
          <t>110811-97</t>
        </is>
      </c>
      <c r="B456" s="28" t="inlineStr">
        <is>
          <t>Valcrest Pharmaceuticals</t>
        </is>
      </c>
      <c r="C456" s="29" t="inlineStr">
        <is>
          <t>94040</t>
        </is>
      </c>
      <c r="D456" s="30" t="inlineStr">
        <is>
          <t>Developer of pharmaceutical products for treating ultra-rare orphan diseases. The company specializes in the development and commercialization of pharmaceutical products to address the needs of patients with ultra-rare orphan diseases.</t>
        </is>
      </c>
      <c r="E456" s="31" t="inlineStr">
        <is>
          <t>Pharmaceuticals</t>
        </is>
      </c>
      <c r="F456" s="32" t="inlineStr">
        <is>
          <t>Mountain View, CA</t>
        </is>
      </c>
      <c r="G456" s="33" t="inlineStr">
        <is>
          <t>Privately Held (backing)</t>
        </is>
      </c>
      <c r="H456" s="34" t="inlineStr">
        <is>
          <t>Angel-Backed</t>
        </is>
      </c>
      <c r="I456" s="35" t="inlineStr">
        <is>
          <t/>
        </is>
      </c>
      <c r="J456" s="36" t="inlineStr">
        <is>
          <t>www.valcrestpharma.com</t>
        </is>
      </c>
      <c r="K456" s="37" t="inlineStr">
        <is>
          <t>ken@valcrestpharma.com</t>
        </is>
      </c>
      <c r="L456" s="38" t="inlineStr">
        <is>
          <t>+1 (650) 796-3865</t>
        </is>
      </c>
      <c r="M456" s="39" t="inlineStr">
        <is>
          <t>Kenneth Greathouse</t>
        </is>
      </c>
      <c r="N456" s="40" t="inlineStr">
        <is>
          <t>Chief Executive Officer</t>
        </is>
      </c>
      <c r="O456" s="41" t="inlineStr">
        <is>
          <t>ken@valcrestpharma.com</t>
        </is>
      </c>
      <c r="P456" s="42" t="inlineStr">
        <is>
          <t>+1 (650) 796-3865</t>
        </is>
      </c>
      <c r="Q456" s="43" t="n">
        <v>2015.0</v>
      </c>
      <c r="R456" s="114">
        <f>HYPERLINK("https://my.pitchbook.com?c=110811-97", "View company online")</f>
      </c>
    </row>
    <row r="457">
      <c r="A457" s="9" t="inlineStr">
        <is>
          <t>65556-37</t>
        </is>
      </c>
      <c r="B457" s="10" t="inlineStr">
        <is>
          <t>Vakast</t>
        </is>
      </c>
      <c r="C457" s="11" t="inlineStr">
        <is>
          <t>92660</t>
        </is>
      </c>
      <c r="D457" s="12" t="inlineStr">
        <is>
          <t>Provider of an online vacation rental listing platform. The company provides a web based vacation listing platform where visitors can choose their destination and compare numerous vacation rentals side-by-side, view pictures, amenities, and seasonal rates.</t>
        </is>
      </c>
      <c r="E457" s="13" t="inlineStr">
        <is>
          <t>Social/Platform Software</t>
        </is>
      </c>
      <c r="F457" s="14" t="inlineStr">
        <is>
          <t>Newport Beach, CA</t>
        </is>
      </c>
      <c r="G457" s="15" t="inlineStr">
        <is>
          <t>Privately Held (backing)</t>
        </is>
      </c>
      <c r="H457" s="16" t="inlineStr">
        <is>
          <t>Angel-Backed</t>
        </is>
      </c>
      <c r="I457" s="17" t="inlineStr">
        <is>
          <t>Chinh Chu, Ken Pansuria, Nicky Nguyen</t>
        </is>
      </c>
      <c r="J457" s="18" t="inlineStr">
        <is>
          <t>www.vakast.com</t>
        </is>
      </c>
      <c r="K457" s="19" t="inlineStr">
        <is>
          <t>info@vakast.com</t>
        </is>
      </c>
      <c r="L457" s="20" t="inlineStr">
        <is>
          <t/>
        </is>
      </c>
      <c r="M457" s="21" t="inlineStr">
        <is>
          <t>Tam Nguyen</t>
        </is>
      </c>
      <c r="N457" s="22" t="inlineStr">
        <is>
          <t>Co-Founder, Board Member &amp; Chief Information Officer</t>
        </is>
      </c>
      <c r="O457" s="23" t="inlineStr">
        <is>
          <t>tam.nguyen@vakast.com</t>
        </is>
      </c>
      <c r="P457" s="24" t="inlineStr">
        <is>
          <t/>
        </is>
      </c>
      <c r="Q457" s="25" t="n">
        <v>2012.0</v>
      </c>
      <c r="R457" s="113">
        <f>HYPERLINK("https://my.pitchbook.com?c=65556-37", "View company online")</f>
      </c>
    </row>
    <row r="458">
      <c r="A458" s="27" t="inlineStr">
        <is>
          <t>178763-32</t>
        </is>
      </c>
      <c r="B458" s="28" t="inlineStr">
        <is>
          <t>Vacayo</t>
        </is>
      </c>
      <c r="C458" s="29" t="inlineStr">
        <is>
          <t>92101</t>
        </is>
      </c>
      <c r="D458" s="30" t="inlineStr">
        <is>
          <t>Developer of a vacation rental platform designed to transform long-term rentals into short-term group vacation homes . The company's vacation rental platform provides booking management, hospitality service, wireless electronic lock and motion detector cameras for homes, 24/7 live phone and chat facility and pricing algorithm, enabling users to earn money through renting their apartments while they travel for work.</t>
        </is>
      </c>
      <c r="E458" s="31" t="inlineStr">
        <is>
          <t>Application Software</t>
        </is>
      </c>
      <c r="F458" s="32" t="inlineStr">
        <is>
          <t>San Diego, CA</t>
        </is>
      </c>
      <c r="G458" s="33" t="inlineStr">
        <is>
          <t>Privately Held (backing)</t>
        </is>
      </c>
      <c r="H458" s="34" t="inlineStr">
        <is>
          <t>Accelerator/Incubator Backed</t>
        </is>
      </c>
      <c r="I458" s="35" t="inlineStr">
        <is>
          <t>500 Startups</t>
        </is>
      </c>
      <c r="J458" s="36" t="inlineStr">
        <is>
          <t>www.vacayo.com</t>
        </is>
      </c>
      <c r="K458" s="37" t="inlineStr">
        <is>
          <t>hi@vacayo.com</t>
        </is>
      </c>
      <c r="L458" s="38" t="inlineStr">
        <is>
          <t/>
        </is>
      </c>
      <c r="M458" s="39" t="inlineStr">
        <is>
          <t>Isabel Berney</t>
        </is>
      </c>
      <c r="N458" s="40" t="inlineStr">
        <is>
          <t>Founder</t>
        </is>
      </c>
      <c r="O458" s="41" t="inlineStr">
        <is>
          <t>isabel@vacayo.com</t>
        </is>
      </c>
      <c r="P458" s="42" t="inlineStr">
        <is>
          <t/>
        </is>
      </c>
      <c r="Q458" s="43" t="inlineStr">
        <is>
          <t/>
        </is>
      </c>
      <c r="R458" s="114">
        <f>HYPERLINK("https://my.pitchbook.com?c=178763-32", "View company online")</f>
      </c>
    </row>
    <row r="459">
      <c r="A459" s="9" t="inlineStr">
        <is>
          <t>171351-46</t>
        </is>
      </c>
      <c r="B459" s="10" t="inlineStr">
        <is>
          <t>V&amp;R Energy Systems Research</t>
        </is>
      </c>
      <c r="C459" s="85">
        <f>HYPERLINK("https://my.pitchbook.com?rrp=171351-46&amp;type=c", "This Company's information is not available to download. Need this Company? Request availability")</f>
      </c>
      <c r="D459" s="12" t="inlineStr">
        <is>
          <t/>
        </is>
      </c>
      <c r="E459" s="13" t="inlineStr">
        <is>
          <t/>
        </is>
      </c>
      <c r="F459" s="14" t="inlineStr">
        <is>
          <t/>
        </is>
      </c>
      <c r="G459" s="15" t="inlineStr">
        <is>
          <t/>
        </is>
      </c>
      <c r="H459" s="16" t="inlineStr">
        <is>
          <t/>
        </is>
      </c>
      <c r="I459" s="17" t="inlineStr">
        <is>
          <t/>
        </is>
      </c>
      <c r="J459" s="18" t="inlineStr">
        <is>
          <t/>
        </is>
      </c>
      <c r="K459" s="19" t="inlineStr">
        <is>
          <t/>
        </is>
      </c>
      <c r="L459" s="20" t="inlineStr">
        <is>
          <t/>
        </is>
      </c>
      <c r="M459" s="21" t="inlineStr">
        <is>
          <t/>
        </is>
      </c>
      <c r="N459" s="22" t="inlineStr">
        <is>
          <t/>
        </is>
      </c>
      <c r="O459" s="23" t="inlineStr">
        <is>
          <t/>
        </is>
      </c>
      <c r="P459" s="24" t="inlineStr">
        <is>
          <t/>
        </is>
      </c>
      <c r="Q459" s="25" t="inlineStr">
        <is>
          <t/>
        </is>
      </c>
      <c r="R459" s="26" t="inlineStr">
        <is>
          <t/>
        </is>
      </c>
    </row>
    <row r="460">
      <c r="A460" s="27" t="inlineStr">
        <is>
          <t>153718-48</t>
        </is>
      </c>
      <c r="B460" s="28" t="inlineStr">
        <is>
          <t>UXTesting</t>
        </is>
      </c>
      <c r="C460" s="29" t="inlineStr">
        <is>
          <t>94025</t>
        </is>
      </c>
      <c r="D460" s="30" t="inlineStr">
        <is>
          <t>Developer of mobile testing tools and technologies. The company designs and builds a software that enables users and mobile application developers to determine and analyze user's behavior and experience.</t>
        </is>
      </c>
      <c r="E460" s="31" t="inlineStr">
        <is>
          <t>Application Software</t>
        </is>
      </c>
      <c r="F460" s="32" t="inlineStr">
        <is>
          <t>Menlo Park, CA</t>
        </is>
      </c>
      <c r="G460" s="33" t="inlineStr">
        <is>
          <t>Privately Held (backing)</t>
        </is>
      </c>
      <c r="H460" s="34" t="inlineStr">
        <is>
          <t>Accelerator/Incubator Backed</t>
        </is>
      </c>
      <c r="I460" s="35" t="inlineStr">
        <is>
          <t>Right Side Capital Management, Techstars</t>
        </is>
      </c>
      <c r="J460" s="36" t="inlineStr">
        <is>
          <t>www.uxtesting.io</t>
        </is>
      </c>
      <c r="K460" s="37" t="inlineStr">
        <is>
          <t/>
        </is>
      </c>
      <c r="L460" s="38" t="inlineStr">
        <is>
          <t>+1 (626) 841-9463</t>
        </is>
      </c>
      <c r="M460" s="39" t="inlineStr">
        <is>
          <t>Aldrich Huang</t>
        </is>
      </c>
      <c r="N460" s="40" t="inlineStr">
        <is>
          <t>Co-Founder &amp; Chief Executive Officer</t>
        </is>
      </c>
      <c r="O460" s="41" t="inlineStr">
        <is>
          <t/>
        </is>
      </c>
      <c r="P460" s="42" t="inlineStr">
        <is>
          <t>+1 (626) 841-9463</t>
        </is>
      </c>
      <c r="Q460" s="43" t="n">
        <v>2014.0</v>
      </c>
      <c r="R460" s="114">
        <f>HYPERLINK("https://my.pitchbook.com?c=153718-48", "View company online")</f>
      </c>
    </row>
    <row r="461">
      <c r="A461" s="9" t="inlineStr">
        <is>
          <t>98514-82</t>
        </is>
      </c>
      <c r="B461" s="10" t="inlineStr">
        <is>
          <t>UXCam</t>
        </is>
      </c>
      <c r="C461" s="11" t="inlineStr">
        <is>
          <t>94103</t>
        </is>
      </c>
      <c r="D461" s="12" t="inlineStr">
        <is>
          <t>Developer of a user experience optimization tool designed to help in creating mobile apps. The company's user experience optimization tool helps to record and analyze user experiences with the application and helps to understand their problems and bugs enabling business to optimize the product design and deliver enhanced applications.</t>
        </is>
      </c>
      <c r="E461" s="13" t="inlineStr">
        <is>
          <t>Application Software</t>
        </is>
      </c>
      <c r="F461" s="14" t="inlineStr">
        <is>
          <t>San Francisco, CA</t>
        </is>
      </c>
      <c r="G461" s="15" t="inlineStr">
        <is>
          <t>Privately Held (backing)</t>
        </is>
      </c>
      <c r="H461" s="16" t="inlineStr">
        <is>
          <t>Accelerator/Incubator Backed</t>
        </is>
      </c>
      <c r="I461" s="17" t="inlineStr">
        <is>
          <t>500 Startups, Microsoft Accelerator, Parallel 18</t>
        </is>
      </c>
      <c r="J461" s="18" t="inlineStr">
        <is>
          <t>www.uxcam.com</t>
        </is>
      </c>
      <c r="K461" s="19" t="inlineStr">
        <is>
          <t>hello@uxcam.com</t>
        </is>
      </c>
      <c r="L461" s="20" t="inlineStr">
        <is>
          <t>+1 (800) 279-1455</t>
        </is>
      </c>
      <c r="M461" s="21" t="inlineStr">
        <is>
          <t>Kishan Gupta</t>
        </is>
      </c>
      <c r="N461" s="22" t="inlineStr">
        <is>
          <t>Chief Executive Officer &amp; Co-Founder</t>
        </is>
      </c>
      <c r="O461" s="23" t="inlineStr">
        <is>
          <t>kishan@uxcam.com</t>
        </is>
      </c>
      <c r="P461" s="24" t="inlineStr">
        <is>
          <t>+1 (800) 279-1455</t>
        </is>
      </c>
      <c r="Q461" s="25" t="n">
        <v>2012.0</v>
      </c>
      <c r="R461" s="113">
        <f>HYPERLINK("https://my.pitchbook.com?c=98514-82", "View company online")</f>
      </c>
    </row>
    <row r="462">
      <c r="A462" s="27" t="inlineStr">
        <is>
          <t>103298-68</t>
        </is>
      </c>
      <c r="B462" s="28" t="inlineStr">
        <is>
          <t>UVLrx Therapeutics</t>
        </is>
      </c>
      <c r="C462" s="29" t="inlineStr">
        <is>
          <t>93101</t>
        </is>
      </c>
      <c r="D462" s="30" t="inlineStr">
        <is>
          <t>Developer of an intravenous light therapy. The company develops intravenous light therapy technologies to improve red blood cell function and oxygen delivery in patients.</t>
        </is>
      </c>
      <c r="E462" s="31" t="inlineStr">
        <is>
          <t>Other Devices and Supplies</t>
        </is>
      </c>
      <c r="F462" s="32" t="inlineStr">
        <is>
          <t>Santa Barbara, CA</t>
        </is>
      </c>
      <c r="G462" s="33" t="inlineStr">
        <is>
          <t>Privately Held (backing)</t>
        </is>
      </c>
      <c r="H462" s="34" t="inlineStr">
        <is>
          <t>Angel-Backed</t>
        </is>
      </c>
      <c r="I462" s="35" t="inlineStr">
        <is>
          <t/>
        </is>
      </c>
      <c r="J462" s="36" t="inlineStr">
        <is>
          <t>www.uvlrx.com</t>
        </is>
      </c>
      <c r="K462" s="37" t="inlineStr">
        <is>
          <t>info@uvlrx.com</t>
        </is>
      </c>
      <c r="L462" s="38" t="inlineStr">
        <is>
          <t>+1 (844) 885-7979</t>
        </is>
      </c>
      <c r="M462" s="39" t="inlineStr">
        <is>
          <t>Tom Digiovanni</t>
        </is>
      </c>
      <c r="N462" s="40" t="inlineStr">
        <is>
          <t>Chief Financial Officer &amp; Chief Operating Officer</t>
        </is>
      </c>
      <c r="O462" s="41" t="inlineStr">
        <is>
          <t/>
        </is>
      </c>
      <c r="P462" s="42" t="inlineStr">
        <is>
          <t>+1 (844) 885-7979</t>
        </is>
      </c>
      <c r="Q462" s="43" t="n">
        <v>2009.0</v>
      </c>
      <c r="R462" s="114">
        <f>HYPERLINK("https://my.pitchbook.com?c=103298-68", "View company online")</f>
      </c>
    </row>
    <row r="463">
      <c r="A463" s="9" t="inlineStr">
        <is>
          <t>99747-73</t>
        </is>
      </c>
      <c r="B463" s="10" t="inlineStr">
        <is>
          <t>UVA Mobile</t>
        </is>
      </c>
      <c r="C463" s="11" t="inlineStr">
        <is>
          <t/>
        </is>
      </c>
      <c r="D463" s="12" t="inlineStr">
        <is>
          <t>Provider of pre-paid wireless services to families, businesses and other users through different tariff plans. The company offers a platform that provides personalized prepaid mobile services and value-add services to businesses and consumers.</t>
        </is>
      </c>
      <c r="E463" s="13" t="inlineStr">
        <is>
          <t>Telecommunications Service Providers</t>
        </is>
      </c>
      <c r="F463" s="14" t="inlineStr">
        <is>
          <t>San Diego, CA</t>
        </is>
      </c>
      <c r="G463" s="15" t="inlineStr">
        <is>
          <t>Privately Held (backing)</t>
        </is>
      </c>
      <c r="H463" s="16" t="inlineStr">
        <is>
          <t>Accelerator/Incubator Backed</t>
        </is>
      </c>
      <c r="I463" s="17" t="inlineStr">
        <is>
          <t>EvoNexus</t>
        </is>
      </c>
      <c r="J463" s="18" t="inlineStr">
        <is>
          <t>www.uvamobile.com</t>
        </is>
      </c>
      <c r="K463" s="19" t="inlineStr">
        <is>
          <t/>
        </is>
      </c>
      <c r="L463" s="20" t="inlineStr">
        <is>
          <t/>
        </is>
      </c>
      <c r="M463" s="21" t="inlineStr">
        <is>
          <t>Mehul Merchant</t>
        </is>
      </c>
      <c r="N463" s="22" t="inlineStr">
        <is>
          <t>Founder &amp; Chief Executive Officer</t>
        </is>
      </c>
      <c r="O463" s="23" t="inlineStr">
        <is>
          <t>mehul@uvamobile.com</t>
        </is>
      </c>
      <c r="P463" s="24" t="inlineStr">
        <is>
          <t/>
        </is>
      </c>
      <c r="Q463" s="25" t="n">
        <v>2014.0</v>
      </c>
      <c r="R463" s="113">
        <f>HYPERLINK("https://my.pitchbook.com?c=99747-73", "View company online")</f>
      </c>
    </row>
    <row r="464">
      <c r="A464" s="27" t="inlineStr">
        <is>
          <t>164355-13</t>
        </is>
      </c>
      <c r="B464" s="28" t="inlineStr">
        <is>
          <t>UtilityScore</t>
        </is>
      </c>
      <c r="C464" s="29" t="inlineStr">
        <is>
          <t>94607</t>
        </is>
      </c>
      <c r="D464" s="30" t="inlineStr">
        <is>
          <t>Provider of a personalized recommendation platform for home improvements. The company designs and develops a back-end software tool that allows companies to call up estimates for homes in the United States for utility costs like water and electricity bills.</t>
        </is>
      </c>
      <c r="E464" s="31" t="inlineStr">
        <is>
          <t>Social/Platform Software</t>
        </is>
      </c>
      <c r="F464" s="32" t="inlineStr">
        <is>
          <t>Oakland, CA</t>
        </is>
      </c>
      <c r="G464" s="33" t="inlineStr">
        <is>
          <t>Privately Held (backing)</t>
        </is>
      </c>
      <c r="H464" s="34" t="inlineStr">
        <is>
          <t>Accelerator/Incubator Backed</t>
        </is>
      </c>
      <c r="I464" s="35" t="inlineStr">
        <is>
          <t>Angeline Yap, Y Combinator</t>
        </is>
      </c>
      <c r="J464" s="36" t="inlineStr">
        <is>
          <t>www.myutilityscore.com</t>
        </is>
      </c>
      <c r="K464" s="37" t="inlineStr">
        <is>
          <t>info@myutilityscore.com</t>
        </is>
      </c>
      <c r="L464" s="38" t="inlineStr">
        <is>
          <t>+1 (510) 444-8707</t>
        </is>
      </c>
      <c r="M464" s="39" t="inlineStr">
        <is>
          <t>Brian Gitt</t>
        </is>
      </c>
      <c r="N464" s="40" t="inlineStr">
        <is>
          <t>Founder &amp; Chief Executive Officer</t>
        </is>
      </c>
      <c r="O464" s="41" t="inlineStr">
        <is>
          <t>brian.gitt@myutilityscore.com</t>
        </is>
      </c>
      <c r="P464" s="42" t="inlineStr">
        <is>
          <t>+1 (510) 444-8707</t>
        </is>
      </c>
      <c r="Q464" s="43" t="n">
        <v>2015.0</v>
      </c>
      <c r="R464" s="114">
        <f>HYPERLINK("https://my.pitchbook.com?c=164355-13", "View company online")</f>
      </c>
    </row>
    <row r="465">
      <c r="A465" s="9" t="inlineStr">
        <is>
          <t>140295-88</t>
        </is>
      </c>
      <c r="B465" s="10" t="inlineStr">
        <is>
          <t>Utelogy</t>
        </is>
      </c>
      <c r="C465" s="11" t="inlineStr">
        <is>
          <t>92626</t>
        </is>
      </c>
      <c r="D465" s="12" t="inlineStr">
        <is>
          <t>Developer of a cloud-based audio and visual system management platform. The company's cloud-based platform enables controlling, management and analytics of audio and video systems in corporations, classrooms and emergency response centers.</t>
        </is>
      </c>
      <c r="E465" s="13" t="inlineStr">
        <is>
          <t>Social/Platform Software</t>
        </is>
      </c>
      <c r="F465" s="14" t="inlineStr">
        <is>
          <t>Costa Mesa, CA</t>
        </is>
      </c>
      <c r="G465" s="15" t="inlineStr">
        <is>
          <t>Privately Held (backing)</t>
        </is>
      </c>
      <c r="H465" s="16" t="inlineStr">
        <is>
          <t>Angel-Backed</t>
        </is>
      </c>
      <c r="I465" s="17" t="inlineStr">
        <is>
          <t/>
        </is>
      </c>
      <c r="J465" s="18" t="inlineStr">
        <is>
          <t>www.utelogy.com</t>
        </is>
      </c>
      <c r="K465" s="19" t="inlineStr">
        <is>
          <t>info@utelogy.com</t>
        </is>
      </c>
      <c r="L465" s="20" t="inlineStr">
        <is>
          <t>+1 (877) 878-6439</t>
        </is>
      </c>
      <c r="M465" s="21" t="inlineStr">
        <is>
          <t>Frank Pellkofer</t>
        </is>
      </c>
      <c r="N465" s="22" t="inlineStr">
        <is>
          <t>Chief Financial Officer</t>
        </is>
      </c>
      <c r="O465" s="23" t="inlineStr">
        <is>
          <t>frank.pellkofer@utelogy.com</t>
        </is>
      </c>
      <c r="P465" s="24" t="inlineStr">
        <is>
          <t>+1 (877) 878-6439</t>
        </is>
      </c>
      <c r="Q465" s="25" t="n">
        <v>2009.0</v>
      </c>
      <c r="R465" s="113">
        <f>HYPERLINK("https://my.pitchbook.com?c=140295-88", "View company online")</f>
      </c>
    </row>
    <row r="466">
      <c r="A466" s="27" t="inlineStr">
        <is>
          <t>59185-54</t>
        </is>
      </c>
      <c r="B466" s="28" t="inlineStr">
        <is>
          <t>ustyme</t>
        </is>
      </c>
      <c r="C466" s="29" t="inlineStr">
        <is>
          <t>94965</t>
        </is>
      </c>
      <c r="D466" s="30" t="inlineStr">
        <is>
          <t>Developer of video-call iPad application for families and friends. The company provides a platform to build collections of books and games, and share them with family and friends.</t>
        </is>
      </c>
      <c r="E466" s="31" t="inlineStr">
        <is>
          <t>Application Software</t>
        </is>
      </c>
      <c r="F466" s="32" t="inlineStr">
        <is>
          <t>Sausalito, CA</t>
        </is>
      </c>
      <c r="G466" s="33" t="inlineStr">
        <is>
          <t>Privately Held (backing)</t>
        </is>
      </c>
      <c r="H466" s="34" t="inlineStr">
        <is>
          <t>Angel-Backed</t>
        </is>
      </c>
      <c r="I466" s="35" t="inlineStr">
        <is>
          <t>The Woodside Financial Group, Venkat Raju</t>
        </is>
      </c>
      <c r="J466" s="36" t="inlineStr">
        <is>
          <t>www.ustyme.com</t>
        </is>
      </c>
      <c r="K466" s="37" t="inlineStr">
        <is>
          <t>support@ustyme.com</t>
        </is>
      </c>
      <c r="L466" s="38" t="inlineStr">
        <is>
          <t>+1 (415) 729-9683</t>
        </is>
      </c>
      <c r="M466" s="39" t="inlineStr">
        <is>
          <t>Linda Salesky</t>
        </is>
      </c>
      <c r="N466" s="40" t="inlineStr">
        <is>
          <t>Co-Founder</t>
        </is>
      </c>
      <c r="O466" s="41" t="inlineStr">
        <is>
          <t>linda@ustyme.com</t>
        </is>
      </c>
      <c r="P466" s="42" t="inlineStr">
        <is>
          <t>+1 (415) 729-9683</t>
        </is>
      </c>
      <c r="Q466" s="43" t="n">
        <v>2012.0</v>
      </c>
      <c r="R466" s="114">
        <f>HYPERLINK("https://my.pitchbook.com?c=59185-54", "View company online")</f>
      </c>
    </row>
    <row r="467">
      <c r="A467" s="9" t="inlineStr">
        <is>
          <t>168680-80</t>
        </is>
      </c>
      <c r="B467" s="10" t="inlineStr">
        <is>
          <t>UserGems</t>
        </is>
      </c>
      <c r="C467" s="11" t="inlineStr">
        <is>
          <t>94103</t>
        </is>
      </c>
      <c r="D467" s="12" t="inlineStr">
        <is>
          <t>Provider of an online platform to identify and engage micro-influencers. The company designs and develops a software platform that turns customers into advocates by identifying influential customers and engaging them to talk about the product.</t>
        </is>
      </c>
      <c r="E467" s="13" t="inlineStr">
        <is>
          <t>Social/Platform Software</t>
        </is>
      </c>
      <c r="F467" s="14" t="inlineStr">
        <is>
          <t>San Francisco, CA</t>
        </is>
      </c>
      <c r="G467" s="15" t="inlineStr">
        <is>
          <t>Privately Held (backing)</t>
        </is>
      </c>
      <c r="H467" s="16" t="inlineStr">
        <is>
          <t>Accelerator/Incubator Backed</t>
        </is>
      </c>
      <c r="I467" s="17" t="inlineStr">
        <is>
          <t>Y Combinator</t>
        </is>
      </c>
      <c r="J467" s="18" t="inlineStr">
        <is>
          <t>www.usergems.com</t>
        </is>
      </c>
      <c r="K467" s="19" t="inlineStr">
        <is>
          <t/>
        </is>
      </c>
      <c r="L467" s="20" t="inlineStr">
        <is>
          <t>+1 (415) 857-5191</t>
        </is>
      </c>
      <c r="M467" s="21" t="inlineStr">
        <is>
          <t>Stephan Kletzl</t>
        </is>
      </c>
      <c r="N467" s="22" t="inlineStr">
        <is>
          <t>Co-Founder</t>
        </is>
      </c>
      <c r="O467" s="23" t="inlineStr">
        <is>
          <t>stephan@usergems.com</t>
        </is>
      </c>
      <c r="P467" s="24" t="inlineStr">
        <is>
          <t>+1 (415) 857-5191</t>
        </is>
      </c>
      <c r="Q467" s="25" t="n">
        <v>2014.0</v>
      </c>
      <c r="R467" s="113">
        <f>HYPERLINK("https://my.pitchbook.com?c=168680-80", "View company online")</f>
      </c>
    </row>
    <row r="468">
      <c r="A468" s="27" t="inlineStr">
        <is>
          <t>119173-96</t>
        </is>
      </c>
      <c r="B468" s="28" t="inlineStr">
        <is>
          <t>Used Cardboard Boxes</t>
        </is>
      </c>
      <c r="C468" s="29" t="inlineStr">
        <is>
          <t>90010</t>
        </is>
      </c>
      <c r="D468" s="30" t="inlineStr">
        <is>
          <t>Refurbisher of used cardboard boxes. The company acquires and repairs cardboard boxes from entities that would otherwise discard them for resale.</t>
        </is>
      </c>
      <c r="E468" s="31" t="inlineStr">
        <is>
          <t>Paper Containers &amp; Packaging</t>
        </is>
      </c>
      <c r="F468" s="32" t="inlineStr">
        <is>
          <t>Los Angeles, CA</t>
        </is>
      </c>
      <c r="G468" s="33" t="inlineStr">
        <is>
          <t>Privately Held (backing)</t>
        </is>
      </c>
      <c r="H468" s="34" t="inlineStr">
        <is>
          <t>Accelerator/Incubator Backed</t>
        </is>
      </c>
      <c r="I468" s="35" t="inlineStr">
        <is>
          <t>Funk Ventures, Tech Coast Angels</t>
        </is>
      </c>
      <c r="J468" s="36" t="inlineStr">
        <is>
          <t>www.usedcardboardboxes.com</t>
        </is>
      </c>
      <c r="K468" s="37" t="inlineStr">
        <is>
          <t/>
        </is>
      </c>
      <c r="L468" s="38" t="inlineStr">
        <is>
          <t>+1 (323) 724-2500</t>
        </is>
      </c>
      <c r="M468" s="39" t="inlineStr">
        <is>
          <t>David Krasnow</t>
        </is>
      </c>
      <c r="N468" s="40" t="inlineStr">
        <is>
          <t>Chief Financial Officer &amp; Chief Operating Officer</t>
        </is>
      </c>
      <c r="O468" s="41" t="inlineStr">
        <is>
          <t>david.krasnow@usedcardboardboxes.com</t>
        </is>
      </c>
      <c r="P468" s="42" t="inlineStr">
        <is>
          <t>+1 (323) 724-2500</t>
        </is>
      </c>
      <c r="Q468" s="43" t="n">
        <v>2006.0</v>
      </c>
      <c r="R468" s="114">
        <f>HYPERLINK("https://my.pitchbook.com?c=119173-96", "View company online")</f>
      </c>
    </row>
    <row r="469">
      <c r="A469" s="9" t="inlineStr">
        <is>
          <t>102532-96</t>
        </is>
      </c>
      <c r="B469" s="10" t="inlineStr">
        <is>
          <t>USB Promos</t>
        </is>
      </c>
      <c r="C469" s="11" t="inlineStr">
        <is>
          <t>94104</t>
        </is>
      </c>
      <c r="D469" s="12" t="inlineStr">
        <is>
          <t>Manufacturer of electronic products. The company develops and commercializes customized promotional USB products including USB drives, cables, power banks &amp; mobile accessories.</t>
        </is>
      </c>
      <c r="E469" s="13" t="inlineStr">
        <is>
          <t>Electronics (B2C)</t>
        </is>
      </c>
      <c r="F469" s="14" t="inlineStr">
        <is>
          <t>San Francisco, CA</t>
        </is>
      </c>
      <c r="G469" s="15" t="inlineStr">
        <is>
          <t>Privately Held (backing)</t>
        </is>
      </c>
      <c r="H469" s="16" t="inlineStr">
        <is>
          <t>Angel-Backed</t>
        </is>
      </c>
      <c r="I469" s="17" t="inlineStr">
        <is>
          <t>Individual Investor, Shenzhen Municipal Government, Southern China Investment Co.</t>
        </is>
      </c>
      <c r="J469" s="18" t="inlineStr">
        <is>
          <t>www.usbpromos.com</t>
        </is>
      </c>
      <c r="K469" s="19" t="inlineStr">
        <is>
          <t>sales@usbpromos.com</t>
        </is>
      </c>
      <c r="L469" s="20" t="inlineStr">
        <is>
          <t>+1 (800) 515-3990</t>
        </is>
      </c>
      <c r="M469" s="21" t="inlineStr">
        <is>
          <t>Cassey Xu</t>
        </is>
      </c>
      <c r="N469" s="22" t="inlineStr">
        <is>
          <t>Founder, President &amp; Co-Owner</t>
        </is>
      </c>
      <c r="O469" s="23" t="inlineStr">
        <is>
          <t/>
        </is>
      </c>
      <c r="P469" s="24" t="inlineStr">
        <is>
          <t>+1 (800) 515-3990</t>
        </is>
      </c>
      <c r="Q469" s="25" t="n">
        <v>2006.0</v>
      </c>
      <c r="R469" s="113">
        <f>HYPERLINK("https://my.pitchbook.com?c=102532-96", "View company online")</f>
      </c>
    </row>
    <row r="470">
      <c r="A470" s="27" t="inlineStr">
        <is>
          <t>113608-72</t>
        </is>
      </c>
      <c r="B470" s="28" t="inlineStr">
        <is>
          <t>US Methanol</t>
        </is>
      </c>
      <c r="C470" s="86">
        <f>HYPERLINK("https://my.pitchbook.com?rrp=113608-72&amp;type=c", "This Company's information is not available to download. Need this Company? Request availability")</f>
      </c>
      <c r="D470" s="30" t="inlineStr">
        <is>
          <t/>
        </is>
      </c>
      <c r="E470" s="31" t="inlineStr">
        <is>
          <t/>
        </is>
      </c>
      <c r="F470" s="32" t="inlineStr">
        <is>
          <t/>
        </is>
      </c>
      <c r="G470" s="33" t="inlineStr">
        <is>
          <t/>
        </is>
      </c>
      <c r="H470" s="34" t="inlineStr">
        <is>
          <t/>
        </is>
      </c>
      <c r="I470" s="35" t="inlineStr">
        <is>
          <t/>
        </is>
      </c>
      <c r="J470" s="36" t="inlineStr">
        <is>
          <t/>
        </is>
      </c>
      <c r="K470" s="37" t="inlineStr">
        <is>
          <t/>
        </is>
      </c>
      <c r="L470" s="38" t="inlineStr">
        <is>
          <t/>
        </is>
      </c>
      <c r="M470" s="39" t="inlineStr">
        <is>
          <t/>
        </is>
      </c>
      <c r="N470" s="40" t="inlineStr">
        <is>
          <t/>
        </is>
      </c>
      <c r="O470" s="41" t="inlineStr">
        <is>
          <t/>
        </is>
      </c>
      <c r="P470" s="42" t="inlineStr">
        <is>
          <t/>
        </is>
      </c>
      <c r="Q470" s="43" t="inlineStr">
        <is>
          <t/>
        </is>
      </c>
      <c r="R470" s="44" t="inlineStr">
        <is>
          <t/>
        </is>
      </c>
    </row>
    <row r="471">
      <c r="A471" s="9" t="inlineStr">
        <is>
          <t>157485-16</t>
        </is>
      </c>
      <c r="B471" s="10" t="inlineStr">
        <is>
          <t>UrLife Media</t>
        </is>
      </c>
      <c r="C471" s="11" t="inlineStr">
        <is>
          <t>90232</t>
        </is>
      </c>
      <c r="D471" s="12" t="inlineStr">
        <is>
          <t>Provider of an online video trailer editing platform. The company offers a Web-based platform and mobile application that enables users to create, edit and share video trailer of memories with their friends and family.</t>
        </is>
      </c>
      <c r="E471" s="13" t="inlineStr">
        <is>
          <t>Multimedia and Design Software</t>
        </is>
      </c>
      <c r="F471" s="14" t="inlineStr">
        <is>
          <t>Los Angeles, CA</t>
        </is>
      </c>
      <c r="G471" s="15" t="inlineStr">
        <is>
          <t>Privately Held (backing)</t>
        </is>
      </c>
      <c r="H471" s="16" t="inlineStr">
        <is>
          <t>Angel-Backed</t>
        </is>
      </c>
      <c r="I471" s="17" t="inlineStr">
        <is>
          <t/>
        </is>
      </c>
      <c r="J471" s="18" t="inlineStr">
        <is>
          <t>www.urlifemedia.com</t>
        </is>
      </c>
      <c r="K471" s="19" t="inlineStr">
        <is>
          <t>trailer@urlifemedia.com</t>
        </is>
      </c>
      <c r="L471" s="20" t="inlineStr">
        <is>
          <t>+1 (310) 730-4501</t>
        </is>
      </c>
      <c r="M471" s="21" t="inlineStr">
        <is>
          <t>Jack Giarraputo</t>
        </is>
      </c>
      <c r="N471" s="22" t="inlineStr">
        <is>
          <t>Co-Founder &amp; Board Member</t>
        </is>
      </c>
      <c r="O471" s="23" t="inlineStr">
        <is>
          <t>jgiarraputo@urlifemedia.com</t>
        </is>
      </c>
      <c r="P471" s="24" t="inlineStr">
        <is>
          <t>+1 (310) 730-4501</t>
        </is>
      </c>
      <c r="Q471" s="25" t="n">
        <v>2015.0</v>
      </c>
      <c r="R471" s="113">
        <f>HYPERLINK("https://my.pitchbook.com?c=157485-16", "View company online")</f>
      </c>
    </row>
    <row r="472">
      <c r="A472" s="27" t="inlineStr">
        <is>
          <t>115449-76</t>
        </is>
      </c>
      <c r="B472" s="28" t="inlineStr">
        <is>
          <t>UrbnEarth</t>
        </is>
      </c>
      <c r="C472" s="29" t="inlineStr">
        <is>
          <t/>
        </is>
      </c>
      <c r="D472" s="30" t="inlineStr">
        <is>
          <t>Developer and maker of guided garden kits. The company designs and sells guided garden subscriptions for new gardeners who want to grow, enjoy and share healthy food at home.</t>
        </is>
      </c>
      <c r="E472" s="31" t="inlineStr">
        <is>
          <t>Other Consumer Products and Services</t>
        </is>
      </c>
      <c r="F472" s="32" t="inlineStr">
        <is>
          <t>San Francisco, CA</t>
        </is>
      </c>
      <c r="G472" s="33" t="inlineStr">
        <is>
          <t>Privately Held (backing)</t>
        </is>
      </c>
      <c r="H472" s="34" t="inlineStr">
        <is>
          <t>Accelerator/Incubator Backed</t>
        </is>
      </c>
      <c r="I472" s="35" t="inlineStr">
        <is>
          <t>CORETX, Points of Light Institute, Social Capital Markets, Tandem Capital</t>
        </is>
      </c>
      <c r="J472" s="36" t="inlineStr">
        <is>
          <t>www.urbnearth.com</t>
        </is>
      </c>
      <c r="K472" s="37" t="inlineStr">
        <is>
          <t>contactus@urbnearth.com</t>
        </is>
      </c>
      <c r="L472" s="38" t="inlineStr">
        <is>
          <t/>
        </is>
      </c>
      <c r="M472" s="39" t="inlineStr">
        <is>
          <t>Philip-Michael Weiner</t>
        </is>
      </c>
      <c r="N472" s="40" t="inlineStr">
        <is>
          <t>Founder &amp; Chief Executive Officer</t>
        </is>
      </c>
      <c r="O472" s="41" t="inlineStr">
        <is>
          <t>phil@urbnearth.com</t>
        </is>
      </c>
      <c r="P472" s="42" t="inlineStr">
        <is>
          <t/>
        </is>
      </c>
      <c r="Q472" s="43" t="n">
        <v>2013.0</v>
      </c>
      <c r="R472" s="114">
        <f>HYPERLINK("https://my.pitchbook.com?c=115449-76", "View company online")</f>
      </c>
    </row>
    <row r="473">
      <c r="A473" s="9" t="inlineStr">
        <is>
          <t>172355-77</t>
        </is>
      </c>
      <c r="B473" s="10" t="inlineStr">
        <is>
          <t>UrbanEngineer</t>
        </is>
      </c>
      <c r="C473" s="85">
        <f>HYPERLINK("https://my.pitchbook.com?rrp=172355-77&amp;type=c", "This Company's information is not available to download. Need this Company? Request availability")</f>
      </c>
      <c r="D473" s="12" t="inlineStr">
        <is>
          <t/>
        </is>
      </c>
      <c r="E473" s="13" t="inlineStr">
        <is>
          <t/>
        </is>
      </c>
      <c r="F473" s="14" t="inlineStr">
        <is>
          <t/>
        </is>
      </c>
      <c r="G473" s="15" t="inlineStr">
        <is>
          <t/>
        </is>
      </c>
      <c r="H473" s="16" t="inlineStr">
        <is>
          <t/>
        </is>
      </c>
      <c r="I473" s="17" t="inlineStr">
        <is>
          <t/>
        </is>
      </c>
      <c r="J473" s="18" t="inlineStr">
        <is>
          <t/>
        </is>
      </c>
      <c r="K473" s="19" t="inlineStr">
        <is>
          <t/>
        </is>
      </c>
      <c r="L473" s="20" t="inlineStr">
        <is>
          <t/>
        </is>
      </c>
      <c r="M473" s="21" t="inlineStr">
        <is>
          <t/>
        </is>
      </c>
      <c r="N473" s="22" t="inlineStr">
        <is>
          <t/>
        </is>
      </c>
      <c r="O473" s="23" t="inlineStr">
        <is>
          <t/>
        </is>
      </c>
      <c r="P473" s="24" t="inlineStr">
        <is>
          <t/>
        </is>
      </c>
      <c r="Q473" s="25" t="inlineStr">
        <is>
          <t/>
        </is>
      </c>
      <c r="R473" s="26" t="inlineStr">
        <is>
          <t/>
        </is>
      </c>
    </row>
    <row r="474">
      <c r="A474" s="27" t="inlineStr">
        <is>
          <t>56799-10</t>
        </is>
      </c>
      <c r="B474" s="28" t="inlineStr">
        <is>
          <t>UQ Life</t>
        </is>
      </c>
      <c r="C474" s="29" t="inlineStr">
        <is>
          <t>94301</t>
        </is>
      </c>
      <c r="D474" s="30" t="inlineStr">
        <is>
          <t>Developer of a gaming platform for kids. The company provides a platform for self-discovery and personal development and is designed to allow its users to learn through collaborative games.</t>
        </is>
      </c>
      <c r="E474" s="31" t="inlineStr">
        <is>
          <t>Movies, Music and Entertainment</t>
        </is>
      </c>
      <c r="F474" s="32" t="inlineStr">
        <is>
          <t>Palo Alto, CA</t>
        </is>
      </c>
      <c r="G474" s="33" t="inlineStr">
        <is>
          <t>Privately Held (backing)</t>
        </is>
      </c>
      <c r="H474" s="34" t="inlineStr">
        <is>
          <t>Angel-Backed</t>
        </is>
      </c>
      <c r="I474" s="35" t="inlineStr">
        <is>
          <t>Individual Investor, Samir El Agili</t>
        </is>
      </c>
      <c r="J474" s="36" t="inlineStr">
        <is>
          <t>www.uqlife.com</t>
        </is>
      </c>
      <c r="K474" s="37" t="inlineStr">
        <is>
          <t>info@uqlife.com</t>
        </is>
      </c>
      <c r="L474" s="38" t="inlineStr">
        <is>
          <t>+1 (650) 248-2575</t>
        </is>
      </c>
      <c r="M474" s="39" t="inlineStr">
        <is>
          <t>Maureen Dunne</t>
        </is>
      </c>
      <c r="N474" s="40" t="inlineStr">
        <is>
          <t>Founder, Chief Executive Officer and Chief Scientist</t>
        </is>
      </c>
      <c r="O474" s="41" t="inlineStr">
        <is>
          <t>maureen.dunne@uqlife.com</t>
        </is>
      </c>
      <c r="P474" s="42" t="inlineStr">
        <is>
          <t>+1 (650) 248-2575</t>
        </is>
      </c>
      <c r="Q474" s="43" t="n">
        <v>2011.0</v>
      </c>
      <c r="R474" s="114">
        <f>HYPERLINK("https://my.pitchbook.com?c=56799-10", "View company online")</f>
      </c>
    </row>
    <row r="475">
      <c r="A475" s="9" t="inlineStr">
        <is>
          <t>180604-81</t>
        </is>
      </c>
      <c r="B475" s="10" t="inlineStr">
        <is>
          <t>Upwell Real Estate</t>
        </is>
      </c>
      <c r="C475" s="11" t="inlineStr">
        <is>
          <t>90094</t>
        </is>
      </c>
      <c r="D475" s="12" t="inlineStr">
        <is>
          <t>Developer of housing facilities created to disrupt traditional rental markets. The company's housing facilities are designed to offer modern and innovative living spaces, enabling families to access affordable housing.</t>
        </is>
      </c>
      <c r="E475" s="13" t="inlineStr">
        <is>
          <t>Real Estate Services (B2C)</t>
        </is>
      </c>
      <c r="F475" s="14" t="inlineStr">
        <is>
          <t>Los Angeles, CA</t>
        </is>
      </c>
      <c r="G475" s="15" t="inlineStr">
        <is>
          <t>Privately Held (backing)</t>
        </is>
      </c>
      <c r="H475" s="16" t="inlineStr">
        <is>
          <t>Angel-Backed</t>
        </is>
      </c>
      <c r="I475" s="17" t="inlineStr">
        <is>
          <t>Daniel Gutenberg</t>
        </is>
      </c>
      <c r="J475" s="18" t="inlineStr">
        <is>
          <t>www.upwellrealestate.com</t>
        </is>
      </c>
      <c r="K475" s="19" t="inlineStr">
        <is>
          <t>contact@upwellrealestate.com</t>
        </is>
      </c>
      <c r="L475" s="20" t="inlineStr">
        <is>
          <t/>
        </is>
      </c>
      <c r="M475" s="21" t="inlineStr">
        <is>
          <t>Prophet Walker</t>
        </is>
      </c>
      <c r="N475" s="22" t="inlineStr">
        <is>
          <t>Co-Founder &amp; Chief Executive Officer</t>
        </is>
      </c>
      <c r="O475" s="23" t="inlineStr">
        <is>
          <t>prophet@upwellrealestate.com</t>
        </is>
      </c>
      <c r="P475" s="24" t="inlineStr">
        <is>
          <t/>
        </is>
      </c>
      <c r="Q475" s="25" t="inlineStr">
        <is>
          <t/>
        </is>
      </c>
      <c r="R475" s="113">
        <f>HYPERLINK("https://my.pitchbook.com?c=180604-81", "View company online")</f>
      </c>
    </row>
    <row r="476">
      <c r="A476" s="27" t="inlineStr">
        <is>
          <t>148657-42</t>
        </is>
      </c>
      <c r="B476" s="28" t="inlineStr">
        <is>
          <t>Upward Automation</t>
        </is>
      </c>
      <c r="C476" s="29" t="inlineStr">
        <is>
          <t>93401</t>
        </is>
      </c>
      <c r="D476" s="30" t="inlineStr">
        <is>
          <t>Provider of a home automation platform. The company develops a smart home operating system which uses indoor positioning system, mobile application and other hardware for automation of home.</t>
        </is>
      </c>
      <c r="E476" s="31" t="inlineStr">
        <is>
          <t>Electronics (B2C)</t>
        </is>
      </c>
      <c r="F476" s="32" t="inlineStr">
        <is>
          <t>San Luis Obispo, CA</t>
        </is>
      </c>
      <c r="G476" s="33" t="inlineStr">
        <is>
          <t>Privately Held (backing)</t>
        </is>
      </c>
      <c r="H476" s="34" t="inlineStr">
        <is>
          <t>Accelerator/Incubator Backed</t>
        </is>
      </c>
      <c r="I476" s="35" t="inlineStr">
        <is>
          <t>SLO HotHouse</t>
        </is>
      </c>
      <c r="J476" s="36" t="inlineStr">
        <is>
          <t>www.upwardautomation.com</t>
        </is>
      </c>
      <c r="K476" s="37" t="inlineStr">
        <is>
          <t>info@upward.io</t>
        </is>
      </c>
      <c r="L476" s="38" t="inlineStr">
        <is>
          <t/>
        </is>
      </c>
      <c r="M476" s="39" t="inlineStr">
        <is>
          <t>Mark Feldman</t>
        </is>
      </c>
      <c r="N476" s="40" t="inlineStr">
        <is>
          <t>Co-Founder &amp; UX / Mobile Engineer</t>
        </is>
      </c>
      <c r="O476" s="41" t="inlineStr">
        <is>
          <t>mark@upwardautomation.com</t>
        </is>
      </c>
      <c r="P476" s="42" t="inlineStr">
        <is>
          <t/>
        </is>
      </c>
      <c r="Q476" s="43" t="n">
        <v>2014.0</v>
      </c>
      <c r="R476" s="114">
        <f>HYPERLINK("https://my.pitchbook.com?c=148657-42", "View company online")</f>
      </c>
    </row>
    <row r="477">
      <c r="A477" s="9" t="inlineStr">
        <is>
          <t>154273-60</t>
        </is>
      </c>
      <c r="B477" s="10" t="inlineStr">
        <is>
          <t>Uptown Temecula Auto Spa</t>
        </is>
      </c>
      <c r="C477" s="11" t="inlineStr">
        <is>
          <t>90049</t>
        </is>
      </c>
      <c r="D477" s="12" t="inlineStr">
        <is>
          <t>The company is currently operating in Stealth mode.</t>
        </is>
      </c>
      <c r="E477" s="13" t="inlineStr">
        <is>
          <t>Other Business Products and Services</t>
        </is>
      </c>
      <c r="F477" s="14" t="inlineStr">
        <is>
          <t>Los Angeles, CA</t>
        </is>
      </c>
      <c r="G477" s="15" t="inlineStr">
        <is>
          <t>Privately Held (backing)</t>
        </is>
      </c>
      <c r="H477" s="16" t="inlineStr">
        <is>
          <t>Angel-Backed</t>
        </is>
      </c>
      <c r="I477" s="17" t="inlineStr">
        <is>
          <t/>
        </is>
      </c>
      <c r="J477" s="18" t="inlineStr">
        <is>
          <t/>
        </is>
      </c>
      <c r="K477" s="19" t="inlineStr">
        <is>
          <t/>
        </is>
      </c>
      <c r="L477" s="20" t="inlineStr">
        <is>
          <t>+1 (310) 569-4466</t>
        </is>
      </c>
      <c r="M477" s="21" t="inlineStr">
        <is>
          <t>Wayne Knyal</t>
        </is>
      </c>
      <c r="N477" s="22" t="inlineStr">
        <is>
          <t>Manager &amp; Board Member</t>
        </is>
      </c>
      <c r="O477" s="23" t="inlineStr">
        <is>
          <t/>
        </is>
      </c>
      <c r="P477" s="24" t="inlineStr">
        <is>
          <t>+1 (310) 569-4466</t>
        </is>
      </c>
      <c r="Q477" s="25" t="n">
        <v>2015.0</v>
      </c>
      <c r="R477" s="113">
        <f>HYPERLINK("https://my.pitchbook.com?c=154273-60", "View company online")</f>
      </c>
    </row>
    <row r="478">
      <c r="A478" s="27" t="inlineStr">
        <is>
          <t>56810-71</t>
        </is>
      </c>
      <c r="B478" s="28" t="inlineStr">
        <is>
          <t>Uptoke</t>
        </is>
      </c>
      <c r="C478" s="29" t="inlineStr">
        <is>
          <t/>
        </is>
      </c>
      <c r="D478" s="30" t="inlineStr">
        <is>
          <t>Creator of a cigar-shaped device for inhaling marijuana. The company has developed a vaporizer that heats up marijuana for inhalation, using a battery that can be charged like a cell phone.</t>
        </is>
      </c>
      <c r="E478" s="31" t="inlineStr">
        <is>
          <t>Electronics (B2C)</t>
        </is>
      </c>
      <c r="F478" s="32" t="inlineStr">
        <is>
          <t>San Francisco, CA</t>
        </is>
      </c>
      <c r="G478" s="33" t="inlineStr">
        <is>
          <t>Privately Held (backing)</t>
        </is>
      </c>
      <c r="H478" s="34" t="inlineStr">
        <is>
          <t>Angel-Backed</t>
        </is>
      </c>
      <c r="I478" s="35" t="inlineStr">
        <is>
          <t>ArcView Investor Network</t>
        </is>
      </c>
      <c r="J478" s="36" t="inlineStr">
        <is>
          <t>www.uptoke.net</t>
        </is>
      </c>
      <c r="K478" s="37" t="inlineStr">
        <is>
          <t>info@uptoke.net</t>
        </is>
      </c>
      <c r="L478" s="38" t="inlineStr">
        <is>
          <t/>
        </is>
      </c>
      <c r="M478" s="39" t="inlineStr">
        <is>
          <t>Jason Levin</t>
        </is>
      </c>
      <c r="N478" s="40" t="inlineStr">
        <is>
          <t>Founder &amp; Chief Executive Officer</t>
        </is>
      </c>
      <c r="O478" s="41" t="inlineStr">
        <is>
          <t>jlevin@uptoke.net</t>
        </is>
      </c>
      <c r="P478" s="42" t="inlineStr">
        <is>
          <t/>
        </is>
      </c>
      <c r="Q478" s="43" t="n">
        <v>2010.0</v>
      </c>
      <c r="R478" s="114">
        <f>HYPERLINK("https://my.pitchbook.com?c=56810-71", "View company online")</f>
      </c>
    </row>
    <row r="479">
      <c r="A479" s="9" t="inlineStr">
        <is>
          <t>102857-59</t>
        </is>
      </c>
      <c r="B479" s="10" t="inlineStr">
        <is>
          <t>Upshift</t>
        </is>
      </c>
      <c r="C479" s="11" t="inlineStr">
        <is>
          <t>94103</t>
        </is>
      </c>
      <c r="D479" s="12" t="inlineStr">
        <is>
          <t>Developer of a car-rental application. The company provides users of the application with car rental service so that users can move to any place they want with a pick up of the car from any random place.</t>
        </is>
      </c>
      <c r="E479" s="13" t="inlineStr">
        <is>
          <t>Other Transportation</t>
        </is>
      </c>
      <c r="F479" s="14" t="inlineStr">
        <is>
          <t>San Francisco, CA</t>
        </is>
      </c>
      <c r="G479" s="15" t="inlineStr">
        <is>
          <t>Privately Held (backing)</t>
        </is>
      </c>
      <c r="H479" s="16" t="inlineStr">
        <is>
          <t>Accelerator/Incubator Backed</t>
        </is>
      </c>
      <c r="I479" s="17" t="inlineStr">
        <is>
          <t>Verge Accelerate</t>
        </is>
      </c>
      <c r="J479" s="18" t="inlineStr">
        <is>
          <t>www.upshiftcars.com</t>
        </is>
      </c>
      <c r="K479" s="19" t="inlineStr">
        <is>
          <t>info@upshiftcars.com</t>
        </is>
      </c>
      <c r="L479" s="20" t="inlineStr">
        <is>
          <t>+1 (415) 494-9227</t>
        </is>
      </c>
      <c r="M479" s="21" t="inlineStr">
        <is>
          <t>Ezra Goldman</t>
        </is>
      </c>
      <c r="N479" s="22" t="inlineStr">
        <is>
          <t>Founder &amp; Chief Executive Officer</t>
        </is>
      </c>
      <c r="O479" s="23" t="inlineStr">
        <is>
          <t>ezra@upshiftcars.com</t>
        </is>
      </c>
      <c r="P479" s="24" t="inlineStr">
        <is>
          <t>+1 (415) 494-9227</t>
        </is>
      </c>
      <c r="Q479" s="25" t="n">
        <v>2012.0</v>
      </c>
      <c r="R479" s="113">
        <f>HYPERLINK("https://my.pitchbook.com?c=102857-59", "View company online")</f>
      </c>
    </row>
    <row r="480">
      <c r="A480" s="27" t="inlineStr">
        <is>
          <t>104439-70</t>
        </is>
      </c>
      <c r="B480" s="28" t="inlineStr">
        <is>
          <t>UpNest</t>
        </is>
      </c>
      <c r="C480" s="29" t="inlineStr">
        <is>
          <t>94010</t>
        </is>
      </c>
      <c r="D480" s="30" t="inlineStr">
        <is>
          <t>Provider of an online real estate platform. The comapny provides a real estate platform connecting home buyers and sellers with other agents.</t>
        </is>
      </c>
      <c r="E480" s="31" t="inlineStr">
        <is>
          <t>Real Estate Services (B2C)</t>
        </is>
      </c>
      <c r="F480" s="32" t="inlineStr">
        <is>
          <t>Burlingame, CA</t>
        </is>
      </c>
      <c r="G480" s="33" t="inlineStr">
        <is>
          <t>Privately Held (backing)</t>
        </is>
      </c>
      <c r="H480" s="34" t="inlineStr">
        <is>
          <t>Angel-Backed</t>
        </is>
      </c>
      <c r="I480" s="35" t="inlineStr">
        <is>
          <t>Alastair Rampell, Lex Bayer, Mark Yoshitake, Nick Lawler, Yee Lee</t>
        </is>
      </c>
      <c r="J480" s="36" t="inlineStr">
        <is>
          <t>www.upnest.com</t>
        </is>
      </c>
      <c r="K480" s="37" t="inlineStr">
        <is>
          <t/>
        </is>
      </c>
      <c r="L480" s="38" t="inlineStr">
        <is>
          <t/>
        </is>
      </c>
      <c r="M480" s="39" t="inlineStr">
        <is>
          <t>Simon Ru</t>
        </is>
      </c>
      <c r="N480" s="40" t="inlineStr">
        <is>
          <t>Founder &amp; Chief Executive Officer</t>
        </is>
      </c>
      <c r="O480" s="41" t="inlineStr">
        <is>
          <t>simon@upnest.com</t>
        </is>
      </c>
      <c r="P480" s="42" t="inlineStr">
        <is>
          <t/>
        </is>
      </c>
      <c r="Q480" s="43" t="n">
        <v>2013.0</v>
      </c>
      <c r="R480" s="114">
        <f>HYPERLINK("https://my.pitchbook.com?c=104439-70", "View company online")</f>
      </c>
    </row>
    <row r="481">
      <c r="A481" s="9" t="inlineStr">
        <is>
          <t>98513-83</t>
        </is>
      </c>
      <c r="B481" s="10" t="inlineStr">
        <is>
          <t>Uplette</t>
        </is>
      </c>
      <c r="C481" s="11" t="inlineStr">
        <is>
          <t>94103</t>
        </is>
      </c>
      <c r="D481" s="12" t="inlineStr">
        <is>
          <t>Provider of a data-driven mobile marketing platform. The company helps advertisers to deliver personalized and relevant mobile ad content to increase campaign conversion rates.</t>
        </is>
      </c>
      <c r="E481" s="13" t="inlineStr">
        <is>
          <t>Business/Productivity Software</t>
        </is>
      </c>
      <c r="F481" s="14" t="inlineStr">
        <is>
          <t>San Francisco, CA</t>
        </is>
      </c>
      <c r="G481" s="15" t="inlineStr">
        <is>
          <t>Privately Held (backing)</t>
        </is>
      </c>
      <c r="H481" s="16" t="inlineStr">
        <is>
          <t>Accelerator/Incubator Backed</t>
        </is>
      </c>
      <c r="I481" s="17" t="inlineStr">
        <is>
          <t>500 Startups, Christine Tsai, Highline.vc, OneEleven, Parker Thompson</t>
        </is>
      </c>
      <c r="J481" s="18" t="inlineStr">
        <is>
          <t>www.uplette.com</t>
        </is>
      </c>
      <c r="K481" s="19" t="inlineStr">
        <is>
          <t>info@uplette.com</t>
        </is>
      </c>
      <c r="L481" s="20" t="inlineStr">
        <is>
          <t>+1 (877) 629-5620</t>
        </is>
      </c>
      <c r="M481" s="21" t="inlineStr">
        <is>
          <t>Amanda Parker</t>
        </is>
      </c>
      <c r="N481" s="22" t="inlineStr">
        <is>
          <t>Co-Founder &amp; Chief Executive Officer</t>
        </is>
      </c>
      <c r="O481" s="23" t="inlineStr">
        <is>
          <t/>
        </is>
      </c>
      <c r="P481" s="24" t="inlineStr">
        <is>
          <t/>
        </is>
      </c>
      <c r="Q481" s="25" t="n">
        <v>2013.0</v>
      </c>
      <c r="R481" s="113">
        <f>HYPERLINK("https://my.pitchbook.com?c=98513-83", "View company online")</f>
      </c>
    </row>
    <row r="482">
      <c r="A482" s="27" t="inlineStr">
        <is>
          <t>169033-78</t>
        </is>
      </c>
      <c r="B482" s="28" t="inlineStr">
        <is>
          <t>UpiQ (Mortgage Lenders)</t>
        </is>
      </c>
      <c r="C482" s="29" t="inlineStr">
        <is>
          <t/>
        </is>
      </c>
      <c r="D482" s="30" t="inlineStr">
        <is>
          <t>Provider of mortgage lending services.</t>
        </is>
      </c>
      <c r="E482" s="31" t="inlineStr">
        <is>
          <t>Other Services (B2C Non-Financial)</t>
        </is>
      </c>
      <c r="F482" s="32" t="inlineStr">
        <is>
          <t>San Jose, CA</t>
        </is>
      </c>
      <c r="G482" s="33" t="inlineStr">
        <is>
          <t>Privately Held (backing)</t>
        </is>
      </c>
      <c r="H482" s="34" t="inlineStr">
        <is>
          <t>Accelerator/Incubator Backed</t>
        </is>
      </c>
      <c r="I482" s="35" t="inlineStr">
        <is>
          <t>Hackers/Founders</t>
        </is>
      </c>
      <c r="J482" s="36" t="inlineStr">
        <is>
          <t>www.upiq.ai</t>
        </is>
      </c>
      <c r="K482" s="37" t="inlineStr">
        <is>
          <t/>
        </is>
      </c>
      <c r="L482" s="38" t="inlineStr">
        <is>
          <t>+1 (844) 800-3411</t>
        </is>
      </c>
      <c r="M482" s="39" t="inlineStr">
        <is>
          <t/>
        </is>
      </c>
      <c r="N482" s="40" t="inlineStr">
        <is>
          <t/>
        </is>
      </c>
      <c r="O482" s="41" t="inlineStr">
        <is>
          <t/>
        </is>
      </c>
      <c r="P482" s="42" t="inlineStr">
        <is>
          <t/>
        </is>
      </c>
      <c r="Q482" s="43" t="n">
        <v>2016.0</v>
      </c>
      <c r="R482" s="114">
        <f>HYPERLINK("https://my.pitchbook.com?c=169033-78", "View company online")</f>
      </c>
    </row>
    <row r="483">
      <c r="A483" s="9" t="inlineStr">
        <is>
          <t>100358-56</t>
        </is>
      </c>
      <c r="B483" s="10" t="inlineStr">
        <is>
          <t>Uphold</t>
        </is>
      </c>
      <c r="C483" s="11" t="inlineStr">
        <is>
          <t>94111</t>
        </is>
      </c>
      <c r="D483" s="12" t="inlineStr">
        <is>
          <t>Provider of a financial system that makes using digital money secure. The company develops a platform that avoids price volatility by allowing users to hold bitcoin in fiat currency, but spend it as bitcoin.</t>
        </is>
      </c>
      <c r="E483" s="13" t="inlineStr">
        <is>
          <t>Other Financial Services</t>
        </is>
      </c>
      <c r="F483" s="14" t="inlineStr">
        <is>
          <t>San Francisco, CA</t>
        </is>
      </c>
      <c r="G483" s="15" t="inlineStr">
        <is>
          <t>Privately Held (backing)</t>
        </is>
      </c>
      <c r="H483" s="16" t="inlineStr">
        <is>
          <t>Angel-Backed</t>
        </is>
      </c>
      <c r="I483" s="17" t="inlineStr">
        <is>
          <t>Bitcoin Capital, Individual Investor, Ricardo Pliego</t>
        </is>
      </c>
      <c r="J483" s="18" t="inlineStr">
        <is>
          <t>www.uphold.com</t>
        </is>
      </c>
      <c r="K483" s="19" t="inlineStr">
        <is>
          <t>hello@uphold.com</t>
        </is>
      </c>
      <c r="L483" s="20" t="inlineStr">
        <is>
          <t>+1 (415) 730-3988</t>
        </is>
      </c>
      <c r="M483" s="21" t="inlineStr">
        <is>
          <t>Ratan Singh</t>
        </is>
      </c>
      <c r="N483" s="22" t="inlineStr">
        <is>
          <t>Director, Corporate Development</t>
        </is>
      </c>
      <c r="O483" s="23" t="inlineStr">
        <is>
          <t>rsingh@uphold.com</t>
        </is>
      </c>
      <c r="P483" s="24" t="inlineStr">
        <is>
          <t>+1 (415) 730-3988</t>
        </is>
      </c>
      <c r="Q483" s="25" t="n">
        <v>2013.0</v>
      </c>
      <c r="R483" s="113">
        <f>HYPERLINK("https://my.pitchbook.com?c=100358-56", "View company online")</f>
      </c>
    </row>
    <row r="484">
      <c r="A484" s="27" t="inlineStr">
        <is>
          <t>171905-05</t>
        </is>
      </c>
      <c r="B484" s="28" t="inlineStr">
        <is>
          <t>Uphere.ai</t>
        </is>
      </c>
      <c r="C484" s="86">
        <f>HYPERLINK("https://my.pitchbook.com?rrp=171905-05&amp;type=c", "This Company's information is not available to download. Need this Company? Request availability")</f>
      </c>
      <c r="D484" s="30" t="inlineStr">
        <is>
          <t/>
        </is>
      </c>
      <c r="E484" s="31" t="inlineStr">
        <is>
          <t/>
        </is>
      </c>
      <c r="F484" s="32" t="inlineStr">
        <is>
          <t/>
        </is>
      </c>
      <c r="G484" s="33" t="inlineStr">
        <is>
          <t/>
        </is>
      </c>
      <c r="H484" s="34" t="inlineStr">
        <is>
          <t/>
        </is>
      </c>
      <c r="I484" s="35" t="inlineStr">
        <is>
          <t/>
        </is>
      </c>
      <c r="J484" s="36" t="inlineStr">
        <is>
          <t/>
        </is>
      </c>
      <c r="K484" s="37" t="inlineStr">
        <is>
          <t/>
        </is>
      </c>
      <c r="L484" s="38" t="inlineStr">
        <is>
          <t/>
        </is>
      </c>
      <c r="M484" s="39" t="inlineStr">
        <is>
          <t/>
        </is>
      </c>
      <c r="N484" s="40" t="inlineStr">
        <is>
          <t/>
        </is>
      </c>
      <c r="O484" s="41" t="inlineStr">
        <is>
          <t/>
        </is>
      </c>
      <c r="P484" s="42" t="inlineStr">
        <is>
          <t/>
        </is>
      </c>
      <c r="Q484" s="43" t="inlineStr">
        <is>
          <t/>
        </is>
      </c>
      <c r="R484" s="44" t="inlineStr">
        <is>
          <t/>
        </is>
      </c>
    </row>
    <row r="485">
      <c r="A485" s="9" t="inlineStr">
        <is>
          <t>168025-87</t>
        </is>
      </c>
      <c r="B485" s="10" t="inlineStr">
        <is>
          <t>Upgraded Technologies</t>
        </is>
      </c>
      <c r="C485" s="11" t="inlineStr">
        <is>
          <t>94086</t>
        </is>
      </c>
      <c r="D485" s="12" t="inlineStr">
        <is>
          <t>Provider of an online platform to trade used electronic gadgets. The company's cloud platform allows users to find and buy upgraded mobile phones, laptops and similar electronic gadgets by trading and leasing in their used items with other users.</t>
        </is>
      </c>
      <c r="E485" s="13" t="inlineStr">
        <is>
          <t>Application Software</t>
        </is>
      </c>
      <c r="F485" s="14" t="inlineStr">
        <is>
          <t>Sunnyvale, CA</t>
        </is>
      </c>
      <c r="G485" s="15" t="inlineStr">
        <is>
          <t>Privately Held (backing)</t>
        </is>
      </c>
      <c r="H485" s="16" t="inlineStr">
        <is>
          <t>Accelerator/Incubator Backed</t>
        </is>
      </c>
      <c r="I485" s="17" t="inlineStr">
        <is>
          <t>Investo, Y Combinator</t>
        </is>
      </c>
      <c r="J485" s="18" t="inlineStr">
        <is>
          <t>www.upgraded.io</t>
        </is>
      </c>
      <c r="K485" s="19" t="inlineStr">
        <is>
          <t>hello@upgraded.io</t>
        </is>
      </c>
      <c r="L485" s="20" t="inlineStr">
        <is>
          <t/>
        </is>
      </c>
      <c r="M485" s="21" t="inlineStr">
        <is>
          <t>Hendrik Roosna</t>
        </is>
      </c>
      <c r="N485" s="22" t="inlineStr">
        <is>
          <t>Co-Founder &amp; Chief Operating Officer</t>
        </is>
      </c>
      <c r="O485" s="23" t="inlineStr">
        <is>
          <t>hendrik@upgraded.io</t>
        </is>
      </c>
      <c r="P485" s="24" t="inlineStr">
        <is>
          <t/>
        </is>
      </c>
      <c r="Q485" s="25" t="n">
        <v>2016.0</v>
      </c>
      <c r="R485" s="113">
        <f>HYPERLINK("https://my.pitchbook.com?c=168025-87", "View company online")</f>
      </c>
    </row>
    <row r="486">
      <c r="A486" s="27" t="inlineStr">
        <is>
          <t>111652-30</t>
        </is>
      </c>
      <c r="B486" s="28" t="inlineStr">
        <is>
          <t>Upfizz Media Network</t>
        </is>
      </c>
      <c r="C486" s="29" t="inlineStr">
        <is>
          <t/>
        </is>
      </c>
      <c r="D486" s="30" t="inlineStr">
        <is>
          <t>Provider of a social centric media platform. The company provides a social-centric media platform with a collection of premium websites in the social, humor and entertainment category.</t>
        </is>
      </c>
      <c r="E486" s="31" t="inlineStr">
        <is>
          <t>Entertainment Software</t>
        </is>
      </c>
      <c r="F486" s="32" t="inlineStr">
        <is>
          <t>San Francisco, CA</t>
        </is>
      </c>
      <c r="G486" s="33" t="inlineStr">
        <is>
          <t>Privately Held (backing)</t>
        </is>
      </c>
      <c r="H486" s="34" t="inlineStr">
        <is>
          <t>Accelerator/Incubator Backed</t>
        </is>
      </c>
      <c r="I486" s="35" t="inlineStr">
        <is>
          <t>Runway Incubator</t>
        </is>
      </c>
      <c r="J486" s="36" t="inlineStr">
        <is>
          <t>www.upfizz.com</t>
        </is>
      </c>
      <c r="K486" s="37" t="inlineStr">
        <is>
          <t/>
        </is>
      </c>
      <c r="L486" s="38" t="inlineStr">
        <is>
          <t/>
        </is>
      </c>
      <c r="M486" s="39" t="inlineStr">
        <is>
          <t>Jason Adams</t>
        </is>
      </c>
      <c r="N486" s="40" t="inlineStr">
        <is>
          <t>Founder</t>
        </is>
      </c>
      <c r="O486" s="41" t="inlineStr">
        <is>
          <t>jason@upfizz.com</t>
        </is>
      </c>
      <c r="P486" s="42" t="inlineStr">
        <is>
          <t/>
        </is>
      </c>
      <c r="Q486" s="43" t="n">
        <v>2014.0</v>
      </c>
      <c r="R486" s="114">
        <f>HYPERLINK("https://my.pitchbook.com?c=111652-30", "View company online")</f>
      </c>
    </row>
    <row r="487">
      <c r="A487" s="9" t="inlineStr">
        <is>
          <t>108883-99</t>
        </is>
      </c>
      <c r="B487" s="10" t="inlineStr">
        <is>
          <t>Updatemi</t>
        </is>
      </c>
      <c r="C487" s="11" t="inlineStr">
        <is>
          <t/>
        </is>
      </c>
      <c r="D487" s="12" t="inlineStr">
        <is>
          <t>Developer of an application/SaaS software for AI-based fact extraction of long articles. The company's pplication include a news aggregator summarizing user-relevant news and information into updates consisting of six bullet points. It additionally provides several B2B applications.</t>
        </is>
      </c>
      <c r="E487" s="13" t="inlineStr">
        <is>
          <t>Application Software</t>
        </is>
      </c>
      <c r="F487" s="14" t="inlineStr">
        <is>
          <t>Mountain View, CA</t>
        </is>
      </c>
      <c r="G487" s="15" t="inlineStr">
        <is>
          <t>Privately Held (backing)</t>
        </is>
      </c>
      <c r="H487" s="16" t="inlineStr">
        <is>
          <t>Angel-Backed</t>
        </is>
      </c>
      <c r="I487" s="17" t="inlineStr">
        <is>
          <t>Andreas Arntzen, Venionaire Capital</t>
        </is>
      </c>
      <c r="J487" s="18" t="inlineStr">
        <is>
          <t>www.updatemi.com</t>
        </is>
      </c>
      <c r="K487" s="19" t="inlineStr">
        <is>
          <t/>
        </is>
      </c>
      <c r="L487" s="20" t="inlineStr">
        <is>
          <t/>
        </is>
      </c>
      <c r="M487" s="21" t="inlineStr">
        <is>
          <t>Andreas Schietz</t>
        </is>
      </c>
      <c r="N487" s="22" t="inlineStr">
        <is>
          <t>Co-Founder, General Manager, Chief Financial Officer &amp; Chief Operating Officer</t>
        </is>
      </c>
      <c r="O487" s="23" t="inlineStr">
        <is>
          <t>andreas@updatemi.com</t>
        </is>
      </c>
      <c r="P487" s="24" t="inlineStr">
        <is>
          <t/>
        </is>
      </c>
      <c r="Q487" s="25" t="n">
        <v>2013.0</v>
      </c>
      <c r="R487" s="113">
        <f>HYPERLINK("https://my.pitchbook.com?c=108883-99", "View company online")</f>
      </c>
    </row>
    <row r="488">
      <c r="A488" s="27" t="inlineStr">
        <is>
          <t>177202-63</t>
        </is>
      </c>
      <c r="B488" s="28" t="inlineStr">
        <is>
          <t>UpCurrent</t>
        </is>
      </c>
      <c r="C488" s="86">
        <f>HYPERLINK("https://my.pitchbook.com?rrp=177202-63&amp;type=c", "This Company's information is not available to download. Need this Company? Request availability")</f>
      </c>
      <c r="D488" s="30" t="inlineStr">
        <is>
          <t/>
        </is>
      </c>
      <c r="E488" s="31" t="inlineStr">
        <is>
          <t/>
        </is>
      </c>
      <c r="F488" s="32" t="inlineStr">
        <is>
          <t/>
        </is>
      </c>
      <c r="G488" s="33" t="inlineStr">
        <is>
          <t/>
        </is>
      </c>
      <c r="H488" s="34" t="inlineStr">
        <is>
          <t/>
        </is>
      </c>
      <c r="I488" s="35" t="inlineStr">
        <is>
          <t/>
        </is>
      </c>
      <c r="J488" s="36" t="inlineStr">
        <is>
          <t/>
        </is>
      </c>
      <c r="K488" s="37" t="inlineStr">
        <is>
          <t/>
        </is>
      </c>
      <c r="L488" s="38" t="inlineStr">
        <is>
          <t/>
        </is>
      </c>
      <c r="M488" s="39" t="inlineStr">
        <is>
          <t/>
        </is>
      </c>
      <c r="N488" s="40" t="inlineStr">
        <is>
          <t/>
        </is>
      </c>
      <c r="O488" s="41" t="inlineStr">
        <is>
          <t/>
        </is>
      </c>
      <c r="P488" s="42" t="inlineStr">
        <is>
          <t/>
        </is>
      </c>
      <c r="Q488" s="43" t="inlineStr">
        <is>
          <t/>
        </is>
      </c>
      <c r="R488" s="44" t="inlineStr">
        <is>
          <t/>
        </is>
      </c>
    </row>
    <row r="489">
      <c r="A489" s="9" t="inlineStr">
        <is>
          <t>117428-32</t>
        </is>
      </c>
      <c r="B489" s="10" t="inlineStr">
        <is>
          <t>Upcomer</t>
        </is>
      </c>
      <c r="C489" s="85">
        <f>HYPERLINK("https://my.pitchbook.com?rrp=117428-32&amp;type=c", "This Company's information is not available to download. Need this Company? Request availability")</f>
      </c>
      <c r="D489" s="12" t="inlineStr">
        <is>
          <t/>
        </is>
      </c>
      <c r="E489" s="13" t="inlineStr">
        <is>
          <t/>
        </is>
      </c>
      <c r="F489" s="14" t="inlineStr">
        <is>
          <t/>
        </is>
      </c>
      <c r="G489" s="15" t="inlineStr">
        <is>
          <t/>
        </is>
      </c>
      <c r="H489" s="16" t="inlineStr">
        <is>
          <t/>
        </is>
      </c>
      <c r="I489" s="17" t="inlineStr">
        <is>
          <t/>
        </is>
      </c>
      <c r="J489" s="18" t="inlineStr">
        <is>
          <t/>
        </is>
      </c>
      <c r="K489" s="19" t="inlineStr">
        <is>
          <t/>
        </is>
      </c>
      <c r="L489" s="20" t="inlineStr">
        <is>
          <t/>
        </is>
      </c>
      <c r="M489" s="21" t="inlineStr">
        <is>
          <t/>
        </is>
      </c>
      <c r="N489" s="22" t="inlineStr">
        <is>
          <t/>
        </is>
      </c>
      <c r="O489" s="23" t="inlineStr">
        <is>
          <t/>
        </is>
      </c>
      <c r="P489" s="24" t="inlineStr">
        <is>
          <t/>
        </is>
      </c>
      <c r="Q489" s="25" t="inlineStr">
        <is>
          <t/>
        </is>
      </c>
      <c r="R489" s="26" t="inlineStr">
        <is>
          <t/>
        </is>
      </c>
    </row>
    <row r="490">
      <c r="A490" s="27" t="inlineStr">
        <is>
          <t>168680-62</t>
        </is>
      </c>
      <c r="B490" s="28" t="inlineStr">
        <is>
          <t>Upcall</t>
        </is>
      </c>
      <c r="C490" s="29" t="inlineStr">
        <is>
          <t>94103</t>
        </is>
      </c>
      <c r="D490" s="30" t="inlineStr">
        <is>
          <t>Provider of a call crowdsourcing platform. The company's platform enables businesses to crowdsource calls to customers and receive analytics of each call outcome.</t>
        </is>
      </c>
      <c r="E490" s="31" t="inlineStr">
        <is>
          <t>Social/Platform Software</t>
        </is>
      </c>
      <c r="F490" s="32" t="inlineStr">
        <is>
          <t>San Francisco, CA</t>
        </is>
      </c>
      <c r="G490" s="33" t="inlineStr">
        <is>
          <t>Privately Held (backing)</t>
        </is>
      </c>
      <c r="H490" s="34" t="inlineStr">
        <is>
          <t>Accelerator/Incubator Backed</t>
        </is>
      </c>
      <c r="I490" s="35" t="inlineStr">
        <is>
          <t>Y Combinator</t>
        </is>
      </c>
      <c r="J490" s="36" t="inlineStr">
        <is>
          <t>www.upcall.com</t>
        </is>
      </c>
      <c r="K490" s="37" t="inlineStr">
        <is>
          <t/>
        </is>
      </c>
      <c r="L490" s="38" t="inlineStr">
        <is>
          <t/>
        </is>
      </c>
      <c r="M490" s="39" t="inlineStr">
        <is>
          <t>Samuel Devyver</t>
        </is>
      </c>
      <c r="N490" s="40" t="inlineStr">
        <is>
          <t>Co-Founder &amp; Chief Executive Officer</t>
        </is>
      </c>
      <c r="O490" s="41" t="inlineStr">
        <is>
          <t>samuel@upcall.com</t>
        </is>
      </c>
      <c r="P490" s="42" t="inlineStr">
        <is>
          <t/>
        </is>
      </c>
      <c r="Q490" s="43" t="n">
        <v>2016.0</v>
      </c>
      <c r="R490" s="114">
        <f>HYPERLINK("https://my.pitchbook.com?c=168680-62", "View company online")</f>
      </c>
    </row>
    <row r="491">
      <c r="A491" s="9" t="inlineStr">
        <is>
          <t>172614-61</t>
        </is>
      </c>
      <c r="B491" s="10" t="inlineStr">
        <is>
          <t>Up Sonder</t>
        </is>
      </c>
      <c r="C491" s="11" t="inlineStr">
        <is>
          <t>90036</t>
        </is>
      </c>
      <c r="D491" s="12" t="inlineStr">
        <is>
          <t>Provider of a peer-to-peer on-demand drone rental platform intended to provide, hire and rent drones and related services online in the USA. The company's peer-to-peer on-demand drone rental platform offers precision landing technology that helps to eliminate the hassle of traveling with a drone, enabling people to find and rent a drone or service near them at a cost much lower than owning a drone.</t>
        </is>
      </c>
      <c r="E491" s="13" t="inlineStr">
        <is>
          <t>Social/Platform Software</t>
        </is>
      </c>
      <c r="F491" s="14" t="inlineStr">
        <is>
          <t>Los Angeles, CA</t>
        </is>
      </c>
      <c r="G491" s="15" t="inlineStr">
        <is>
          <t>Privately Held (backing)</t>
        </is>
      </c>
      <c r="H491" s="16" t="inlineStr">
        <is>
          <t>Angel-Backed</t>
        </is>
      </c>
      <c r="I491" s="17" t="inlineStr">
        <is>
          <t>Singh Ventures</t>
        </is>
      </c>
      <c r="J491" s="18" t="inlineStr">
        <is>
          <t>www.upsonder.com</t>
        </is>
      </c>
      <c r="K491" s="19" t="inlineStr">
        <is>
          <t>info@upsonder.com</t>
        </is>
      </c>
      <c r="L491" s="20" t="inlineStr">
        <is>
          <t/>
        </is>
      </c>
      <c r="M491" s="21" t="inlineStr">
        <is>
          <t>Derek Waleko</t>
        </is>
      </c>
      <c r="N491" s="22" t="inlineStr">
        <is>
          <t>Co-Founder &amp; Chief Executive Officer</t>
        </is>
      </c>
      <c r="O491" s="23" t="inlineStr">
        <is>
          <t>derek.waleko@upsonder.com</t>
        </is>
      </c>
      <c r="P491" s="24" t="inlineStr">
        <is>
          <t/>
        </is>
      </c>
      <c r="Q491" s="25" t="n">
        <v>2015.0</v>
      </c>
      <c r="R491" s="113">
        <f>HYPERLINK("https://my.pitchbook.com?c=172614-61", "View company online")</f>
      </c>
    </row>
    <row r="492">
      <c r="A492" s="27" t="inlineStr">
        <is>
          <t>155323-99</t>
        </is>
      </c>
      <c r="B492" s="28" t="inlineStr">
        <is>
          <t>Up All Night</t>
        </is>
      </c>
      <c r="C492" s="29" t="inlineStr">
        <is>
          <t>94102</t>
        </is>
      </c>
      <c r="D492" s="30" t="inlineStr">
        <is>
          <t>Provider of a mobile application for searching night clubs. The company offers a mobile based subscription service to help users find night clubs, events and underground parties.</t>
        </is>
      </c>
      <c r="E492" s="31" t="inlineStr">
        <is>
          <t>Application Software</t>
        </is>
      </c>
      <c r="F492" s="32" t="inlineStr">
        <is>
          <t>San Francisco, CA</t>
        </is>
      </c>
      <c r="G492" s="33" t="inlineStr">
        <is>
          <t>Privately Held (backing)</t>
        </is>
      </c>
      <c r="H492" s="34" t="inlineStr">
        <is>
          <t>Accelerator/Incubator Backed</t>
        </is>
      </c>
      <c r="I492" s="35" t="inlineStr">
        <is>
          <t>500 Startups, Bob Lee, Nihal Mehta, Ryan Raddon, Vijay Chattha</t>
        </is>
      </c>
      <c r="J492" s="36" t="inlineStr">
        <is>
          <t>www.upallnight.us</t>
        </is>
      </c>
      <c r="K492" s="37" t="inlineStr">
        <is>
          <t/>
        </is>
      </c>
      <c r="L492" s="38" t="inlineStr">
        <is>
          <t>+1 (415) 508-4316</t>
        </is>
      </c>
      <c r="M492" s="39" t="inlineStr">
        <is>
          <t>Prem Kumta</t>
        </is>
      </c>
      <c r="N492" s="40" t="inlineStr">
        <is>
          <t>Co-Founder &amp; Chief Executive Officer</t>
        </is>
      </c>
      <c r="O492" s="41" t="inlineStr">
        <is>
          <t>prem@upallnight.us</t>
        </is>
      </c>
      <c r="P492" s="42" t="inlineStr">
        <is>
          <t>+1 (415) 508-4316</t>
        </is>
      </c>
      <c r="Q492" s="43" t="n">
        <v>2015.0</v>
      </c>
      <c r="R492" s="114">
        <f>HYPERLINK("https://my.pitchbook.com?c=155323-99", "View company online")</f>
      </c>
    </row>
    <row r="493">
      <c r="A493" s="9" t="inlineStr">
        <is>
          <t>127245-88</t>
        </is>
      </c>
      <c r="B493" s="10" t="inlineStr">
        <is>
          <t>Up (Mixmat)</t>
        </is>
      </c>
      <c r="C493" s="11" t="inlineStr">
        <is>
          <t/>
        </is>
      </c>
      <c r="D493" s="12" t="inlineStr">
        <is>
          <t>Provider of a tool to mix small batches of concrete. The company offers a tool to physically mix and pour small amounts of concrete.</t>
        </is>
      </c>
      <c r="E493" s="13" t="inlineStr">
        <is>
          <t>Other Commercial Products</t>
        </is>
      </c>
      <c r="F493" s="14" t="inlineStr">
        <is>
          <t>Chico, CA</t>
        </is>
      </c>
      <c r="G493" s="15" t="inlineStr">
        <is>
          <t>Privately Held (backing)</t>
        </is>
      </c>
      <c r="H493" s="16" t="inlineStr">
        <is>
          <t>Accelerator/Incubator Backed</t>
        </is>
      </c>
      <c r="I493" s="17" t="inlineStr">
        <is>
          <t>Chicostart</t>
        </is>
      </c>
      <c r="J493" s="18" t="inlineStr">
        <is>
          <t>www.themixmat.com</t>
        </is>
      </c>
      <c r="K493" s="19" t="inlineStr">
        <is>
          <t/>
        </is>
      </c>
      <c r="L493" s="20" t="inlineStr">
        <is>
          <t>+1 (707) 447-3957</t>
        </is>
      </c>
      <c r="M493" s="21" t="inlineStr">
        <is>
          <t>Alexander Van Dewark</t>
        </is>
      </c>
      <c r="N493" s="22" t="inlineStr">
        <is>
          <t>Co-Founder &amp; Chief Executive Officer</t>
        </is>
      </c>
      <c r="O493" s="23" t="inlineStr">
        <is>
          <t/>
        </is>
      </c>
      <c r="P493" s="24" t="inlineStr">
        <is>
          <t>+1 (707) 447-3957</t>
        </is>
      </c>
      <c r="Q493" s="25" t="n">
        <v>2014.0</v>
      </c>
      <c r="R493" s="113">
        <f>HYPERLINK("https://my.pitchbook.com?c=127245-88", "View company online")</f>
      </c>
    </row>
    <row r="494">
      <c r="A494" s="27" t="inlineStr">
        <is>
          <t>162289-99</t>
        </is>
      </c>
      <c r="B494" s="28" t="inlineStr">
        <is>
          <t>UNUM (Instagram application)</t>
        </is>
      </c>
      <c r="C494" s="29" t="inlineStr">
        <is>
          <t>91362</t>
        </is>
      </c>
      <c r="D494" s="30" t="inlineStr">
        <is>
          <t>Developer of a designing tool for customizing Instagram. The company's platform enables users to schedule, edit, arrange and theme their Instagram pictures and profiles.</t>
        </is>
      </c>
      <c r="E494" s="31" t="inlineStr">
        <is>
          <t>Multimedia and Design Software</t>
        </is>
      </c>
      <c r="F494" s="32" t="inlineStr">
        <is>
          <t>Westlake Village, CA</t>
        </is>
      </c>
      <c r="G494" s="33" t="inlineStr">
        <is>
          <t>Privately Held (backing)</t>
        </is>
      </c>
      <c r="H494" s="34" t="inlineStr">
        <is>
          <t>Accelerator/Incubator Backed</t>
        </is>
      </c>
      <c r="I494" s="35" t="inlineStr">
        <is>
          <t>Blue Startups</t>
        </is>
      </c>
      <c r="J494" s="36" t="inlineStr">
        <is>
          <t>www.unum.la</t>
        </is>
      </c>
      <c r="K494" s="37" t="inlineStr">
        <is>
          <t>team@unum.la</t>
        </is>
      </c>
      <c r="L494" s="38" t="inlineStr">
        <is>
          <t/>
        </is>
      </c>
      <c r="M494" s="39" t="inlineStr">
        <is>
          <t>Andrew Comeau</t>
        </is>
      </c>
      <c r="N494" s="40" t="inlineStr">
        <is>
          <t>Senior Analyst</t>
        </is>
      </c>
      <c r="O494" s="41" t="inlineStr">
        <is>
          <t/>
        </is>
      </c>
      <c r="P494" s="42" t="inlineStr">
        <is>
          <t/>
        </is>
      </c>
      <c r="Q494" s="43" t="n">
        <v>2015.0</v>
      </c>
      <c r="R494" s="114">
        <f>HYPERLINK("https://my.pitchbook.com?c=162289-99", "View company online")</f>
      </c>
    </row>
    <row r="495">
      <c r="A495" s="9" t="inlineStr">
        <is>
          <t>160964-65</t>
        </is>
      </c>
      <c r="B495" s="10" t="inlineStr">
        <is>
          <t>UnStock</t>
        </is>
      </c>
      <c r="C495" s="11" t="inlineStr">
        <is>
          <t>94303</t>
        </is>
      </c>
      <c r="D495" s="12" t="inlineStr">
        <is>
          <t>Provider of a marketplace for video footage. The company's marketplace allows buying and selling of videos and footages. It also develops an application for capturing videos.</t>
        </is>
      </c>
      <c r="E495" s="13" t="inlineStr">
        <is>
          <t>Application Software</t>
        </is>
      </c>
      <c r="F495" s="14" t="inlineStr">
        <is>
          <t>Palo Alto, CA</t>
        </is>
      </c>
      <c r="G495" s="15" t="inlineStr">
        <is>
          <t>Privately Held (backing)</t>
        </is>
      </c>
      <c r="H495" s="16" t="inlineStr">
        <is>
          <t>Accelerator/Incubator Backed</t>
        </is>
      </c>
      <c r="I495" s="17" t="inlineStr">
        <is>
          <t>AngelPad</t>
        </is>
      </c>
      <c r="J495" s="18" t="inlineStr">
        <is>
          <t>www.unstock.io</t>
        </is>
      </c>
      <c r="K495" s="19" t="inlineStr">
        <is>
          <t>contact@unstock.io</t>
        </is>
      </c>
      <c r="L495" s="20" t="inlineStr">
        <is>
          <t>+1 (415) 658-1836</t>
        </is>
      </c>
      <c r="M495" s="21" t="inlineStr">
        <is>
          <t>Jakub Gorajek</t>
        </is>
      </c>
      <c r="N495" s="22" t="inlineStr">
        <is>
          <t>Co-Founder &amp; Co-Chief Executive Officer</t>
        </is>
      </c>
      <c r="O495" s="23" t="inlineStr">
        <is>
          <t>jakub@unstock.io</t>
        </is>
      </c>
      <c r="P495" s="24" t="inlineStr">
        <is>
          <t>+1 (415) 658-1836</t>
        </is>
      </c>
      <c r="Q495" s="25" t="n">
        <v>2015.0</v>
      </c>
      <c r="R495" s="113">
        <f>HYPERLINK("https://my.pitchbook.com?c=160964-65", "View company online")</f>
      </c>
    </row>
    <row r="496">
      <c r="A496" s="27" t="inlineStr">
        <is>
          <t>113458-69</t>
        </is>
      </c>
      <c r="B496" s="28" t="inlineStr">
        <is>
          <t>Unlicensed Chimp Technologies</t>
        </is>
      </c>
      <c r="C496" s="29" t="inlineStr">
        <is>
          <t/>
        </is>
      </c>
      <c r="D496" s="30" t="inlineStr">
        <is>
          <t>Developer of a communication protocol for transferring messages. The company develops a message transforming protocol that enables two-way transfer of data to allow interaction between brands and audiences during live events.</t>
        </is>
      </c>
      <c r="E496" s="31" t="inlineStr">
        <is>
          <t>Communication Software</t>
        </is>
      </c>
      <c r="F496" s="32" t="inlineStr">
        <is>
          <t>Los Angeles, CA</t>
        </is>
      </c>
      <c r="G496" s="33" t="inlineStr">
        <is>
          <t>Privately Held (backing)</t>
        </is>
      </c>
      <c r="H496" s="34" t="inlineStr">
        <is>
          <t>Angel-Backed</t>
        </is>
      </c>
      <c r="I496" s="35" t="inlineStr">
        <is>
          <t>Tech Coast Angels</t>
        </is>
      </c>
      <c r="J496" s="36" t="inlineStr">
        <is>
          <t>www.uchimptech.com</t>
        </is>
      </c>
      <c r="K496" s="37" t="inlineStr">
        <is>
          <t/>
        </is>
      </c>
      <c r="L496" s="38" t="inlineStr">
        <is>
          <t/>
        </is>
      </c>
      <c r="M496" s="39" t="inlineStr">
        <is>
          <t>Kevin McNerney</t>
        </is>
      </c>
      <c r="N496" s="40" t="inlineStr">
        <is>
          <t>Co-Chief Executive Officer and Board Member</t>
        </is>
      </c>
      <c r="O496" s="41" t="inlineStr">
        <is>
          <t>kevin@uchimptech.com</t>
        </is>
      </c>
      <c r="P496" s="42" t="inlineStr">
        <is>
          <t/>
        </is>
      </c>
      <c r="Q496" s="43" t="n">
        <v>2012.0</v>
      </c>
      <c r="R496" s="114">
        <f>HYPERLINK("https://my.pitchbook.com?c=113458-69", "View company online")</f>
      </c>
    </row>
    <row r="497">
      <c r="A497" s="9" t="inlineStr">
        <is>
          <t>60186-25</t>
        </is>
      </c>
      <c r="B497" s="10" t="inlineStr">
        <is>
          <t>Unleashed Software</t>
        </is>
      </c>
      <c r="C497" s="11" t="inlineStr">
        <is>
          <t>0622</t>
        </is>
      </c>
      <c r="D497" s="12" t="inlineStr">
        <is>
          <t>Developer of a cloud-based inventory management software. The company offers online inventory tools that can integrate with online stores and accounting software to help businesses of all sizes to manage their inventory by providing an accurate view of stock movement and costs.</t>
        </is>
      </c>
      <c r="E497" s="13" t="inlineStr">
        <is>
          <t>Business/Productivity Software</t>
        </is>
      </c>
      <c r="F497" s="14" t="inlineStr">
        <is>
          <t>Auckland, New Zealand</t>
        </is>
      </c>
      <c r="G497" s="15" t="inlineStr">
        <is>
          <t>Privately Held (backing)</t>
        </is>
      </c>
      <c r="H497" s="16" t="inlineStr">
        <is>
          <t>Angel-Backed</t>
        </is>
      </c>
      <c r="I497" s="17" t="inlineStr">
        <is>
          <t>Craig Winkler, K1W1, Lewis Holdings, Milford Asset Management, Stuart McLeod, Tom Karemacher</t>
        </is>
      </c>
      <c r="J497" s="18" t="inlineStr">
        <is>
          <t>www.unleashedsoftware.com</t>
        </is>
      </c>
      <c r="K497" s="19" t="inlineStr">
        <is>
          <t/>
        </is>
      </c>
      <c r="L497" s="20" t="inlineStr">
        <is>
          <t>+64 (0)9 447 1334</t>
        </is>
      </c>
      <c r="M497" s="21" t="inlineStr">
        <is>
          <t>Gareth Berry</t>
        </is>
      </c>
      <c r="N497" s="22" t="inlineStr">
        <is>
          <t>Chief Executive Officer</t>
        </is>
      </c>
      <c r="O497" s="23" t="inlineStr">
        <is>
          <t>garethb@unleashedsoftware.com</t>
        </is>
      </c>
      <c r="P497" s="24" t="inlineStr">
        <is>
          <t>+64 (0)2 144 4107</t>
        </is>
      </c>
      <c r="Q497" s="25" t="n">
        <v>2009.0</v>
      </c>
      <c r="R497" s="113">
        <f>HYPERLINK("https://my.pitchbook.com?c=60186-25", "View company online")</f>
      </c>
    </row>
    <row r="498">
      <c r="A498" s="27" t="inlineStr">
        <is>
          <t>58279-06</t>
        </is>
      </c>
      <c r="B498" s="28" t="inlineStr">
        <is>
          <t>Univfy</t>
        </is>
      </c>
      <c r="C498" s="29" t="inlineStr">
        <is>
          <t>94022</t>
        </is>
      </c>
      <c r="D498" s="30" t="inlineStr">
        <is>
          <t>Developer of a personalized prognostics platform for women. The company develops and delivers prediction tests to inform women of their personalized chance of having a baby with In vitro fertilization.</t>
        </is>
      </c>
      <c r="E498" s="31" t="inlineStr">
        <is>
          <t>Diagnostic Equipment</t>
        </is>
      </c>
      <c r="F498" s="32" t="inlineStr">
        <is>
          <t>Los Altos, CA</t>
        </is>
      </c>
      <c r="G498" s="33" t="inlineStr">
        <is>
          <t>Privately Held (backing)</t>
        </is>
      </c>
      <c r="H498" s="34" t="inlineStr">
        <is>
          <t>Angel-Backed</t>
        </is>
      </c>
      <c r="I498" s="35" t="inlineStr">
        <is>
          <t>Brian Wu, Jeff Marks, Kai Huang, Nick Lanyon</t>
        </is>
      </c>
      <c r="J498" s="36" t="inlineStr">
        <is>
          <t>www.univfy.com</t>
        </is>
      </c>
      <c r="K498" s="37" t="inlineStr">
        <is>
          <t>info@univfy.com</t>
        </is>
      </c>
      <c r="L498" s="38" t="inlineStr">
        <is>
          <t>+1 (877) 986-4839</t>
        </is>
      </c>
      <c r="M498" s="39" t="inlineStr">
        <is>
          <t>Mylene Yao</t>
        </is>
      </c>
      <c r="N498" s="40" t="inlineStr">
        <is>
          <t>Co-Founder &amp; Chief Executive Officer</t>
        </is>
      </c>
      <c r="O498" s="41" t="inlineStr">
        <is>
          <t>myao@univfy.com</t>
        </is>
      </c>
      <c r="P498" s="42" t="inlineStr">
        <is>
          <t>+1 (877) 986-4839</t>
        </is>
      </c>
      <c r="Q498" s="43" t="n">
        <v>2009.0</v>
      </c>
      <c r="R498" s="114">
        <f>HYPERLINK("https://my.pitchbook.com?c=58279-06", "View company online")</f>
      </c>
    </row>
    <row r="499">
      <c r="A499" s="9" t="inlineStr">
        <is>
          <t>103282-84</t>
        </is>
      </c>
      <c r="B499" s="10" t="inlineStr">
        <is>
          <t>UnitesUs</t>
        </is>
      </c>
      <c r="C499" s="85">
        <f>HYPERLINK("https://my.pitchbook.com?rrp=103282-84&amp;type=c", "This Company's information is not available to download. Need this Company? Request availability")</f>
      </c>
      <c r="D499" s="12" t="inlineStr">
        <is>
          <t/>
        </is>
      </c>
      <c r="E499" s="13" t="inlineStr">
        <is>
          <t/>
        </is>
      </c>
      <c r="F499" s="14" t="inlineStr">
        <is>
          <t/>
        </is>
      </c>
      <c r="G499" s="15" t="inlineStr">
        <is>
          <t/>
        </is>
      </c>
      <c r="H499" s="16" t="inlineStr">
        <is>
          <t/>
        </is>
      </c>
      <c r="I499" s="17" t="inlineStr">
        <is>
          <t/>
        </is>
      </c>
      <c r="J499" s="18" t="inlineStr">
        <is>
          <t/>
        </is>
      </c>
      <c r="K499" s="19" t="inlineStr">
        <is>
          <t/>
        </is>
      </c>
      <c r="L499" s="20" t="inlineStr">
        <is>
          <t/>
        </is>
      </c>
      <c r="M499" s="21" t="inlineStr">
        <is>
          <t/>
        </is>
      </c>
      <c r="N499" s="22" t="inlineStr">
        <is>
          <t/>
        </is>
      </c>
      <c r="O499" s="23" t="inlineStr">
        <is>
          <t/>
        </is>
      </c>
      <c r="P499" s="24" t="inlineStr">
        <is>
          <t/>
        </is>
      </c>
      <c r="Q499" s="25" t="inlineStr">
        <is>
          <t/>
        </is>
      </c>
      <c r="R499" s="26" t="inlineStr">
        <is>
          <t/>
        </is>
      </c>
    </row>
    <row r="500">
      <c r="A500" s="27" t="inlineStr">
        <is>
          <t>57177-55</t>
        </is>
      </c>
      <c r="B500" s="28" t="inlineStr">
        <is>
          <t>United Talent Agency</t>
        </is>
      </c>
      <c r="C500" s="29" t="inlineStr">
        <is>
          <t>90210</t>
        </is>
      </c>
      <c r="D500" s="30" t="inlineStr">
        <is>
          <t>Provider of a platform for talent and literary agency services. The company is a major representative of film and literary operatives, including actors, directors, writers, artists, screenwriters and filmmakers. Its scope is broad and includes the film industry, live musical and theater, advertising and video entertainment. In addition to representing talent, the company provides training programs for talent agents, as well as internships.</t>
        </is>
      </c>
      <c r="E500" s="31" t="inlineStr">
        <is>
          <t>Consulting Services (B2B)</t>
        </is>
      </c>
      <c r="F500" s="32" t="inlineStr">
        <is>
          <t>Beverly Hills, CA</t>
        </is>
      </c>
      <c r="G500" s="33" t="inlineStr">
        <is>
          <t>Privately Held (backing)</t>
        </is>
      </c>
      <c r="H500" s="34" t="inlineStr">
        <is>
          <t>Angel-Backed</t>
        </is>
      </c>
      <c r="I500" s="35" t="inlineStr">
        <is>
          <t>Jeffrey Ubben</t>
        </is>
      </c>
      <c r="J500" s="36" t="inlineStr">
        <is>
          <t>www.unitedtalent.com</t>
        </is>
      </c>
      <c r="K500" s="37" t="inlineStr">
        <is>
          <t>info@unitedtalent.com</t>
        </is>
      </c>
      <c r="L500" s="38" t="inlineStr">
        <is>
          <t>+1 (310) 273-6700</t>
        </is>
      </c>
      <c r="M500" s="39" t="inlineStr">
        <is>
          <t>Jeremy Zimmer</t>
        </is>
      </c>
      <c r="N500" s="40" t="inlineStr">
        <is>
          <t>Founder, Managing Director &amp; Chief Executive Officer</t>
        </is>
      </c>
      <c r="O500" s="41" t="inlineStr">
        <is>
          <t>zimmerj@unitedtalent.com</t>
        </is>
      </c>
      <c r="P500" s="42" t="inlineStr">
        <is>
          <t>+1 (310) 273-6700</t>
        </is>
      </c>
      <c r="Q500" s="43" t="n">
        <v>1991.0</v>
      </c>
      <c r="R500" s="114">
        <f>HYPERLINK("https://my.pitchbook.com?c=57177-55", "View company online")</f>
      </c>
    </row>
    <row r="501">
      <c r="A501" s="9" t="inlineStr">
        <is>
          <t>155818-45</t>
        </is>
      </c>
      <c r="B501" s="10" t="inlineStr">
        <is>
          <t>Unite Genomics</t>
        </is>
      </c>
      <c r="C501" s="11" t="inlineStr">
        <is>
          <t/>
        </is>
      </c>
      <c r="D501" s="12" t="inlineStr">
        <is>
          <t>Provider of big data services for genomics discovery. The company specializes in harnessing the power of full genome sequencing and scalable computing to inform and shape clinical trials.</t>
        </is>
      </c>
      <c r="E501" s="13" t="inlineStr">
        <is>
          <t>Biotechnology</t>
        </is>
      </c>
      <c r="F501" s="14" t="inlineStr">
        <is>
          <t>San Francisco, CA</t>
        </is>
      </c>
      <c r="G501" s="15" t="inlineStr">
        <is>
          <t>Privately Held (backing)</t>
        </is>
      </c>
      <c r="H501" s="16" t="inlineStr">
        <is>
          <t>Accelerator/Incubator Backed</t>
        </is>
      </c>
      <c r="I501" s="17" t="inlineStr">
        <is>
          <t>Founder.org</t>
        </is>
      </c>
      <c r="J501" s="18" t="inlineStr">
        <is>
          <t>www.unitegenomics.com</t>
        </is>
      </c>
      <c r="K501" s="19" t="inlineStr">
        <is>
          <t/>
        </is>
      </c>
      <c r="L501" s="20" t="inlineStr">
        <is>
          <t/>
        </is>
      </c>
      <c r="M501" s="21" t="inlineStr">
        <is>
          <t>Taner Dagdelen</t>
        </is>
      </c>
      <c r="N501" s="22" t="inlineStr">
        <is>
          <t>Co-Founder</t>
        </is>
      </c>
      <c r="O501" s="23" t="inlineStr">
        <is>
          <t>taner@unitegenomics.com</t>
        </is>
      </c>
      <c r="P501" s="24" t="inlineStr">
        <is>
          <t/>
        </is>
      </c>
      <c r="Q501" s="25" t="inlineStr">
        <is>
          <t/>
        </is>
      </c>
      <c r="R501" s="113">
        <f>HYPERLINK("https://my.pitchbook.com?c=155818-45", "View company online")</f>
      </c>
    </row>
    <row r="502">
      <c r="A502" s="27" t="inlineStr">
        <is>
          <t>163077-22</t>
        </is>
      </c>
      <c r="B502" s="28" t="inlineStr">
        <is>
          <t>UniquID</t>
        </is>
      </c>
      <c r="C502" s="29" t="inlineStr">
        <is>
          <t>94103</t>
        </is>
      </c>
      <c r="D502" s="30" t="inlineStr">
        <is>
          <t>Provider of an identity and access management platform. The company designs and develops digital keys and security software via Blockchain for devices, facilities and businesses.</t>
        </is>
      </c>
      <c r="E502" s="31" t="inlineStr">
        <is>
          <t>Network Management Software</t>
        </is>
      </c>
      <c r="F502" s="32" t="inlineStr">
        <is>
          <t>San Francisco, CA</t>
        </is>
      </c>
      <c r="G502" s="33" t="inlineStr">
        <is>
          <t>Privately Held (backing)</t>
        </is>
      </c>
      <c r="H502" s="34" t="inlineStr">
        <is>
          <t>Accelerator/Incubator Backed</t>
        </is>
      </c>
      <c r="I502" s="35" t="inlineStr">
        <is>
          <t>Alchemist Accelerator, Runway Incubator, Seeweb</t>
        </is>
      </c>
      <c r="J502" s="36" t="inlineStr">
        <is>
          <t>www.uniquid.com</t>
        </is>
      </c>
      <c r="K502" s="37" t="inlineStr">
        <is>
          <t/>
        </is>
      </c>
      <c r="L502" s="38" t="inlineStr">
        <is>
          <t/>
        </is>
      </c>
      <c r="M502" s="39" t="inlineStr">
        <is>
          <t>Stefano Pepe</t>
        </is>
      </c>
      <c r="N502" s="40" t="inlineStr">
        <is>
          <t>Co-Founder &amp; Chief Executive Officer</t>
        </is>
      </c>
      <c r="O502" s="41" t="inlineStr">
        <is>
          <t>pepe@uniquid.com</t>
        </is>
      </c>
      <c r="P502" s="42" t="inlineStr">
        <is>
          <t/>
        </is>
      </c>
      <c r="Q502" s="43" t="n">
        <v>2015.0</v>
      </c>
      <c r="R502" s="114">
        <f>HYPERLINK("https://my.pitchbook.com?c=163077-22", "View company online")</f>
      </c>
    </row>
    <row r="503">
      <c r="A503" s="9" t="inlineStr">
        <is>
          <t>180406-09</t>
        </is>
      </c>
      <c r="B503" s="10" t="inlineStr">
        <is>
          <t>Unique.ai</t>
        </is>
      </c>
      <c r="C503" s="85">
        <f>HYPERLINK("https://my.pitchbook.com?rrp=180406-09&amp;type=c", "This Company's information is not available to download. Need this Company? Request availability")</f>
      </c>
      <c r="D503" s="12" t="inlineStr">
        <is>
          <t/>
        </is>
      </c>
      <c r="E503" s="13" t="inlineStr">
        <is>
          <t/>
        </is>
      </c>
      <c r="F503" s="14" t="inlineStr">
        <is>
          <t/>
        </is>
      </c>
      <c r="G503" s="15" t="inlineStr">
        <is>
          <t/>
        </is>
      </c>
      <c r="H503" s="16" t="inlineStr">
        <is>
          <t/>
        </is>
      </c>
      <c r="I503" s="17" t="inlineStr">
        <is>
          <t/>
        </is>
      </c>
      <c r="J503" s="18" t="inlineStr">
        <is>
          <t/>
        </is>
      </c>
      <c r="K503" s="19" t="inlineStr">
        <is>
          <t/>
        </is>
      </c>
      <c r="L503" s="20" t="inlineStr">
        <is>
          <t/>
        </is>
      </c>
      <c r="M503" s="21" t="inlineStr">
        <is>
          <t/>
        </is>
      </c>
      <c r="N503" s="22" t="inlineStr">
        <is>
          <t/>
        </is>
      </c>
      <c r="O503" s="23" t="inlineStr">
        <is>
          <t/>
        </is>
      </c>
      <c r="P503" s="24" t="inlineStr">
        <is>
          <t/>
        </is>
      </c>
      <c r="Q503" s="25" t="inlineStr">
        <is>
          <t/>
        </is>
      </c>
      <c r="R503" s="26" t="inlineStr">
        <is>
          <t/>
        </is>
      </c>
    </row>
    <row r="504">
      <c r="A504" s="27" t="inlineStr">
        <is>
          <t>117708-13</t>
        </is>
      </c>
      <c r="B504" s="28" t="inlineStr">
        <is>
          <t>Unimersiv</t>
        </is>
      </c>
      <c r="C504" s="29" t="inlineStr">
        <is>
          <t>94401</t>
        </is>
      </c>
      <c r="D504" s="30" t="inlineStr">
        <is>
          <t>Developer of a virtual reality based learning platform. The company's educational software introduce students to real-world issues, to supplement learning by helping students get a different perspective on what they have learned in books.</t>
        </is>
      </c>
      <c r="E504" s="31" t="inlineStr">
        <is>
          <t>Educational and Training Services (B2C)</t>
        </is>
      </c>
      <c r="F504" s="32" t="inlineStr">
        <is>
          <t>San Mateo, CA</t>
        </is>
      </c>
      <c r="G504" s="33" t="inlineStr">
        <is>
          <t>Privately Held (backing)</t>
        </is>
      </c>
      <c r="H504" s="34" t="inlineStr">
        <is>
          <t>Accelerator/Incubator Backed</t>
        </is>
      </c>
      <c r="I504" s="35" t="inlineStr">
        <is>
          <t>Boost VC</t>
        </is>
      </c>
      <c r="J504" s="36" t="inlineStr">
        <is>
          <t>www.unimersiv.com</t>
        </is>
      </c>
      <c r="K504" s="37" t="inlineStr">
        <is>
          <t>contact@unimersiv.com</t>
        </is>
      </c>
      <c r="L504" s="38" t="inlineStr">
        <is>
          <t>+1 (368) 545-4729</t>
        </is>
      </c>
      <c r="M504" s="39" t="inlineStr">
        <is>
          <t>Baptiste Grève</t>
        </is>
      </c>
      <c r="N504" s="40" t="inlineStr">
        <is>
          <t>Founder</t>
        </is>
      </c>
      <c r="O504" s="41" t="inlineStr">
        <is>
          <t>baptiste@unimersiv.com</t>
        </is>
      </c>
      <c r="P504" s="42" t="inlineStr">
        <is>
          <t>+1 (368) 545-4729</t>
        </is>
      </c>
      <c r="Q504" s="43" t="n">
        <v>2015.0</v>
      </c>
      <c r="R504" s="114">
        <f>HYPERLINK("https://my.pitchbook.com?c=117708-13", "View company online")</f>
      </c>
    </row>
    <row r="505">
      <c r="A505" s="9" t="inlineStr">
        <is>
          <t>119945-98</t>
        </is>
      </c>
      <c r="B505" s="10" t="inlineStr">
        <is>
          <t>UnifyID</t>
        </is>
      </c>
      <c r="C505" s="11" t="inlineStr">
        <is>
          <t/>
        </is>
      </c>
      <c r="D505" s="12" t="inlineStr">
        <is>
          <t>The company is currently operating in stealth mode.</t>
        </is>
      </c>
      <c r="E505" s="13" t="inlineStr">
        <is>
          <t>Other Business Products and Services</t>
        </is>
      </c>
      <c r="F505" s="14" t="inlineStr">
        <is>
          <t>San Francisco, CA</t>
        </is>
      </c>
      <c r="G505" s="15" t="inlineStr">
        <is>
          <t>Privately Held (backing)</t>
        </is>
      </c>
      <c r="H505" s="16" t="inlineStr">
        <is>
          <t>Accelerator/Incubator Backed</t>
        </is>
      </c>
      <c r="I505" s="17" t="inlineStr">
        <is>
          <t>Andreessen Horowitz, StartX</t>
        </is>
      </c>
      <c r="J505" s="18" t="inlineStr">
        <is>
          <t>www.unify.id</t>
        </is>
      </c>
      <c r="K505" s="19" t="inlineStr">
        <is>
          <t/>
        </is>
      </c>
      <c r="L505" s="20" t="inlineStr">
        <is>
          <t/>
        </is>
      </c>
      <c r="M505" s="21" t="inlineStr">
        <is>
          <t>Kurt Somerville</t>
        </is>
      </c>
      <c r="N505" s="22" t="inlineStr">
        <is>
          <t>Co-Founder &amp; Chief Operating Officer</t>
        </is>
      </c>
      <c r="O505" s="23" t="inlineStr">
        <is>
          <t>kurt@unify.id</t>
        </is>
      </c>
      <c r="P505" s="24" t="inlineStr">
        <is>
          <t/>
        </is>
      </c>
      <c r="Q505" s="25" t="n">
        <v>2015.0</v>
      </c>
      <c r="R505" s="113">
        <f>HYPERLINK("https://my.pitchbook.com?c=119945-98", "View company online")</f>
      </c>
    </row>
    <row r="506">
      <c r="A506" s="27" t="inlineStr">
        <is>
          <t>104747-32</t>
        </is>
      </c>
      <c r="B506" s="28" t="inlineStr">
        <is>
          <t>Unified People</t>
        </is>
      </c>
      <c r="C506" s="29" t="inlineStr">
        <is>
          <t/>
        </is>
      </c>
      <c r="D506" s="30" t="inlineStr">
        <is>
          <t>Owner and operator of a clothing and apparel company. The company offers handcrafted hats and garments t their customers.</t>
        </is>
      </c>
      <c r="E506" s="31" t="inlineStr">
        <is>
          <t>Clothing</t>
        </is>
      </c>
      <c r="F506" s="32" t="inlineStr">
        <is>
          <t>Los Angeles, CA</t>
        </is>
      </c>
      <c r="G506" s="33" t="inlineStr">
        <is>
          <t>Privately Held (backing)</t>
        </is>
      </c>
      <c r="H506" s="34" t="inlineStr">
        <is>
          <t>Angel-Backed</t>
        </is>
      </c>
      <c r="I506" s="35" t="inlineStr">
        <is>
          <t>Andrew Marquez, Hector Mendoza, Markus Biegel, Mike Haro, Nathan Martell, Steven Torices</t>
        </is>
      </c>
      <c r="J506" s="36" t="inlineStr">
        <is>
          <t>www.unifiedpeople.org</t>
        </is>
      </c>
      <c r="K506" s="37" t="inlineStr">
        <is>
          <t/>
        </is>
      </c>
      <c r="L506" s="38" t="inlineStr">
        <is>
          <t/>
        </is>
      </c>
      <c r="M506" s="39" t="inlineStr">
        <is>
          <t>Bobo Wince</t>
        </is>
      </c>
      <c r="N506" s="40" t="inlineStr">
        <is>
          <t>Founder, Owner &amp; President</t>
        </is>
      </c>
      <c r="O506" s="41" t="inlineStr">
        <is>
          <t/>
        </is>
      </c>
      <c r="P506" s="42" t="inlineStr">
        <is>
          <t/>
        </is>
      </c>
      <c r="Q506" s="43" t="n">
        <v>2007.0</v>
      </c>
      <c r="R506" s="114">
        <f>HYPERLINK("https://my.pitchbook.com?c=104747-32", "View company online")</f>
      </c>
    </row>
    <row r="507">
      <c r="A507" s="9" t="inlineStr">
        <is>
          <t>89285-23</t>
        </is>
      </c>
      <c r="B507" s="10" t="inlineStr">
        <is>
          <t>Unified Color</t>
        </is>
      </c>
      <c r="C507" s="85">
        <f>HYPERLINK("https://my.pitchbook.com?rrp=89285-23&amp;type=c", "This Company's information is not available to download. Need this Company? Request availability")</f>
      </c>
      <c r="D507" s="12" t="inlineStr">
        <is>
          <t/>
        </is>
      </c>
      <c r="E507" s="13" t="inlineStr">
        <is>
          <t/>
        </is>
      </c>
      <c r="F507" s="14" t="inlineStr">
        <is>
          <t/>
        </is>
      </c>
      <c r="G507" s="15" t="inlineStr">
        <is>
          <t/>
        </is>
      </c>
      <c r="H507" s="16" t="inlineStr">
        <is>
          <t/>
        </is>
      </c>
      <c r="I507" s="17" t="inlineStr">
        <is>
          <t/>
        </is>
      </c>
      <c r="J507" s="18" t="inlineStr">
        <is>
          <t/>
        </is>
      </c>
      <c r="K507" s="19" t="inlineStr">
        <is>
          <t/>
        </is>
      </c>
      <c r="L507" s="20" t="inlineStr">
        <is>
          <t/>
        </is>
      </c>
      <c r="M507" s="21" t="inlineStr">
        <is>
          <t/>
        </is>
      </c>
      <c r="N507" s="22" t="inlineStr">
        <is>
          <t/>
        </is>
      </c>
      <c r="O507" s="23" t="inlineStr">
        <is>
          <t/>
        </is>
      </c>
      <c r="P507" s="24" t="inlineStr">
        <is>
          <t/>
        </is>
      </c>
      <c r="Q507" s="25" t="inlineStr">
        <is>
          <t/>
        </is>
      </c>
      <c r="R507" s="26" t="inlineStr">
        <is>
          <t/>
        </is>
      </c>
    </row>
    <row r="508">
      <c r="A508" s="27" t="inlineStr">
        <is>
          <t>89284-69</t>
        </is>
      </c>
      <c r="B508" s="28" t="inlineStr">
        <is>
          <t>Unfold</t>
        </is>
      </c>
      <c r="C508" s="29" t="inlineStr">
        <is>
          <t/>
        </is>
      </c>
      <c r="D508" s="30" t="inlineStr">
        <is>
          <t>Provider of an online portal that keeps people up-to-date on current issues. The company's platform unifies traditional tracking and CRM features with prediction and analysis and it also publishes the opinions of politicians and other influencers.</t>
        </is>
      </c>
      <c r="E508" s="31" t="inlineStr">
        <is>
          <t>Social/Platform Software</t>
        </is>
      </c>
      <c r="F508" s="32" t="inlineStr">
        <is>
          <t>Los Angeles, CA</t>
        </is>
      </c>
      <c r="G508" s="33" t="inlineStr">
        <is>
          <t>Privately Held (backing)</t>
        </is>
      </c>
      <c r="H508" s="34" t="inlineStr">
        <is>
          <t>Accelerator/Incubator Backed</t>
        </is>
      </c>
      <c r="I508" s="35" t="inlineStr">
        <is>
          <t>K5 Ventures</t>
        </is>
      </c>
      <c r="J508" s="36" t="inlineStr">
        <is>
          <t>www.unfold.com</t>
        </is>
      </c>
      <c r="K508" s="37" t="inlineStr">
        <is>
          <t/>
        </is>
      </c>
      <c r="L508" s="38" t="inlineStr">
        <is>
          <t/>
        </is>
      </c>
      <c r="M508" s="39" t="inlineStr">
        <is>
          <t>Gina Lee</t>
        </is>
      </c>
      <c r="N508" s="40" t="inlineStr">
        <is>
          <t>Co-Founder &amp; Advisor</t>
        </is>
      </c>
      <c r="O508" s="41" t="inlineStr">
        <is>
          <t>gwu@unfold.com</t>
        </is>
      </c>
      <c r="P508" s="42" t="inlineStr">
        <is>
          <t/>
        </is>
      </c>
      <c r="Q508" s="43" t="n">
        <v>2010.0</v>
      </c>
      <c r="R508" s="114">
        <f>HYPERLINK("https://my.pitchbook.com?c=89284-69", "View company online")</f>
      </c>
    </row>
    <row r="509">
      <c r="A509" s="9" t="inlineStr">
        <is>
          <t>181042-12</t>
        </is>
      </c>
      <c r="B509" s="10" t="inlineStr">
        <is>
          <t>Undisputed Boxing</t>
        </is>
      </c>
      <c r="C509" s="11" t="inlineStr">
        <is>
          <t>94070</t>
        </is>
      </c>
      <c r="D509" s="12" t="inlineStr">
        <is>
          <t>Operator of a boxing gym created to offer fighting, self defense and strength training services. The company's boxing gymnasium conducts classes, group sessions and personal training on boxing and martial arts training such as kickboxing, taekwondo, mixed martial arts, enabling both aspiring fighters and fitness enthusiasts to improve and increase their overall physical strength, self defense techniques, fitness and endurance.</t>
        </is>
      </c>
      <c r="E509" s="13" t="inlineStr">
        <is>
          <t>Other Services (B2C Non-Financial)</t>
        </is>
      </c>
      <c r="F509" s="14" t="inlineStr">
        <is>
          <t>San Carlos, CA</t>
        </is>
      </c>
      <c r="G509" s="15" t="inlineStr">
        <is>
          <t>Privately Held (backing)</t>
        </is>
      </c>
      <c r="H509" s="16" t="inlineStr">
        <is>
          <t>Angel-Backed</t>
        </is>
      </c>
      <c r="I509" s="17" t="inlineStr">
        <is>
          <t/>
        </is>
      </c>
      <c r="J509" s="18" t="inlineStr">
        <is>
          <t>www.undisputedboxinggym.com</t>
        </is>
      </c>
      <c r="K509" s="19" t="inlineStr">
        <is>
          <t>info@undisputedboxinggym.com</t>
        </is>
      </c>
      <c r="L509" s="20" t="inlineStr">
        <is>
          <t>+1 (650) 631-3781</t>
        </is>
      </c>
      <c r="M509" s="21" t="inlineStr">
        <is>
          <t>Brian Schwartz</t>
        </is>
      </c>
      <c r="N509" s="22" t="inlineStr">
        <is>
          <t>Founder, Owner, Board Member, President &amp; Chief Executive Officer</t>
        </is>
      </c>
      <c r="O509" s="23" t="inlineStr">
        <is>
          <t>brian@undisputedboxinggym.com</t>
        </is>
      </c>
      <c r="P509" s="24" t="inlineStr">
        <is>
          <t>+1 (650) 631-3781</t>
        </is>
      </c>
      <c r="Q509" s="25" t="n">
        <v>2006.0</v>
      </c>
      <c r="R509" s="113">
        <f>HYPERLINK("https://my.pitchbook.com?c=181042-12", "View company online")</f>
      </c>
    </row>
    <row r="510">
      <c r="A510" s="27" t="inlineStr">
        <is>
          <t>178572-97</t>
        </is>
      </c>
      <c r="B510" s="28" t="inlineStr">
        <is>
          <t>Understand.ai</t>
        </is>
      </c>
      <c r="C510" s="29" t="inlineStr">
        <is>
          <t>76131</t>
        </is>
      </c>
      <c r="D510" s="30" t="inlineStr">
        <is>
          <t>Provider of high quality data annotation services designed for for autonomous driving, satellite imagery and medicine. The company provides high quality image annotation that includes semantic segmentation, bounding box annotation and other types of image annotations, enabling users to avail annotated data for starting working on actual projects.</t>
        </is>
      </c>
      <c r="E510" s="31" t="inlineStr">
        <is>
          <t>Other IT Services</t>
        </is>
      </c>
      <c r="F510" s="32" t="inlineStr">
        <is>
          <t>Karlsruhe, Germany</t>
        </is>
      </c>
      <c r="G510" s="33" t="inlineStr">
        <is>
          <t>Privately Held (backing)</t>
        </is>
      </c>
      <c r="H510" s="34" t="inlineStr">
        <is>
          <t>Accelerator/Incubator Backed</t>
        </is>
      </c>
      <c r="I510" s="35" t="inlineStr">
        <is>
          <t>German Accelerator</t>
        </is>
      </c>
      <c r="J510" s="36" t="inlineStr">
        <is>
          <t>www.understand.ai</t>
        </is>
      </c>
      <c r="K510" s="37" t="inlineStr">
        <is>
          <t>info@understand.ai</t>
        </is>
      </c>
      <c r="L510" s="38" t="inlineStr">
        <is>
          <t>+49 (0)15 2028 3734 4</t>
        </is>
      </c>
      <c r="M510" s="39" t="inlineStr">
        <is>
          <t>Philip Kessler</t>
        </is>
      </c>
      <c r="N510" s="40" t="inlineStr">
        <is>
          <t>Co-Founder &amp; Chief Technology Officer</t>
        </is>
      </c>
      <c r="O510" s="41" t="inlineStr">
        <is>
          <t>philip@understand.ai</t>
        </is>
      </c>
      <c r="P510" s="42" t="inlineStr">
        <is>
          <t>+49 (0)15 2028 3734 4</t>
        </is>
      </c>
      <c r="Q510" s="43" t="n">
        <v>2016.0</v>
      </c>
      <c r="R510" s="114">
        <f>HYPERLINK("https://my.pitchbook.com?c=178572-97", "View company online")</f>
      </c>
    </row>
    <row r="511">
      <c r="A511" s="9" t="inlineStr">
        <is>
          <t>104746-78</t>
        </is>
      </c>
      <c r="B511" s="10" t="inlineStr">
        <is>
          <t>Undercurrent Educational Information Systems</t>
        </is>
      </c>
      <c r="C511" s="11" t="inlineStr">
        <is>
          <t/>
        </is>
      </c>
      <c r="D511" s="12" t="inlineStr">
        <is>
          <t>Provider of educational resources to aid instructional planning. The company offers educational resource tools to schools and districts in meeting their academic and programmatic goals.</t>
        </is>
      </c>
      <c r="E511" s="13" t="inlineStr">
        <is>
          <t>Educational and Training Services (B2C)</t>
        </is>
      </c>
      <c r="F511" s="14" t="inlineStr">
        <is>
          <t>Long Beach, CA</t>
        </is>
      </c>
      <c r="G511" s="15" t="inlineStr">
        <is>
          <t>Privately Held (backing)</t>
        </is>
      </c>
      <c r="H511" s="16" t="inlineStr">
        <is>
          <t>Angel-Backed</t>
        </is>
      </c>
      <c r="I511" s="17" t="inlineStr">
        <is>
          <t/>
        </is>
      </c>
      <c r="J511" s="18" t="inlineStr">
        <is>
          <t>www.ueiscorp.com</t>
        </is>
      </c>
      <c r="K511" s="19" t="inlineStr">
        <is>
          <t>support@ueisworkshop.com</t>
        </is>
      </c>
      <c r="L511" s="20" t="inlineStr">
        <is>
          <t>+1 (800) 430-1183</t>
        </is>
      </c>
      <c r="M511" s="21" t="inlineStr">
        <is>
          <t>Sylvester Harris</t>
        </is>
      </c>
      <c r="N511" s="22" t="inlineStr">
        <is>
          <t>Founder, President &amp; Chief Executive Officer</t>
        </is>
      </c>
      <c r="O511" s="23" t="inlineStr">
        <is>
          <t>sharris@ueiscorp.com</t>
        </is>
      </c>
      <c r="P511" s="24" t="inlineStr">
        <is>
          <t>+1 (800) 430-1183</t>
        </is>
      </c>
      <c r="Q511" s="25" t="n">
        <v>2010.0</v>
      </c>
      <c r="R511" s="113">
        <f>HYPERLINK("https://my.pitchbook.com?c=104746-78", "View company online")</f>
      </c>
    </row>
    <row r="512">
      <c r="A512" s="27" t="inlineStr">
        <is>
          <t>103263-31</t>
        </is>
      </c>
      <c r="B512" s="28" t="inlineStr">
        <is>
          <t>Under 100</t>
        </is>
      </c>
      <c r="C512" s="29" t="inlineStr">
        <is>
          <t>94105</t>
        </is>
      </c>
      <c r="D512" s="30" t="inlineStr">
        <is>
          <t>Provider of a community-driven social shopping marketplace. The company provides a platform to purchase and share products that are all under $100 in price.</t>
        </is>
      </c>
      <c r="E512" s="31" t="inlineStr">
        <is>
          <t>Internet Retail</t>
        </is>
      </c>
      <c r="F512" s="32" t="inlineStr">
        <is>
          <t>San Francisco, CA</t>
        </is>
      </c>
      <c r="G512" s="33" t="inlineStr">
        <is>
          <t>Privately Held (backing)</t>
        </is>
      </c>
      <c r="H512" s="34" t="inlineStr">
        <is>
          <t>Angel-Backed</t>
        </is>
      </c>
      <c r="I512" s="35" t="inlineStr">
        <is>
          <t/>
        </is>
      </c>
      <c r="J512" s="36" t="inlineStr">
        <is>
          <t>www.theunder100.com</t>
        </is>
      </c>
      <c r="K512" s="37" t="inlineStr">
        <is>
          <t>support@theunder100.com</t>
        </is>
      </c>
      <c r="L512" s="38" t="inlineStr">
        <is>
          <t/>
        </is>
      </c>
      <c r="M512" s="39" t="inlineStr">
        <is>
          <t>Cole Glass</t>
        </is>
      </c>
      <c r="N512" s="40" t="inlineStr">
        <is>
          <t>Co-Founder &amp; Chief Executive Officer</t>
        </is>
      </c>
      <c r="O512" s="41" t="inlineStr">
        <is>
          <t>cole@theunder100.com</t>
        </is>
      </c>
      <c r="P512" s="42" t="inlineStr">
        <is>
          <t/>
        </is>
      </c>
      <c r="Q512" s="43" t="n">
        <v>2014.0</v>
      </c>
      <c r="R512" s="114">
        <f>HYPERLINK("https://my.pitchbook.com?c=103263-31", "View company online")</f>
      </c>
    </row>
    <row r="513">
      <c r="A513" s="9" t="inlineStr">
        <is>
          <t>173656-54</t>
        </is>
      </c>
      <c r="B513" s="10" t="inlineStr">
        <is>
          <t>Unboundly</t>
        </is>
      </c>
      <c r="C513" s="85">
        <f>HYPERLINK("https://my.pitchbook.com?rrp=173656-54&amp;type=c", "This Company's information is not available to download. Need this Company? Request availability")</f>
      </c>
      <c r="D513" s="12" t="inlineStr">
        <is>
          <t/>
        </is>
      </c>
      <c r="E513" s="13" t="inlineStr">
        <is>
          <t/>
        </is>
      </c>
      <c r="F513" s="14" t="inlineStr">
        <is>
          <t/>
        </is>
      </c>
      <c r="G513" s="15" t="inlineStr">
        <is>
          <t/>
        </is>
      </c>
      <c r="H513" s="16" t="inlineStr">
        <is>
          <t/>
        </is>
      </c>
      <c r="I513" s="17" t="inlineStr">
        <is>
          <t/>
        </is>
      </c>
      <c r="J513" s="18" t="inlineStr">
        <is>
          <t/>
        </is>
      </c>
      <c r="K513" s="19" t="inlineStr">
        <is>
          <t/>
        </is>
      </c>
      <c r="L513" s="20" t="inlineStr">
        <is>
          <t/>
        </is>
      </c>
      <c r="M513" s="21" t="inlineStr">
        <is>
          <t/>
        </is>
      </c>
      <c r="N513" s="22" t="inlineStr">
        <is>
          <t/>
        </is>
      </c>
      <c r="O513" s="23" t="inlineStr">
        <is>
          <t/>
        </is>
      </c>
      <c r="P513" s="24" t="inlineStr">
        <is>
          <t/>
        </is>
      </c>
      <c r="Q513" s="25" t="inlineStr">
        <is>
          <t/>
        </is>
      </c>
      <c r="R513" s="26" t="inlineStr">
        <is>
          <t/>
        </is>
      </c>
    </row>
    <row r="514">
      <c r="A514" s="27" t="inlineStr">
        <is>
          <t>118850-59</t>
        </is>
      </c>
      <c r="B514" s="28" t="inlineStr">
        <is>
          <t>UnBOOKed Appointments</t>
        </is>
      </c>
      <c r="C514" s="29" t="inlineStr">
        <is>
          <t>92660</t>
        </is>
      </c>
      <c r="D514" s="30" t="inlineStr">
        <is>
          <t>Provider of a platform to book appointments. The company's platform allows the users to book spa treatments and other beauty services.</t>
        </is>
      </c>
      <c r="E514" s="31" t="inlineStr">
        <is>
          <t>Other Services (B2C Non-Financial)</t>
        </is>
      </c>
      <c r="F514" s="32" t="inlineStr">
        <is>
          <t>Newport Beach, CA</t>
        </is>
      </c>
      <c r="G514" s="33" t="inlineStr">
        <is>
          <t>Privately Held (backing)</t>
        </is>
      </c>
      <c r="H514" s="34" t="inlineStr">
        <is>
          <t>Angel-Backed</t>
        </is>
      </c>
      <c r="I514" s="35" t="inlineStr">
        <is>
          <t>Tech Coast Angels</t>
        </is>
      </c>
      <c r="J514" s="36" t="inlineStr">
        <is>
          <t>www.unbookedappointments.com</t>
        </is>
      </c>
      <c r="K514" s="37" t="inlineStr">
        <is>
          <t>support@unbookedappointments.com</t>
        </is>
      </c>
      <c r="L514" s="38" t="inlineStr">
        <is>
          <t>+1 (800) 509-6390</t>
        </is>
      </c>
      <c r="M514" s="39" t="inlineStr">
        <is>
          <t>Steven Pfrenzinger</t>
        </is>
      </c>
      <c r="N514" s="40" t="inlineStr">
        <is>
          <t>Co-Founder, Board Member &amp; Chief Executive Officer</t>
        </is>
      </c>
      <c r="O514" s="41" t="inlineStr">
        <is>
          <t>spfrenzinger@unbookedappointments.com</t>
        </is>
      </c>
      <c r="P514" s="42" t="inlineStr">
        <is>
          <t>+1 (800) 509-6390</t>
        </is>
      </c>
      <c r="Q514" s="43" t="n">
        <v>2013.0</v>
      </c>
      <c r="R514" s="114">
        <f>HYPERLINK("https://my.pitchbook.com?c=118850-59", "View company online")</f>
      </c>
    </row>
    <row r="515">
      <c r="A515" s="9" t="inlineStr">
        <is>
          <t>91265-68</t>
        </is>
      </c>
      <c r="B515" s="10" t="inlineStr">
        <is>
          <t>uMix</t>
        </is>
      </c>
      <c r="C515" s="11" t="inlineStr">
        <is>
          <t>94133</t>
        </is>
      </c>
      <c r="D515" s="12" t="inlineStr">
        <is>
          <t>Provider of hands free social platform reader. The company creates personalized TV experience from static social networks feeds by transforming them into a video stream.</t>
        </is>
      </c>
      <c r="E515" s="13" t="inlineStr">
        <is>
          <t>Social/Platform Software</t>
        </is>
      </c>
      <c r="F515" s="14" t="inlineStr">
        <is>
          <t>San Francisco, CA</t>
        </is>
      </c>
      <c r="G515" s="15" t="inlineStr">
        <is>
          <t>Privately Held (backing)</t>
        </is>
      </c>
      <c r="H515" s="16" t="inlineStr">
        <is>
          <t>Accelerator/Incubator Backed</t>
        </is>
      </c>
      <c r="I515" s="17" t="inlineStr">
        <is>
          <t>Happy Farm, Individual Investor</t>
        </is>
      </c>
      <c r="J515" s="18" t="inlineStr">
        <is>
          <t>www.umix.tv</t>
        </is>
      </c>
      <c r="K515" s="19" t="inlineStr">
        <is>
          <t>hi@umix.tv</t>
        </is>
      </c>
      <c r="L515" s="20" t="inlineStr">
        <is>
          <t>+7 (0)960 655 10 14</t>
        </is>
      </c>
      <c r="M515" s="21" t="inlineStr">
        <is>
          <t>Alexandra Grigorieva</t>
        </is>
      </c>
      <c r="N515" s="22" t="inlineStr">
        <is>
          <t>Co-Founder &amp; Chief Executive Officer</t>
        </is>
      </c>
      <c r="O515" s="23" t="inlineStr">
        <is>
          <t/>
        </is>
      </c>
      <c r="P515" s="24" t="inlineStr">
        <is>
          <t>+7 (0)960 655 10 14</t>
        </is>
      </c>
      <c r="Q515" s="25" t="n">
        <v>2012.0</v>
      </c>
      <c r="R515" s="113">
        <f>HYPERLINK("https://my.pitchbook.com?c=91265-68", "View company online")</f>
      </c>
    </row>
    <row r="516">
      <c r="A516" s="27" t="inlineStr">
        <is>
          <t>168483-34</t>
        </is>
      </c>
      <c r="B516" s="28" t="inlineStr">
        <is>
          <t>Umbo</t>
        </is>
      </c>
      <c r="C516" s="29" t="inlineStr">
        <is>
          <t>94104</t>
        </is>
      </c>
      <c r="D516" s="30" t="inlineStr">
        <is>
          <t>Developer of an open-source wireless projection software. The company's software displays ones agenda, weather, emails, news and other similar information on to the ceiling once one wakes up from their sleep.</t>
        </is>
      </c>
      <c r="E516" s="31" t="inlineStr">
        <is>
          <t>Electronics (B2C)</t>
        </is>
      </c>
      <c r="F516" s="32" t="inlineStr">
        <is>
          <t>San Francisco, CA</t>
        </is>
      </c>
      <c r="G516" s="33" t="inlineStr">
        <is>
          <t>Privately Held (backing)</t>
        </is>
      </c>
      <c r="H516" s="34" t="inlineStr">
        <is>
          <t>Accelerator/Incubator Backed</t>
        </is>
      </c>
      <c r="I516" s="35" t="inlineStr">
        <is>
          <t>Start-Up Chile</t>
        </is>
      </c>
      <c r="J516" s="36" t="inlineStr">
        <is>
          <t>www.umbo.us</t>
        </is>
      </c>
      <c r="K516" s="37" t="inlineStr">
        <is>
          <t>hola@umbo.us</t>
        </is>
      </c>
      <c r="L516" s="38" t="inlineStr">
        <is>
          <t>+1 (415) 688-9386</t>
        </is>
      </c>
      <c r="M516" s="39" t="inlineStr">
        <is>
          <t>Francisco Saez</t>
        </is>
      </c>
      <c r="N516" s="40" t="inlineStr">
        <is>
          <t>Co-Founder, Chief Executive Officer &amp; Board Member</t>
        </is>
      </c>
      <c r="O516" s="41" t="inlineStr">
        <is>
          <t>francisco@umbo.us</t>
        </is>
      </c>
      <c r="P516" s="42" t="inlineStr">
        <is>
          <t>+1 (415) 688-9386</t>
        </is>
      </c>
      <c r="Q516" s="43" t="n">
        <v>2016.0</v>
      </c>
      <c r="R516" s="114">
        <f>HYPERLINK("https://my.pitchbook.com?c=168483-34", "View company online")</f>
      </c>
    </row>
    <row r="517">
      <c r="A517" s="9" t="inlineStr">
        <is>
          <t>113788-72</t>
        </is>
      </c>
      <c r="B517" s="10" t="inlineStr">
        <is>
          <t>Umbala</t>
        </is>
      </c>
      <c r="C517" s="11" t="inlineStr">
        <is>
          <t>94041</t>
        </is>
      </c>
      <c r="D517" s="12" t="inlineStr">
        <is>
          <t>Developer of a video messaging application. The company develops an application that enables users to watch events and news posted by other local users around the world.</t>
        </is>
      </c>
      <c r="E517" s="13" t="inlineStr">
        <is>
          <t>Application Software</t>
        </is>
      </c>
      <c r="F517" s="14" t="inlineStr">
        <is>
          <t>Mountain View, CA</t>
        </is>
      </c>
      <c r="G517" s="15" t="inlineStr">
        <is>
          <t>Privately Held (backing)</t>
        </is>
      </c>
      <c r="H517" s="16" t="inlineStr">
        <is>
          <t>Accelerator/Incubator Backed</t>
        </is>
      </c>
      <c r="I517" s="17" t="inlineStr">
        <is>
          <t>500 Startups, Forbes Vietnam, Google's Cloud Server, SOSV</t>
        </is>
      </c>
      <c r="J517" s="18" t="inlineStr">
        <is>
          <t>www.umbala.tv</t>
        </is>
      </c>
      <c r="K517" s="19" t="inlineStr">
        <is>
          <t>labs@umbala.co</t>
        </is>
      </c>
      <c r="L517" s="20" t="inlineStr">
        <is>
          <t/>
        </is>
      </c>
      <c r="M517" s="21" t="inlineStr">
        <is>
          <t>Thao Nguyen</t>
        </is>
      </c>
      <c r="N517" s="22" t="inlineStr">
        <is>
          <t>Co-Founder and Chief Executive Officer</t>
        </is>
      </c>
      <c r="O517" s="23" t="inlineStr">
        <is>
          <t>thao@umbala.tv</t>
        </is>
      </c>
      <c r="P517" s="24" t="inlineStr">
        <is>
          <t/>
        </is>
      </c>
      <c r="Q517" s="25" t="n">
        <v>2014.0</v>
      </c>
      <c r="R517" s="113">
        <f>HYPERLINK("https://my.pitchbook.com?c=113788-72", "View company online")</f>
      </c>
    </row>
    <row r="518">
      <c r="A518" s="27" t="inlineStr">
        <is>
          <t>117899-47</t>
        </is>
      </c>
      <c r="B518" s="28" t="inlineStr">
        <is>
          <t>Ulyngo</t>
        </is>
      </c>
      <c r="C518" s="86">
        <f>HYPERLINK("https://my.pitchbook.com?rrp=117899-47&amp;type=c", "This Company's information is not available to download. Need this Company? Request availability")</f>
      </c>
      <c r="D518" s="30" t="inlineStr">
        <is>
          <t/>
        </is>
      </c>
      <c r="E518" s="31" t="inlineStr">
        <is>
          <t/>
        </is>
      </c>
      <c r="F518" s="32" t="inlineStr">
        <is>
          <t/>
        </is>
      </c>
      <c r="G518" s="33" t="inlineStr">
        <is>
          <t/>
        </is>
      </c>
      <c r="H518" s="34" t="inlineStr">
        <is>
          <t/>
        </is>
      </c>
      <c r="I518" s="35" t="inlineStr">
        <is>
          <t/>
        </is>
      </c>
      <c r="J518" s="36" t="inlineStr">
        <is>
          <t/>
        </is>
      </c>
      <c r="K518" s="37" t="inlineStr">
        <is>
          <t/>
        </is>
      </c>
      <c r="L518" s="38" t="inlineStr">
        <is>
          <t/>
        </is>
      </c>
      <c r="M518" s="39" t="inlineStr">
        <is>
          <t/>
        </is>
      </c>
      <c r="N518" s="40" t="inlineStr">
        <is>
          <t/>
        </is>
      </c>
      <c r="O518" s="41" t="inlineStr">
        <is>
          <t/>
        </is>
      </c>
      <c r="P518" s="42" t="inlineStr">
        <is>
          <t/>
        </is>
      </c>
      <c r="Q518" s="43" t="inlineStr">
        <is>
          <t/>
        </is>
      </c>
      <c r="R518" s="44" t="inlineStr">
        <is>
          <t/>
        </is>
      </c>
    </row>
    <row r="519">
      <c r="A519" s="9" t="inlineStr">
        <is>
          <t>160130-44</t>
        </is>
      </c>
      <c r="B519" s="10" t="inlineStr">
        <is>
          <t>Ultra Sport Products</t>
        </is>
      </c>
      <c r="C519" s="11" t="inlineStr">
        <is>
          <t>92346</t>
        </is>
      </c>
      <c r="D519" s="12" t="inlineStr">
        <is>
          <t>Manufacturer of shirt swingers, scarves and hangers. The company manufactures and distributes shirt scarves, swingers and hangers focused on the European football market.</t>
        </is>
      </c>
      <c r="E519" s="13" t="inlineStr">
        <is>
          <t>Distributors/Wholesale (B2C)</t>
        </is>
      </c>
      <c r="F519" s="14" t="inlineStr">
        <is>
          <t>Highland, CA</t>
        </is>
      </c>
      <c r="G519" s="15" t="inlineStr">
        <is>
          <t>Privately Held (backing)</t>
        </is>
      </c>
      <c r="H519" s="16" t="inlineStr">
        <is>
          <t>Angel-Backed</t>
        </is>
      </c>
      <c r="I519" s="17" t="inlineStr">
        <is>
          <t/>
        </is>
      </c>
      <c r="J519" s="18" t="inlineStr">
        <is>
          <t>www.ultrasportproducts.com</t>
        </is>
      </c>
      <c r="K519" s="19" t="inlineStr">
        <is>
          <t/>
        </is>
      </c>
      <c r="L519" s="20" t="inlineStr">
        <is>
          <t>+1 (951) 314-9100</t>
        </is>
      </c>
      <c r="M519" s="21" t="inlineStr">
        <is>
          <t>Ralph Puett</t>
        </is>
      </c>
      <c r="N519" s="22" t="inlineStr">
        <is>
          <t>Founder, President &amp; Chief Executive Officer</t>
        </is>
      </c>
      <c r="O519" s="23" t="inlineStr">
        <is>
          <t>ralph.puett@ultrasportproducts.com</t>
        </is>
      </c>
      <c r="P519" s="24" t="inlineStr">
        <is>
          <t>+1 (951) 314-9100</t>
        </is>
      </c>
      <c r="Q519" s="25" t="n">
        <v>2011.0</v>
      </c>
      <c r="R519" s="113">
        <f>HYPERLINK("https://my.pitchbook.com?c=160130-44", "View company online")</f>
      </c>
    </row>
    <row r="520">
      <c r="A520" s="27" t="inlineStr">
        <is>
          <t>162106-48</t>
        </is>
      </c>
      <c r="B520" s="28" t="inlineStr">
        <is>
          <t>Ultimate HD Golf</t>
        </is>
      </c>
      <c r="C520" s="29" t="inlineStr">
        <is>
          <t>92091</t>
        </is>
      </c>
      <c r="D520" s="30" t="inlineStr">
        <is>
          <t>Provider of indoor golf simulator facility to golfers. The company designs and creates indoor golf courses located within health and fitness clubs around the US and Canada enabling members to practice and play golf games.</t>
        </is>
      </c>
      <c r="E520" s="31" t="inlineStr">
        <is>
          <t>Recreational Goods</t>
        </is>
      </c>
      <c r="F520" s="32" t="inlineStr">
        <is>
          <t>Rancho Santa Fe, CA</t>
        </is>
      </c>
      <c r="G520" s="33" t="inlineStr">
        <is>
          <t>Privately Held (backing)</t>
        </is>
      </c>
      <c r="H520" s="34" t="inlineStr">
        <is>
          <t>Angel-Backed</t>
        </is>
      </c>
      <c r="I520" s="35" t="inlineStr">
        <is>
          <t/>
        </is>
      </c>
      <c r="J520" s="36" t="inlineStr">
        <is>
          <t>www.ultimatehdgolf.com</t>
        </is>
      </c>
      <c r="K520" s="37" t="inlineStr">
        <is>
          <t>info@ultimatehdgolf.com</t>
        </is>
      </c>
      <c r="L520" s="38" t="inlineStr">
        <is>
          <t>+1 (949) 446-8862</t>
        </is>
      </c>
      <c r="M520" s="39" t="inlineStr">
        <is>
          <t>Herbert Meistrich</t>
        </is>
      </c>
      <c r="N520" s="40" t="inlineStr">
        <is>
          <t>Founder, President &amp; Chief Executive Officer</t>
        </is>
      </c>
      <c r="O520" s="41" t="inlineStr">
        <is>
          <t>herb@ultimatehdgolf.com</t>
        </is>
      </c>
      <c r="P520" s="42" t="inlineStr">
        <is>
          <t>+1 (949) 446-8862</t>
        </is>
      </c>
      <c r="Q520" s="43" t="n">
        <v>2015.0</v>
      </c>
      <c r="R520" s="114">
        <f>HYPERLINK("https://my.pitchbook.com?c=162106-48", "View company online")</f>
      </c>
    </row>
    <row r="521">
      <c r="A521" s="9" t="inlineStr">
        <is>
          <t>122245-57</t>
        </is>
      </c>
      <c r="B521" s="10" t="inlineStr">
        <is>
          <t>Ujoin</t>
        </is>
      </c>
      <c r="C521" s="11" t="inlineStr">
        <is>
          <t/>
        </is>
      </c>
      <c r="D521" s="12" t="inlineStr">
        <is>
          <t>Provider of an advocacy platform for nonprofits and small businesses. The comapny provides a platform to build online community, monitor bills and their progress and campaign for change.</t>
        </is>
      </c>
      <c r="E521" s="13" t="inlineStr">
        <is>
          <t>Other Commercial Services</t>
        </is>
      </c>
      <c r="F521" s="14" t="inlineStr">
        <is>
          <t>San Francisco, CA</t>
        </is>
      </c>
      <c r="G521" s="15" t="inlineStr">
        <is>
          <t>Privately Held (backing)</t>
        </is>
      </c>
      <c r="H521" s="16" t="inlineStr">
        <is>
          <t>Accelerator/Incubator Backed</t>
        </is>
      </c>
      <c r="I521" s="17" t="inlineStr">
        <is>
          <t>Blue Startups, Hawaii Community Foundation</t>
        </is>
      </c>
      <c r="J521" s="18" t="inlineStr">
        <is>
          <t>www.ujoin.org</t>
        </is>
      </c>
      <c r="K521" s="19" t="inlineStr">
        <is>
          <t>support@ujoin.org</t>
        </is>
      </c>
      <c r="L521" s="20" t="inlineStr">
        <is>
          <t>+1 (808) 457-8622</t>
        </is>
      </c>
      <c r="M521" s="21" t="inlineStr">
        <is>
          <t>Kory Payne</t>
        </is>
      </c>
      <c r="N521" s="22" t="inlineStr">
        <is>
          <t>Co-Founder</t>
        </is>
      </c>
      <c r="O521" s="23" t="inlineStr">
        <is>
          <t>kory@ujoin.org</t>
        </is>
      </c>
      <c r="P521" s="24" t="inlineStr">
        <is>
          <t>+1 (808) 457-8622</t>
        </is>
      </c>
      <c r="Q521" s="25" t="n">
        <v>2014.0</v>
      </c>
      <c r="R521" s="113">
        <f>HYPERLINK("https://my.pitchbook.com?c=122245-57", "View company online")</f>
      </c>
    </row>
    <row r="522">
      <c r="A522" s="27" t="inlineStr">
        <is>
          <t>119878-57</t>
        </is>
      </c>
      <c r="B522" s="28" t="inlineStr">
        <is>
          <t>Uila</t>
        </is>
      </c>
      <c r="C522" s="29" t="inlineStr">
        <is>
          <t>95054</t>
        </is>
      </c>
      <c r="D522" s="30" t="inlineStr">
        <is>
          <t>Provider of a performance management and measurement application. The company offers a performance management application allowing enterprises to measure their technology systems.</t>
        </is>
      </c>
      <c r="E522" s="31" t="inlineStr">
        <is>
          <t>Application Software</t>
        </is>
      </c>
      <c r="F522" s="32" t="inlineStr">
        <is>
          <t>Santa Clara, CA</t>
        </is>
      </c>
      <c r="G522" s="33" t="inlineStr">
        <is>
          <t>Privately Held (backing)</t>
        </is>
      </c>
      <c r="H522" s="34" t="inlineStr">
        <is>
          <t>Angel-Backed</t>
        </is>
      </c>
      <c r="I522" s="35" t="inlineStr">
        <is>
          <t>Andy Poppink, Stan Chen, Zachary Nelson</t>
        </is>
      </c>
      <c r="J522" s="36" t="inlineStr">
        <is>
          <t>www.uila.com</t>
        </is>
      </c>
      <c r="K522" s="37" t="inlineStr">
        <is>
          <t>info@uila.com</t>
        </is>
      </c>
      <c r="L522" s="38" t="inlineStr">
        <is>
          <t>+1 (408) 819-0777</t>
        </is>
      </c>
      <c r="M522" s="39" t="inlineStr">
        <is>
          <t>Chia-Chee Kuan</t>
        </is>
      </c>
      <c r="N522" s="40" t="inlineStr">
        <is>
          <t>Co-Founder, Chief Executive Officer &amp; President</t>
        </is>
      </c>
      <c r="O522" s="41" t="inlineStr">
        <is>
          <t>chia-chee.kuan@uila.com</t>
        </is>
      </c>
      <c r="P522" s="42" t="inlineStr">
        <is>
          <t>+1 (408) 819-0777</t>
        </is>
      </c>
      <c r="Q522" s="43" t="n">
        <v>2014.0</v>
      </c>
      <c r="R522" s="114">
        <f>HYPERLINK("https://my.pitchbook.com?c=119878-57", "View company online")</f>
      </c>
    </row>
    <row r="523">
      <c r="A523" s="9" t="inlineStr">
        <is>
          <t>98514-01</t>
        </is>
      </c>
      <c r="B523" s="10" t="inlineStr">
        <is>
          <t>Uguru.me</t>
        </is>
      </c>
      <c r="C523" s="11" t="inlineStr">
        <is>
          <t/>
        </is>
      </c>
      <c r="D523" s="12" t="inlineStr">
        <is>
          <t>Provider of peer-to-peer tutoring platform. The company accelerates collaborative learning on college campuses by offering Uber, company's product, for peer tutoring. It connects students who need help with peer tutors (Gurus) that have taken the same exact courses.</t>
        </is>
      </c>
      <c r="E523" s="13" t="inlineStr">
        <is>
          <t>Social/Platform Software</t>
        </is>
      </c>
      <c r="F523" s="14" t="inlineStr">
        <is>
          <t>Berkeley, CA</t>
        </is>
      </c>
      <c r="G523" s="15" t="inlineStr">
        <is>
          <t>Privately Held (backing)</t>
        </is>
      </c>
      <c r="H523" s="16" t="inlineStr">
        <is>
          <t>Accelerator/Incubator Backed</t>
        </is>
      </c>
      <c r="I523" s="17" t="inlineStr">
        <is>
          <t>500 Startups, Christine Tsai, Parker Thompson</t>
        </is>
      </c>
      <c r="J523" s="18" t="inlineStr">
        <is>
          <t>www.uguru.me</t>
        </is>
      </c>
      <c r="K523" s="19" t="inlineStr">
        <is>
          <t>uguru.me@gmail.com</t>
        </is>
      </c>
      <c r="L523" s="20" t="inlineStr">
        <is>
          <t/>
        </is>
      </c>
      <c r="M523" s="21" t="inlineStr">
        <is>
          <t>Samir Makhani</t>
        </is>
      </c>
      <c r="N523" s="22" t="inlineStr">
        <is>
          <t>Co-Founder</t>
        </is>
      </c>
      <c r="O523" s="23" t="inlineStr">
        <is>
          <t/>
        </is>
      </c>
      <c r="P523" s="24" t="inlineStr">
        <is>
          <t/>
        </is>
      </c>
      <c r="Q523" s="25" t="n">
        <v>2013.0</v>
      </c>
      <c r="R523" s="113">
        <f>HYPERLINK("https://my.pitchbook.com?c=98514-01", "View company online")</f>
      </c>
    </row>
    <row r="524">
      <c r="A524" s="27" t="inlineStr">
        <is>
          <t>176918-77</t>
        </is>
      </c>
      <c r="B524" s="28" t="inlineStr">
        <is>
          <t>Ugly Duckling Los Angeles</t>
        </is>
      </c>
      <c r="C524" s="86">
        <f>HYPERLINK("https://my.pitchbook.com?rrp=176918-77&amp;type=c", "This Company's information is not available to download. Need this Company? Request availability")</f>
      </c>
      <c r="D524" s="30" t="inlineStr">
        <is>
          <t/>
        </is>
      </c>
      <c r="E524" s="31" t="inlineStr">
        <is>
          <t/>
        </is>
      </c>
      <c r="F524" s="32" t="inlineStr">
        <is>
          <t/>
        </is>
      </c>
      <c r="G524" s="33" t="inlineStr">
        <is>
          <t/>
        </is>
      </c>
      <c r="H524" s="34" t="inlineStr">
        <is>
          <t/>
        </is>
      </c>
      <c r="I524" s="35" t="inlineStr">
        <is>
          <t/>
        </is>
      </c>
      <c r="J524" s="36" t="inlineStr">
        <is>
          <t/>
        </is>
      </c>
      <c r="K524" s="37" t="inlineStr">
        <is>
          <t/>
        </is>
      </c>
      <c r="L524" s="38" t="inlineStr">
        <is>
          <t/>
        </is>
      </c>
      <c r="M524" s="39" t="inlineStr">
        <is>
          <t/>
        </is>
      </c>
      <c r="N524" s="40" t="inlineStr">
        <is>
          <t/>
        </is>
      </c>
      <c r="O524" s="41" t="inlineStr">
        <is>
          <t/>
        </is>
      </c>
      <c r="P524" s="42" t="inlineStr">
        <is>
          <t/>
        </is>
      </c>
      <c r="Q524" s="43" t="inlineStr">
        <is>
          <t/>
        </is>
      </c>
      <c r="R524" s="44" t="inlineStr">
        <is>
          <t/>
        </is>
      </c>
    </row>
    <row r="525">
      <c r="A525" s="9" t="inlineStr">
        <is>
          <t>54011-17</t>
        </is>
      </c>
      <c r="B525" s="10" t="inlineStr">
        <is>
          <t>Ugallery</t>
        </is>
      </c>
      <c r="C525" s="11" t="inlineStr">
        <is>
          <t>94110</t>
        </is>
      </c>
      <c r="D525" s="12" t="inlineStr">
        <is>
          <t>Provider of original paintings, photographs, prints, drawings, sculpture and limited edition prints on sustainable archival bamboo paper.</t>
        </is>
      </c>
      <c r="E525" s="13" t="inlineStr">
        <is>
          <t>Specialty Retail</t>
        </is>
      </c>
      <c r="F525" s="14" t="inlineStr">
        <is>
          <t>San Francisco, CA</t>
        </is>
      </c>
      <c r="G525" s="15" t="inlineStr">
        <is>
          <t>Privately Held (backing)</t>
        </is>
      </c>
      <c r="H525" s="16" t="inlineStr">
        <is>
          <t>Angel-Backed</t>
        </is>
      </c>
      <c r="I525" s="17" t="inlineStr">
        <is>
          <t>Desert Angels</t>
        </is>
      </c>
      <c r="J525" s="18" t="inlineStr">
        <is>
          <t>www.ugallery.com</t>
        </is>
      </c>
      <c r="K525" s="19" t="inlineStr">
        <is>
          <t/>
        </is>
      </c>
      <c r="L525" s="20" t="inlineStr">
        <is>
          <t/>
        </is>
      </c>
      <c r="M525" s="21" t="inlineStr">
        <is>
          <t>Stephen Tanebaum</t>
        </is>
      </c>
      <c r="N525" s="22" t="inlineStr">
        <is>
          <t>Founder &amp; Director, Operations</t>
        </is>
      </c>
      <c r="O525" s="23" t="inlineStr">
        <is>
          <t>stephen@ugallery.com</t>
        </is>
      </c>
      <c r="P525" s="24" t="inlineStr">
        <is>
          <t/>
        </is>
      </c>
      <c r="Q525" s="25" t="n">
        <v>2006.0</v>
      </c>
      <c r="R525" s="113">
        <f>HYPERLINK("https://my.pitchbook.com?c=54011-17", "View company online")</f>
      </c>
    </row>
    <row r="526">
      <c r="A526" s="27" t="inlineStr">
        <is>
          <t>101501-38</t>
        </is>
      </c>
      <c r="B526" s="28" t="inlineStr">
        <is>
          <t>UDesign</t>
        </is>
      </c>
      <c r="C526" s="29" t="inlineStr">
        <is>
          <t>95928</t>
        </is>
      </c>
      <c r="D526" s="30" t="inlineStr">
        <is>
          <t>Provider of a business management platform for enterprises. The company offers a business management platform for enterprises involved in furniture retail, manufacturing or trading by handling their freight management, sales support and business analytics.</t>
        </is>
      </c>
      <c r="E526" s="31" t="inlineStr">
        <is>
          <t>Business/Productivity Software</t>
        </is>
      </c>
      <c r="F526" s="32" t="inlineStr">
        <is>
          <t>Chico, CA</t>
        </is>
      </c>
      <c r="G526" s="33" t="inlineStr">
        <is>
          <t>Privately Held (backing)</t>
        </is>
      </c>
      <c r="H526" s="34" t="inlineStr">
        <is>
          <t>Accelerator/Incubator Backed</t>
        </is>
      </c>
      <c r="I526" s="35" t="inlineStr">
        <is>
          <t>Chicostart</t>
        </is>
      </c>
      <c r="J526" s="36" t="inlineStr">
        <is>
          <t>www.furnysh.com</t>
        </is>
      </c>
      <c r="K526" s="37" t="inlineStr">
        <is>
          <t/>
        </is>
      </c>
      <c r="L526" s="38" t="inlineStr">
        <is>
          <t>+1 (415) 735-4152</t>
        </is>
      </c>
      <c r="M526" s="39" t="inlineStr">
        <is>
          <t>Jason Buttorf</t>
        </is>
      </c>
      <c r="N526" s="40" t="inlineStr">
        <is>
          <t>Co-Founder</t>
        </is>
      </c>
      <c r="O526" s="41" t="inlineStr">
        <is>
          <t>jbuttorf@furnysh.com</t>
        </is>
      </c>
      <c r="P526" s="42" t="inlineStr">
        <is>
          <t>+1 (415) 735-4152</t>
        </is>
      </c>
      <c r="Q526" s="43" t="n">
        <v>2014.0</v>
      </c>
      <c r="R526" s="114">
        <f>HYPERLINK("https://my.pitchbook.com?c=101501-38", "View company online")</f>
      </c>
    </row>
    <row r="527">
      <c r="A527" s="9" t="inlineStr">
        <is>
          <t>175911-67</t>
        </is>
      </c>
      <c r="B527" s="10" t="inlineStr">
        <is>
          <t>UCDplus</t>
        </is>
      </c>
      <c r="C527" s="85">
        <f>HYPERLINK("https://my.pitchbook.com?rrp=175911-67&amp;type=c", "This Company's information is not available to download. Need this Company? Request availability")</f>
      </c>
      <c r="D527" s="12" t="inlineStr">
        <is>
          <t/>
        </is>
      </c>
      <c r="E527" s="13" t="inlineStr">
        <is>
          <t/>
        </is>
      </c>
      <c r="F527" s="14" t="inlineStr">
        <is>
          <t/>
        </is>
      </c>
      <c r="G527" s="15" t="inlineStr">
        <is>
          <t/>
        </is>
      </c>
      <c r="H527" s="16" t="inlineStr">
        <is>
          <t/>
        </is>
      </c>
      <c r="I527" s="17" t="inlineStr">
        <is>
          <t/>
        </is>
      </c>
      <c r="J527" s="18" t="inlineStr">
        <is>
          <t/>
        </is>
      </c>
      <c r="K527" s="19" t="inlineStr">
        <is>
          <t/>
        </is>
      </c>
      <c r="L527" s="20" t="inlineStr">
        <is>
          <t/>
        </is>
      </c>
      <c r="M527" s="21" t="inlineStr">
        <is>
          <t/>
        </is>
      </c>
      <c r="N527" s="22" t="inlineStr">
        <is>
          <t/>
        </is>
      </c>
      <c r="O527" s="23" t="inlineStr">
        <is>
          <t/>
        </is>
      </c>
      <c r="P527" s="24" t="inlineStr">
        <is>
          <t/>
        </is>
      </c>
      <c r="Q527" s="25" t="inlineStr">
        <is>
          <t/>
        </is>
      </c>
      <c r="R527" s="26" t="inlineStr">
        <is>
          <t/>
        </is>
      </c>
    </row>
    <row r="528">
      <c r="A528" s="27" t="inlineStr">
        <is>
          <t>126568-00</t>
        </is>
      </c>
      <c r="B528" s="28" t="inlineStr">
        <is>
          <t>Ubiquity University</t>
        </is>
      </c>
      <c r="C528" s="29" t="inlineStr">
        <is>
          <t>94941</t>
        </is>
      </c>
      <c r="D528" s="30" t="inlineStr">
        <is>
          <t>Operator of an educational institution. The company provides online modular and competency based learning courses and programs.</t>
        </is>
      </c>
      <c r="E528" s="31" t="inlineStr">
        <is>
          <t>Information Services (B2C)</t>
        </is>
      </c>
      <c r="F528" s="32" t="inlineStr">
        <is>
          <t>Mill Valley, CA</t>
        </is>
      </c>
      <c r="G528" s="33" t="inlineStr">
        <is>
          <t>Privately Held (backing)</t>
        </is>
      </c>
      <c r="H528" s="34" t="inlineStr">
        <is>
          <t>Angel-Backed</t>
        </is>
      </c>
      <c r="I528" s="35" t="inlineStr">
        <is>
          <t>Dianne Brause, Jan De Dood, Lisette Schuitemaker, Martin Verwoert, Stephen Roulac, Thomas van Praag</t>
        </is>
      </c>
      <c r="J528" s="36" t="inlineStr">
        <is>
          <t>www.ubiquityuniversity.org</t>
        </is>
      </c>
      <c r="K528" s="37" t="inlineStr">
        <is>
          <t/>
        </is>
      </c>
      <c r="L528" s="38" t="inlineStr">
        <is>
          <t>+1 (415) 388-3273</t>
        </is>
      </c>
      <c r="M528" s="39" t="inlineStr">
        <is>
          <t>Jim Garrison</t>
        </is>
      </c>
      <c r="N528" s="40" t="inlineStr">
        <is>
          <t>Co-Founder, Chief Academic Officer, Chief Financial Officer &amp; President</t>
        </is>
      </c>
      <c r="O528" s="41" t="inlineStr">
        <is>
          <t>jim.garrison@ubiquityuniversity.org</t>
        </is>
      </c>
      <c r="P528" s="42" t="inlineStr">
        <is>
          <t>+1 (415) 388-3273</t>
        </is>
      </c>
      <c r="Q528" s="43" t="n">
        <v>2012.0</v>
      </c>
      <c r="R528" s="114">
        <f>HYPERLINK("https://my.pitchbook.com?c=126568-00", "View company online")</f>
      </c>
    </row>
    <row r="529">
      <c r="A529" s="9" t="inlineStr">
        <is>
          <t>118658-17</t>
        </is>
      </c>
      <c r="B529" s="10" t="inlineStr">
        <is>
          <t>Ubiquitome</t>
        </is>
      </c>
      <c r="C529" s="11" t="inlineStr">
        <is>
          <t/>
        </is>
      </c>
      <c r="D529" s="12" t="inlineStr">
        <is>
          <t>Developer of an online platform for genetic information. The company provides cloud connected genetic analysis devices to access genomic information.</t>
        </is>
      </c>
      <c r="E529" s="13" t="inlineStr">
        <is>
          <t>Social/Platform Software</t>
        </is>
      </c>
      <c r="F529" s="14" t="inlineStr">
        <is>
          <t>New Zealand</t>
        </is>
      </c>
      <c r="G529" s="15" t="inlineStr">
        <is>
          <t>Privately Held (backing)</t>
        </is>
      </c>
      <c r="H529" s="16" t="inlineStr">
        <is>
          <t>Angel-Backed</t>
        </is>
      </c>
      <c r="I529" s="17" t="inlineStr">
        <is>
          <t>ICE Angels</t>
        </is>
      </c>
      <c r="J529" s="18" t="inlineStr">
        <is>
          <t>www.ubiquitomebio.com</t>
        </is>
      </c>
      <c r="K529" s="19" t="inlineStr">
        <is>
          <t/>
        </is>
      </c>
      <c r="L529" s="20" t="inlineStr">
        <is>
          <t/>
        </is>
      </c>
      <c r="M529" s="21" t="inlineStr">
        <is>
          <t>Paul Pickering</t>
        </is>
      </c>
      <c r="N529" s="22" t="inlineStr">
        <is>
          <t>President &amp; Chief Executive Officer</t>
        </is>
      </c>
      <c r="O529" s="23" t="inlineStr">
        <is>
          <t>paul.pickering@acdbio.com</t>
        </is>
      </c>
      <c r="P529" s="24" t="inlineStr">
        <is>
          <t/>
        </is>
      </c>
      <c r="Q529" s="25" t="n">
        <v>2014.0</v>
      </c>
      <c r="R529" s="113">
        <f>HYPERLINK("https://my.pitchbook.com?c=118658-17", "View company online")</f>
      </c>
    </row>
    <row r="530">
      <c r="A530" s="27" t="inlineStr">
        <is>
          <t>125629-57</t>
        </is>
      </c>
      <c r="B530" s="28" t="inlineStr">
        <is>
          <t>Ubicall</t>
        </is>
      </c>
      <c r="C530" s="29" t="inlineStr">
        <is>
          <t>94025</t>
        </is>
      </c>
      <c r="D530" s="30" t="inlineStr">
        <is>
          <t>Provider of a customer service management platform. The company's platform leverages smartphones to allow enterprises to offer better customer support services through features such as Interactive Visual Response and Virtual Queuing.</t>
        </is>
      </c>
      <c r="E530" s="31" t="inlineStr">
        <is>
          <t>Social/Platform Software</t>
        </is>
      </c>
      <c r="F530" s="32" t="inlineStr">
        <is>
          <t>Menlo Park, CA</t>
        </is>
      </c>
      <c r="G530" s="33" t="inlineStr">
        <is>
          <t>Privately Held (backing)</t>
        </is>
      </c>
      <c r="H530" s="34" t="inlineStr">
        <is>
          <t>Accelerator/Incubator Backed</t>
        </is>
      </c>
      <c r="I530" s="35" t="inlineStr">
        <is>
          <t>Alchemist Accelerator</t>
        </is>
      </c>
      <c r="J530" s="36" t="inlineStr">
        <is>
          <t>www.ubicall.com</t>
        </is>
      </c>
      <c r="K530" s="37" t="inlineStr">
        <is>
          <t>contactus@ubicall.com</t>
        </is>
      </c>
      <c r="L530" s="38" t="inlineStr">
        <is>
          <t/>
        </is>
      </c>
      <c r="M530" s="39" t="inlineStr">
        <is>
          <t>Khaled Nazif</t>
        </is>
      </c>
      <c r="N530" s="40" t="inlineStr">
        <is>
          <t>Co-Founder &amp; Chief Executive Officer</t>
        </is>
      </c>
      <c r="O530" s="41" t="inlineStr">
        <is>
          <t>khaled@ubicall.com</t>
        </is>
      </c>
      <c r="P530" s="42" t="inlineStr">
        <is>
          <t/>
        </is>
      </c>
      <c r="Q530" s="43" t="n">
        <v>2014.0</v>
      </c>
      <c r="R530" s="114">
        <f>HYPERLINK("https://my.pitchbook.com?c=125629-57", "View company online")</f>
      </c>
    </row>
    <row r="531">
      <c r="A531" s="9" t="inlineStr">
        <is>
          <t>87179-77</t>
        </is>
      </c>
      <c r="B531" s="10" t="inlineStr">
        <is>
          <t>Ubica</t>
        </is>
      </c>
      <c r="C531" s="11" t="inlineStr">
        <is>
          <t/>
        </is>
      </c>
      <c r="D531" s="12" t="inlineStr">
        <is>
          <t>Provider of 3D motion tracking services for computers. The company provides services to change the way how computers see and understand physical movements in the three dimensional world.</t>
        </is>
      </c>
      <c r="E531" s="13" t="inlineStr">
        <is>
          <t>Other Information Technology</t>
        </is>
      </c>
      <c r="F531" s="14" t="inlineStr">
        <is>
          <t>Los Angeles, CA</t>
        </is>
      </c>
      <c r="G531" s="15" t="inlineStr">
        <is>
          <t>Privately Held (backing)</t>
        </is>
      </c>
      <c r="H531" s="16" t="inlineStr">
        <is>
          <t>Accelerator/Incubator Backed</t>
        </is>
      </c>
      <c r="I531" s="17" t="inlineStr">
        <is>
          <t>Wearable IoT World</t>
        </is>
      </c>
      <c r="J531" s="18" t="inlineStr">
        <is>
          <t>www.ubicalabs.com</t>
        </is>
      </c>
      <c r="K531" s="19" t="inlineStr">
        <is>
          <t>contact@ubicalabs.com</t>
        </is>
      </c>
      <c r="L531" s="20" t="inlineStr">
        <is>
          <t>+1 (310) 740-9371</t>
        </is>
      </c>
      <c r="M531" s="21" t="inlineStr">
        <is>
          <t>Alberto Menache</t>
        </is>
      </c>
      <c r="N531" s="22" t="inlineStr">
        <is>
          <t>Co-Founder &amp; Chief Executive Officer</t>
        </is>
      </c>
      <c r="O531" s="23" t="inlineStr">
        <is>
          <t>amenache@ubicalabs.com</t>
        </is>
      </c>
      <c r="P531" s="24" t="inlineStr">
        <is>
          <t>+1 (310) 740-9371</t>
        </is>
      </c>
      <c r="Q531" s="25" t="n">
        <v>2014.0</v>
      </c>
      <c r="R531" s="113">
        <f>HYPERLINK("https://my.pitchbook.com?c=87179-77", "View company online")</f>
      </c>
    </row>
    <row r="532">
      <c r="A532" s="27" t="inlineStr">
        <is>
          <t>166102-66</t>
        </is>
      </c>
      <c r="B532" s="28" t="inlineStr">
        <is>
          <t>Ubby</t>
        </is>
      </c>
      <c r="C532" s="29" t="inlineStr">
        <is>
          <t>94105</t>
        </is>
      </c>
      <c r="D532" s="30" t="inlineStr">
        <is>
          <t>Provider of a social content monetization platform. The company provides an online platform that converts blogs, posts and similar social contents into monetary rewards thereby helping brands in product endorsement through customer-based social advertising and digital marketing.</t>
        </is>
      </c>
      <c r="E532" s="31" t="inlineStr">
        <is>
          <t>Social/Platform Software</t>
        </is>
      </c>
      <c r="F532" s="32" t="inlineStr">
        <is>
          <t>San Francisco, CA</t>
        </is>
      </c>
      <c r="G532" s="33" t="inlineStr">
        <is>
          <t>Privately Held (backing)</t>
        </is>
      </c>
      <c r="H532" s="34" t="inlineStr">
        <is>
          <t>Angel-Backed</t>
        </is>
      </c>
      <c r="I532" s="35" t="inlineStr">
        <is>
          <t/>
        </is>
      </c>
      <c r="J532" s="36" t="inlineStr">
        <is>
          <t>ubby.io</t>
        </is>
      </c>
      <c r="K532" s="37" t="inlineStr">
        <is>
          <t>info@ubby.com</t>
        </is>
      </c>
      <c r="L532" s="38" t="inlineStr">
        <is>
          <t/>
        </is>
      </c>
      <c r="M532" s="39" t="inlineStr">
        <is>
          <t>Flavio Rossini</t>
        </is>
      </c>
      <c r="N532" s="40" t="inlineStr">
        <is>
          <t>Chief Financial Officer</t>
        </is>
      </c>
      <c r="O532" s="41" t="inlineStr">
        <is>
          <t>flavio@ubby.io</t>
        </is>
      </c>
      <c r="P532" s="42" t="inlineStr">
        <is>
          <t/>
        </is>
      </c>
      <c r="Q532" s="43" t="n">
        <v>2016.0</v>
      </c>
      <c r="R532" s="114">
        <f>HYPERLINK("https://my.pitchbook.com?c=166102-66", "View company online")</f>
      </c>
    </row>
    <row r="533">
      <c r="A533" s="9" t="inlineStr">
        <is>
          <t>161977-15</t>
        </is>
      </c>
      <c r="B533" s="10" t="inlineStr">
        <is>
          <t>UAV-IQ Precision Agriculture</t>
        </is>
      </c>
      <c r="C533" s="11" t="inlineStr">
        <is>
          <t>90024</t>
        </is>
      </c>
      <c r="D533" s="12" t="inlineStr">
        <is>
          <t>Provider of high resolution imagery and data analysis services intended to offer farmers actionable intelligence via field scouting services. The company's high resolution imagery and data analysis services leverages cutting-edge remote sensing and drone technologies and utilizes data collected from unmanned aerial vehicles to offer actionable, high resolution imagery and analysis through mobile, enabling farm producers to improve crop yields and farm products.</t>
        </is>
      </c>
      <c r="E533" s="13" t="inlineStr">
        <is>
          <t>Other Commercial Services</t>
        </is>
      </c>
      <c r="F533" s="14" t="inlineStr">
        <is>
          <t>Los Angeles, CA</t>
        </is>
      </c>
      <c r="G533" s="15" t="inlineStr">
        <is>
          <t>Privately Held (backing)</t>
        </is>
      </c>
      <c r="H533" s="16" t="inlineStr">
        <is>
          <t>Accelerator/Incubator Backed</t>
        </is>
      </c>
      <c r="I533" s="17" t="inlineStr">
        <is>
          <t>Parallel 18, Start-Up Chile, Thrive Accelerator, UCLA Anderson School of Management</t>
        </is>
      </c>
      <c r="J533" s="18" t="inlineStr">
        <is>
          <t>www.uaviq.farm</t>
        </is>
      </c>
      <c r="K533" s="19" t="inlineStr">
        <is>
          <t>info@uav-iq.farm</t>
        </is>
      </c>
      <c r="L533" s="20" t="inlineStr">
        <is>
          <t>+1 (310) 497-9389</t>
        </is>
      </c>
      <c r="M533" s="21" t="inlineStr">
        <is>
          <t>Andreas Neuman</t>
        </is>
      </c>
      <c r="N533" s="22" t="inlineStr">
        <is>
          <t>Founder &amp; President</t>
        </is>
      </c>
      <c r="O533" s="23" t="inlineStr">
        <is>
          <t>aneuman@uav-iq.com</t>
        </is>
      </c>
      <c r="P533" s="24" t="inlineStr">
        <is>
          <t>+1 (310) 497-9389</t>
        </is>
      </c>
      <c r="Q533" s="25" t="inlineStr">
        <is>
          <t/>
        </is>
      </c>
      <c r="R533" s="113">
        <f>HYPERLINK("https://my.pitchbook.com?c=161977-15", "View company online")</f>
      </c>
    </row>
    <row r="534">
      <c r="A534" s="27" t="inlineStr">
        <is>
          <t>148153-42</t>
        </is>
      </c>
      <c r="B534" s="28" t="inlineStr">
        <is>
          <t>UAV-IQ</t>
        </is>
      </c>
      <c r="C534" s="29" t="inlineStr">
        <is>
          <t>90025</t>
        </is>
      </c>
      <c r="D534" s="30" t="inlineStr">
        <is>
          <t>Provider of marketing strategies and consultancy services. The company provides industry analysis, strategic vision and project management expertise for companies and organizations.</t>
        </is>
      </c>
      <c r="E534" s="31" t="inlineStr">
        <is>
          <t>Consulting Services (B2B)</t>
        </is>
      </c>
      <c r="F534" s="32" t="inlineStr">
        <is>
          <t>Los Angeles, CA</t>
        </is>
      </c>
      <c r="G534" s="33" t="inlineStr">
        <is>
          <t>Privately Held (backing)</t>
        </is>
      </c>
      <c r="H534" s="34" t="inlineStr">
        <is>
          <t>Accelerator/Incubator Backed</t>
        </is>
      </c>
      <c r="I534" s="35" t="inlineStr">
        <is>
          <t>Vet-Tech Accelerator</t>
        </is>
      </c>
      <c r="J534" s="36" t="inlineStr">
        <is>
          <t>www.uaviqconsulting.com</t>
        </is>
      </c>
      <c r="K534" s="37" t="inlineStr">
        <is>
          <t>aneuman@uav-iq.com</t>
        </is>
      </c>
      <c r="L534" s="38" t="inlineStr">
        <is>
          <t>+1 (310) 497-9389</t>
        </is>
      </c>
      <c r="M534" s="39" t="inlineStr">
        <is>
          <t>Andreas Neuman</t>
        </is>
      </c>
      <c r="N534" s="40" t="inlineStr">
        <is>
          <t>Founder, Principal Consultant &amp; President</t>
        </is>
      </c>
      <c r="O534" s="41" t="inlineStr">
        <is>
          <t>aneuman@uav-iq.com</t>
        </is>
      </c>
      <c r="P534" s="42" t="inlineStr">
        <is>
          <t>+1 (310) 497-9389</t>
        </is>
      </c>
      <c r="Q534" s="43" t="n">
        <v>2012.0</v>
      </c>
      <c r="R534" s="114">
        <f>HYPERLINK("https://my.pitchbook.com?c=148153-42", "View company online")</f>
      </c>
    </row>
    <row r="535">
      <c r="A535" s="9" t="inlineStr">
        <is>
          <t>95508-82</t>
        </is>
      </c>
      <c r="B535" s="10" t="inlineStr">
        <is>
          <t>Tytanium Ideas</t>
        </is>
      </c>
      <c r="C535" s="11" t="inlineStr">
        <is>
          <t>95648</t>
        </is>
      </c>
      <c r="D535" s="12" t="inlineStr">
        <is>
          <t>Operator of a digital media marketing agency. The company offers digital media marketing services through the use of social media and web tools.</t>
        </is>
      </c>
      <c r="E535" s="13" t="inlineStr">
        <is>
          <t>Media and Information Services (B2B)</t>
        </is>
      </c>
      <c r="F535" s="14" t="inlineStr">
        <is>
          <t>Lincoln, CA</t>
        </is>
      </c>
      <c r="G535" s="15" t="inlineStr">
        <is>
          <t>Privately Held (backing)</t>
        </is>
      </c>
      <c r="H535" s="16" t="inlineStr">
        <is>
          <t>Angel-Backed</t>
        </is>
      </c>
      <c r="I535" s="17" t="inlineStr">
        <is>
          <t>Berg Investments</t>
        </is>
      </c>
      <c r="J535" s="18" t="inlineStr">
        <is>
          <t>www.tytaniumideas.com</t>
        </is>
      </c>
      <c r="K535" s="19" t="inlineStr">
        <is>
          <t>hello@tytaniumideas.com</t>
        </is>
      </c>
      <c r="L535" s="20" t="inlineStr">
        <is>
          <t>+1 (916) 409-2399</t>
        </is>
      </c>
      <c r="M535" s="21" t="inlineStr">
        <is>
          <t>Tyler Campbell</t>
        </is>
      </c>
      <c r="N535" s="22" t="inlineStr">
        <is>
          <t>Chief Executive Officer &amp; Founder</t>
        </is>
      </c>
      <c r="O535" s="23" t="inlineStr">
        <is>
          <t>tyler@tytaniumideas.com</t>
        </is>
      </c>
      <c r="P535" s="24" t="inlineStr">
        <is>
          <t>+1 (916) 409-2399</t>
        </is>
      </c>
      <c r="Q535" s="25" t="n">
        <v>2010.0</v>
      </c>
      <c r="R535" s="113">
        <f>HYPERLINK("https://my.pitchbook.com?c=95508-82", "View company online")</f>
      </c>
    </row>
    <row r="536">
      <c r="A536" s="27" t="inlineStr">
        <is>
          <t>95340-61</t>
        </is>
      </c>
      <c r="B536" s="28" t="inlineStr">
        <is>
          <t>Typo Innovations</t>
        </is>
      </c>
      <c r="C536" s="29" t="inlineStr">
        <is>
          <t>90024</t>
        </is>
      </c>
      <c r="D536" s="30" t="inlineStr">
        <is>
          <t>Manufacturer of human interface devices and mobile accessories. The company designs and manufactures detachable keyboard for mobile phones and tablet devices.</t>
        </is>
      </c>
      <c r="E536" s="31" t="inlineStr">
        <is>
          <t>Electronics (B2C)</t>
        </is>
      </c>
      <c r="F536" s="32" t="inlineStr">
        <is>
          <t>Los Angeles, CA</t>
        </is>
      </c>
      <c r="G536" s="33" t="inlineStr">
        <is>
          <t>Privately Held (backing)</t>
        </is>
      </c>
      <c r="H536" s="34" t="inlineStr">
        <is>
          <t>Angel-Backed</t>
        </is>
      </c>
      <c r="I536" s="35" t="inlineStr">
        <is>
          <t/>
        </is>
      </c>
      <c r="J536" s="36" t="inlineStr">
        <is>
          <t>www.gettypo.com</t>
        </is>
      </c>
      <c r="K536" s="37" t="inlineStr">
        <is>
          <t>info@typokeyboards.com</t>
        </is>
      </c>
      <c r="L536" s="38" t="inlineStr">
        <is>
          <t/>
        </is>
      </c>
      <c r="M536" s="39" t="inlineStr">
        <is>
          <t>Ryan Seacrest</t>
        </is>
      </c>
      <c r="N536" s="40" t="inlineStr">
        <is>
          <t>Co-Founder</t>
        </is>
      </c>
      <c r="O536" s="41" t="inlineStr">
        <is>
          <t/>
        </is>
      </c>
      <c r="P536" s="42" t="inlineStr">
        <is>
          <t/>
        </is>
      </c>
      <c r="Q536" s="43" t="n">
        <v>2013.0</v>
      </c>
      <c r="R536" s="114">
        <f>HYPERLINK("https://my.pitchbook.com?c=95340-61", "View company online")</f>
      </c>
    </row>
    <row r="537">
      <c r="A537" s="9" t="inlineStr">
        <is>
          <t>113244-67</t>
        </is>
      </c>
      <c r="B537" s="10" t="inlineStr">
        <is>
          <t>Type A Machines</t>
        </is>
      </c>
      <c r="C537" s="11" t="inlineStr">
        <is>
          <t>94103</t>
        </is>
      </c>
      <c r="D537" s="12" t="inlineStr">
        <is>
          <t>Developer of 3D Printers. The company offers a 3D ecosystem of digital design and fabrication services, including the Series 1 Pro 3D printers, Print Pod, materials, workflow software, casting, modeling, and parts on demand services.</t>
        </is>
      </c>
      <c r="E537" s="13" t="inlineStr">
        <is>
          <t>Computers, Parts and Peripherals</t>
        </is>
      </c>
      <c r="F537" s="14" t="inlineStr">
        <is>
          <t>San Francisco, CA</t>
        </is>
      </c>
      <c r="G537" s="15" t="inlineStr">
        <is>
          <t>Privately Held (backing)</t>
        </is>
      </c>
      <c r="H537" s="16" t="inlineStr">
        <is>
          <t>Accelerator/Incubator Backed</t>
        </is>
      </c>
      <c r="I537" s="17" t="inlineStr">
        <is>
          <t>Bay Area Advanced Manufacturers</t>
        </is>
      </c>
      <c r="J537" s="18" t="inlineStr">
        <is>
          <t>www.typeamachines.com</t>
        </is>
      </c>
      <c r="K537" s="19" t="inlineStr">
        <is>
          <t>info@typeamachines.com</t>
        </is>
      </c>
      <c r="L537" s="20" t="inlineStr">
        <is>
          <t>+1 (415) 366-5828</t>
        </is>
      </c>
      <c r="M537" s="21" t="inlineStr">
        <is>
          <t>Stefani Pellinen-Chavez</t>
        </is>
      </c>
      <c r="N537" s="22" t="inlineStr">
        <is>
          <t>Co-Founder, Chief Financial Officer &amp; Chief Legal Officer</t>
        </is>
      </c>
      <c r="O537" s="23" t="inlineStr">
        <is>
          <t>stefani@typeamachines.com</t>
        </is>
      </c>
      <c r="P537" s="24" t="inlineStr">
        <is>
          <t>+1 (415) 366-5828</t>
        </is>
      </c>
      <c r="Q537" s="25" t="n">
        <v>2012.0</v>
      </c>
      <c r="R537" s="113">
        <f>HYPERLINK("https://my.pitchbook.com?c=113244-67", "View company online")</f>
      </c>
    </row>
    <row r="538">
      <c r="A538" s="27" t="inlineStr">
        <is>
          <t>104437-09</t>
        </is>
      </c>
      <c r="B538" s="28" t="inlineStr">
        <is>
          <t>TYLT</t>
        </is>
      </c>
      <c r="C538" s="29" t="inlineStr">
        <is>
          <t>93065</t>
        </is>
      </c>
      <c r="D538" s="30" t="inlineStr">
        <is>
          <t>Developer of portable charging devices. The company develops portable power banks, wireless chargers, wearable bands other types of chargers for mobile devices.</t>
        </is>
      </c>
      <c r="E538" s="31" t="inlineStr">
        <is>
          <t>Electronics (B2C)</t>
        </is>
      </c>
      <c r="F538" s="32" t="inlineStr">
        <is>
          <t>Simi Valley, CA</t>
        </is>
      </c>
      <c r="G538" s="33" t="inlineStr">
        <is>
          <t>Privately Held (backing)</t>
        </is>
      </c>
      <c r="H538" s="34" t="inlineStr">
        <is>
          <t>Angel-Backed</t>
        </is>
      </c>
      <c r="I538" s="35" t="inlineStr">
        <is>
          <t/>
        </is>
      </c>
      <c r="J538" s="36" t="inlineStr">
        <is>
          <t>www.tylt.com</t>
        </is>
      </c>
      <c r="K538" s="37" t="inlineStr">
        <is>
          <t>info@tylt.com</t>
        </is>
      </c>
      <c r="L538" s="38" t="inlineStr">
        <is>
          <t>+1 (800) 843-5600</t>
        </is>
      </c>
      <c r="M538" s="39" t="inlineStr">
        <is>
          <t>Rami Rostami</t>
        </is>
      </c>
      <c r="N538" s="40" t="inlineStr">
        <is>
          <t>Founder &amp; Chief Executive Officer</t>
        </is>
      </c>
      <c r="O538" s="41" t="inlineStr">
        <is>
          <t>rami.rostami@tylt.com</t>
        </is>
      </c>
      <c r="P538" s="42" t="inlineStr">
        <is>
          <t>+1 (800) 843-5600</t>
        </is>
      </c>
      <c r="Q538" s="43" t="n">
        <v>2011.0</v>
      </c>
      <c r="R538" s="114">
        <f>HYPERLINK("https://my.pitchbook.com?c=104437-09", "View company online")</f>
      </c>
    </row>
    <row r="539">
      <c r="A539" s="9" t="inlineStr">
        <is>
          <t>172879-21</t>
        </is>
      </c>
      <c r="B539" s="10" t="inlineStr">
        <is>
          <t>TYDE</t>
        </is>
      </c>
      <c r="C539" s="85">
        <f>HYPERLINK("https://my.pitchbook.com?rrp=172879-21&amp;type=c", "This Company's information is not available to download. Need this Company? Request availability")</f>
      </c>
      <c r="D539" s="12" t="inlineStr">
        <is>
          <t/>
        </is>
      </c>
      <c r="E539" s="13" t="inlineStr">
        <is>
          <t/>
        </is>
      </c>
      <c r="F539" s="14" t="inlineStr">
        <is>
          <t/>
        </is>
      </c>
      <c r="G539" s="15" t="inlineStr">
        <is>
          <t/>
        </is>
      </c>
      <c r="H539" s="16" t="inlineStr">
        <is>
          <t/>
        </is>
      </c>
      <c r="I539" s="17" t="inlineStr">
        <is>
          <t/>
        </is>
      </c>
      <c r="J539" s="18" t="inlineStr">
        <is>
          <t/>
        </is>
      </c>
      <c r="K539" s="19" t="inlineStr">
        <is>
          <t/>
        </is>
      </c>
      <c r="L539" s="20" t="inlineStr">
        <is>
          <t/>
        </is>
      </c>
      <c r="M539" s="21" t="inlineStr">
        <is>
          <t/>
        </is>
      </c>
      <c r="N539" s="22" t="inlineStr">
        <is>
          <t/>
        </is>
      </c>
      <c r="O539" s="23" t="inlineStr">
        <is>
          <t/>
        </is>
      </c>
      <c r="P539" s="24" t="inlineStr">
        <is>
          <t/>
        </is>
      </c>
      <c r="Q539" s="25" t="inlineStr">
        <is>
          <t/>
        </is>
      </c>
      <c r="R539" s="26" t="inlineStr">
        <is>
          <t/>
        </is>
      </c>
    </row>
    <row r="540">
      <c r="A540" s="27" t="inlineStr">
        <is>
          <t>174089-89</t>
        </is>
      </c>
      <c r="B540" s="28" t="inlineStr">
        <is>
          <t>TwoWayPay</t>
        </is>
      </c>
      <c r="C540" s="86">
        <f>HYPERLINK("https://my.pitchbook.com?rrp=174089-89&amp;type=c", "This Company's information is not available to download. Need this Company? Request availability")</f>
      </c>
      <c r="D540" s="30" t="inlineStr">
        <is>
          <t/>
        </is>
      </c>
      <c r="E540" s="31" t="inlineStr">
        <is>
          <t/>
        </is>
      </c>
      <c r="F540" s="32" t="inlineStr">
        <is>
          <t/>
        </is>
      </c>
      <c r="G540" s="33" t="inlineStr">
        <is>
          <t/>
        </is>
      </c>
      <c r="H540" s="34" t="inlineStr">
        <is>
          <t/>
        </is>
      </c>
      <c r="I540" s="35" t="inlineStr">
        <is>
          <t/>
        </is>
      </c>
      <c r="J540" s="36" t="inlineStr">
        <is>
          <t/>
        </is>
      </c>
      <c r="K540" s="37" t="inlineStr">
        <is>
          <t/>
        </is>
      </c>
      <c r="L540" s="38" t="inlineStr">
        <is>
          <t/>
        </is>
      </c>
      <c r="M540" s="39" t="inlineStr">
        <is>
          <t/>
        </is>
      </c>
      <c r="N540" s="40" t="inlineStr">
        <is>
          <t/>
        </is>
      </c>
      <c r="O540" s="41" t="inlineStr">
        <is>
          <t/>
        </is>
      </c>
      <c r="P540" s="42" t="inlineStr">
        <is>
          <t/>
        </is>
      </c>
      <c r="Q540" s="43" t="inlineStr">
        <is>
          <t/>
        </is>
      </c>
      <c r="R540" s="44" t="inlineStr">
        <is>
          <t/>
        </is>
      </c>
    </row>
    <row r="541">
      <c r="A541" s="9" t="inlineStr">
        <is>
          <t>104206-15</t>
        </is>
      </c>
      <c r="B541" s="10" t="inlineStr">
        <is>
          <t>Twicketer</t>
        </is>
      </c>
      <c r="C541" s="11" t="inlineStr">
        <is>
          <t>93101</t>
        </is>
      </c>
      <c r="D541" s="12" t="inlineStr">
        <is>
          <t>Developer of a software distribution platform. The company allows to create and distribute mobile tickets, coupons and vouchers and also offers free SMS and Twitter marketing tools to help in reaching the audience.</t>
        </is>
      </c>
      <c r="E541" s="13" t="inlineStr">
        <is>
          <t>Social/Platform Software</t>
        </is>
      </c>
      <c r="F541" s="14" t="inlineStr">
        <is>
          <t>Santa Barbara, CA</t>
        </is>
      </c>
      <c r="G541" s="15" t="inlineStr">
        <is>
          <t>Privately Held (backing)</t>
        </is>
      </c>
      <c r="H541" s="16" t="inlineStr">
        <is>
          <t>Accelerator/Incubator Backed</t>
        </is>
      </c>
      <c r="I541" s="17" t="inlineStr">
        <is>
          <t>Opus Logica</t>
        </is>
      </c>
      <c r="J541" s="18" t="inlineStr">
        <is>
          <t>www.twicketer.com</t>
        </is>
      </c>
      <c r="K541" s="19" t="inlineStr">
        <is>
          <t>info@twicketer.com</t>
        </is>
      </c>
      <c r="L541" s="20" t="inlineStr">
        <is>
          <t/>
        </is>
      </c>
      <c r="M541" s="21" t="inlineStr">
        <is>
          <t>James Small</t>
        </is>
      </c>
      <c r="N541" s="22" t="inlineStr">
        <is>
          <t>Chief Financial Officer</t>
        </is>
      </c>
      <c r="O541" s="23" t="inlineStr">
        <is>
          <t/>
        </is>
      </c>
      <c r="P541" s="24" t="inlineStr">
        <is>
          <t/>
        </is>
      </c>
      <c r="Q541" s="25" t="n">
        <v>2009.0</v>
      </c>
      <c r="R541" s="113">
        <f>HYPERLINK("https://my.pitchbook.com?c=104206-15", "View company online")</f>
      </c>
    </row>
    <row r="542">
      <c r="A542" s="27" t="inlineStr">
        <is>
          <t>148659-40</t>
        </is>
      </c>
      <c r="B542" s="28" t="inlineStr">
        <is>
          <t>TwentySeven</t>
        </is>
      </c>
      <c r="C542" s="29" t="inlineStr">
        <is>
          <t/>
        </is>
      </c>
      <c r="D542" s="30" t="inlineStr">
        <is>
          <t>Provider of a used clothes trading platform. The company's platform allows users to sell and buy used clothing in their local community through a mobile application.</t>
        </is>
      </c>
      <c r="E542" s="31" t="inlineStr">
        <is>
          <t>Application Software</t>
        </is>
      </c>
      <c r="F542" s="32" t="inlineStr">
        <is>
          <t>San Luis Obispo, CA</t>
        </is>
      </c>
      <c r="G542" s="33" t="inlineStr">
        <is>
          <t>Privately Held (backing)</t>
        </is>
      </c>
      <c r="H542" s="34" t="inlineStr">
        <is>
          <t>Accelerator/Incubator Backed</t>
        </is>
      </c>
      <c r="I542" s="35" t="inlineStr">
        <is>
          <t>SLO HotHouse</t>
        </is>
      </c>
      <c r="J542" s="36" t="inlineStr">
        <is>
          <t>www.twentysevenapp.com</t>
        </is>
      </c>
      <c r="K542" s="37" t="inlineStr">
        <is>
          <t>contact@twentysevenapp.com</t>
        </is>
      </c>
      <c r="L542" s="38" t="inlineStr">
        <is>
          <t/>
        </is>
      </c>
      <c r="M542" s="39" t="inlineStr">
        <is>
          <t>Max Parelius</t>
        </is>
      </c>
      <c r="N542" s="40" t="inlineStr">
        <is>
          <t>Co-Founder &amp; iOS Developer</t>
        </is>
      </c>
      <c r="O542" s="41" t="inlineStr">
        <is>
          <t/>
        </is>
      </c>
      <c r="P542" s="42" t="inlineStr">
        <is>
          <t/>
        </is>
      </c>
      <c r="Q542" s="43" t="n">
        <v>2015.0</v>
      </c>
      <c r="R542" s="114">
        <f>HYPERLINK("https://my.pitchbook.com?c=148659-40", "View company online")</f>
      </c>
    </row>
    <row r="543">
      <c r="A543" s="9" t="inlineStr">
        <is>
          <t>119986-30</t>
        </is>
      </c>
      <c r="B543" s="10" t="inlineStr">
        <is>
          <t>TVtibi</t>
        </is>
      </c>
      <c r="C543" s="85">
        <f>HYPERLINK("https://my.pitchbook.com?rrp=119986-30&amp;type=c", "This Company's information is not available to download. Need this Company? Request availability")</f>
      </c>
      <c r="D543" s="12" t="inlineStr">
        <is>
          <t/>
        </is>
      </c>
      <c r="E543" s="13" t="inlineStr">
        <is>
          <t/>
        </is>
      </c>
      <c r="F543" s="14" t="inlineStr">
        <is>
          <t/>
        </is>
      </c>
      <c r="G543" s="15" t="inlineStr">
        <is>
          <t/>
        </is>
      </c>
      <c r="H543" s="16" t="inlineStr">
        <is>
          <t/>
        </is>
      </c>
      <c r="I543" s="17" t="inlineStr">
        <is>
          <t/>
        </is>
      </c>
      <c r="J543" s="18" t="inlineStr">
        <is>
          <t/>
        </is>
      </c>
      <c r="K543" s="19" t="inlineStr">
        <is>
          <t/>
        </is>
      </c>
      <c r="L543" s="20" t="inlineStr">
        <is>
          <t/>
        </is>
      </c>
      <c r="M543" s="21" t="inlineStr">
        <is>
          <t/>
        </is>
      </c>
      <c r="N543" s="22" t="inlineStr">
        <is>
          <t/>
        </is>
      </c>
      <c r="O543" s="23" t="inlineStr">
        <is>
          <t/>
        </is>
      </c>
      <c r="P543" s="24" t="inlineStr">
        <is>
          <t/>
        </is>
      </c>
      <c r="Q543" s="25" t="inlineStr">
        <is>
          <t/>
        </is>
      </c>
      <c r="R543" s="26" t="inlineStr">
        <is>
          <t/>
        </is>
      </c>
    </row>
    <row r="544">
      <c r="A544" s="27" t="inlineStr">
        <is>
          <t>95625-01</t>
        </is>
      </c>
      <c r="B544" s="28" t="inlineStr">
        <is>
          <t>TVPage</t>
        </is>
      </c>
      <c r="C544" s="29" t="inlineStr">
        <is>
          <t>92121</t>
        </is>
      </c>
      <c r="D544" s="30" t="inlineStr">
        <is>
          <t>Developer of cloud video commerce technologies designed to help merchants monetize videos. The company's video content management system empowers merchants and publishers to source, publish and monetize video experiences at scale enabling content creators, brands, retailers and media companies to monetize their content, retain customers and enhance sales.</t>
        </is>
      </c>
      <c r="E544" s="31" t="inlineStr">
        <is>
          <t>Application Software</t>
        </is>
      </c>
      <c r="F544" s="32" t="inlineStr">
        <is>
          <t>San Diego, CA</t>
        </is>
      </c>
      <c r="G544" s="33" t="inlineStr">
        <is>
          <t>Privately Held (backing)</t>
        </is>
      </c>
      <c r="H544" s="34" t="inlineStr">
        <is>
          <t>Angel-Backed</t>
        </is>
      </c>
      <c r="I544" s="35" t="inlineStr">
        <is>
          <t>Greg Silverman</t>
        </is>
      </c>
      <c r="J544" s="36" t="inlineStr">
        <is>
          <t>www.tvpage.com</t>
        </is>
      </c>
      <c r="K544" s="37" t="inlineStr">
        <is>
          <t>info@tvpage.com</t>
        </is>
      </c>
      <c r="L544" s="38" t="inlineStr">
        <is>
          <t/>
        </is>
      </c>
      <c r="M544" s="39" t="inlineStr">
        <is>
          <t>Allon Caidar</t>
        </is>
      </c>
      <c r="N544" s="40" t="inlineStr">
        <is>
          <t>Co-Founder &amp; Chief Executive Officer</t>
        </is>
      </c>
      <c r="O544" s="41" t="inlineStr">
        <is>
          <t>allon@tvpage.com</t>
        </is>
      </c>
      <c r="P544" s="42" t="inlineStr">
        <is>
          <t/>
        </is>
      </c>
      <c r="Q544" s="43" t="n">
        <v>2011.0</v>
      </c>
      <c r="R544" s="114">
        <f>HYPERLINK("https://my.pitchbook.com?c=95625-01", "View company online")</f>
      </c>
    </row>
    <row r="545">
      <c r="A545" s="9" t="inlineStr">
        <is>
          <t>91243-81</t>
        </is>
      </c>
      <c r="B545" s="10" t="inlineStr">
        <is>
          <t>Tvoop</t>
        </is>
      </c>
      <c r="C545" s="11" t="inlineStr">
        <is>
          <t>91356</t>
        </is>
      </c>
      <c r="D545" s="12" t="inlineStr">
        <is>
          <t>Provider of a live streaming platform. The company offers a live streaming platform where users can live stream and create their own channel using a camera and a computer.</t>
        </is>
      </c>
      <c r="E545" s="13" t="inlineStr">
        <is>
          <t>Broadcasting, Radio and Television</t>
        </is>
      </c>
      <c r="F545" s="14" t="inlineStr">
        <is>
          <t>Los Angeles, CA</t>
        </is>
      </c>
      <c r="G545" s="15" t="inlineStr">
        <is>
          <t>Privately Held (backing)</t>
        </is>
      </c>
      <c r="H545" s="16" t="inlineStr">
        <is>
          <t>Angel-Backed</t>
        </is>
      </c>
      <c r="I545" s="17" t="inlineStr">
        <is>
          <t/>
        </is>
      </c>
      <c r="J545" s="18" t="inlineStr">
        <is>
          <t>www.Tvoop.com</t>
        </is>
      </c>
      <c r="K545" s="19" t="inlineStr">
        <is>
          <t>tvoop@tvoop.com</t>
        </is>
      </c>
      <c r="L545" s="20" t="inlineStr">
        <is>
          <t/>
        </is>
      </c>
      <c r="M545" s="21" t="inlineStr">
        <is>
          <t>Arash Mosharraf</t>
        </is>
      </c>
      <c r="N545" s="22" t="inlineStr">
        <is>
          <t>Co-Founder &amp; Software Architect</t>
        </is>
      </c>
      <c r="O545" s="23" t="inlineStr">
        <is>
          <t>arash@tvoop.com</t>
        </is>
      </c>
      <c r="P545" s="24" t="inlineStr">
        <is>
          <t/>
        </is>
      </c>
      <c r="Q545" s="25" t="n">
        <v>2009.0</v>
      </c>
      <c r="R545" s="113">
        <f>HYPERLINK("https://my.pitchbook.com?c=91243-81", "View company online")</f>
      </c>
    </row>
    <row r="546">
      <c r="A546" s="27" t="inlineStr">
        <is>
          <t>103392-91</t>
        </is>
      </c>
      <c r="B546" s="28" t="inlineStr">
        <is>
          <t>TVlize</t>
        </is>
      </c>
      <c r="C546" s="86">
        <f>HYPERLINK("https://my.pitchbook.com?rrp=103392-91&amp;type=c", "This Company's information is not available to download. Need this Company? Request availability")</f>
      </c>
      <c r="D546" s="30" t="inlineStr">
        <is>
          <t/>
        </is>
      </c>
      <c r="E546" s="31" t="inlineStr">
        <is>
          <t/>
        </is>
      </c>
      <c r="F546" s="32" t="inlineStr">
        <is>
          <t/>
        </is>
      </c>
      <c r="G546" s="33" t="inlineStr">
        <is>
          <t/>
        </is>
      </c>
      <c r="H546" s="34" t="inlineStr">
        <is>
          <t/>
        </is>
      </c>
      <c r="I546" s="35" t="inlineStr">
        <is>
          <t/>
        </is>
      </c>
      <c r="J546" s="36" t="inlineStr">
        <is>
          <t/>
        </is>
      </c>
      <c r="K546" s="37" t="inlineStr">
        <is>
          <t/>
        </is>
      </c>
      <c r="L546" s="38" t="inlineStr">
        <is>
          <t/>
        </is>
      </c>
      <c r="M546" s="39" t="inlineStr">
        <is>
          <t/>
        </is>
      </c>
      <c r="N546" s="40" t="inlineStr">
        <is>
          <t/>
        </is>
      </c>
      <c r="O546" s="41" t="inlineStr">
        <is>
          <t/>
        </is>
      </c>
      <c r="P546" s="42" t="inlineStr">
        <is>
          <t/>
        </is>
      </c>
      <c r="Q546" s="43" t="inlineStr">
        <is>
          <t/>
        </is>
      </c>
      <c r="R546" s="44" t="inlineStr">
        <is>
          <t/>
        </is>
      </c>
    </row>
    <row r="547">
      <c r="A547" s="9" t="inlineStr">
        <is>
          <t>89272-54</t>
        </is>
      </c>
      <c r="B547" s="10" t="inlineStr">
        <is>
          <t>TV TubeX</t>
        </is>
      </c>
      <c r="C547" s="11" t="inlineStr">
        <is>
          <t>94105</t>
        </is>
      </c>
      <c r="D547" s="12" t="inlineStr">
        <is>
          <t>Operator of an online video streaming platform. The company's platform allows users to watch tv shows, TV series, live streaming of sports matches and events and other popular programs.</t>
        </is>
      </c>
      <c r="E547" s="13" t="inlineStr">
        <is>
          <t>Broadcasting, Radio and Television</t>
        </is>
      </c>
      <c r="F547" s="14" t="inlineStr">
        <is>
          <t>San Francisco, CA</t>
        </is>
      </c>
      <c r="G547" s="15" t="inlineStr">
        <is>
          <t>Privately Held (backing)</t>
        </is>
      </c>
      <c r="H547" s="16" t="inlineStr">
        <is>
          <t>Angel-Backed</t>
        </is>
      </c>
      <c r="I547" s="17" t="inlineStr">
        <is>
          <t/>
        </is>
      </c>
      <c r="J547" s="18" t="inlineStr">
        <is>
          <t>www.tvtubex.com</t>
        </is>
      </c>
      <c r="K547" s="19" t="inlineStr">
        <is>
          <t/>
        </is>
      </c>
      <c r="L547" s="20" t="inlineStr">
        <is>
          <t>+1 (415) 861-3890</t>
        </is>
      </c>
      <c r="M547" s="21" t="inlineStr">
        <is>
          <t/>
        </is>
      </c>
      <c r="N547" s="22" t="inlineStr">
        <is>
          <t/>
        </is>
      </c>
      <c r="O547" s="23" t="inlineStr">
        <is>
          <t/>
        </is>
      </c>
      <c r="P547" s="24" t="inlineStr">
        <is>
          <t/>
        </is>
      </c>
      <c r="Q547" s="25" t="inlineStr">
        <is>
          <t/>
        </is>
      </c>
      <c r="R547" s="113">
        <f>HYPERLINK("https://my.pitchbook.com?c=89272-54", "View company online")</f>
      </c>
    </row>
    <row r="548">
      <c r="A548" s="27" t="inlineStr">
        <is>
          <t>117493-48</t>
        </is>
      </c>
      <c r="B548" s="28" t="inlineStr">
        <is>
          <t>TutorSync</t>
        </is>
      </c>
      <c r="C548" s="29" t="inlineStr">
        <is>
          <t>94539</t>
        </is>
      </c>
      <c r="D548" s="30" t="inlineStr">
        <is>
          <t>Provider of a one to one online tutoring platform. The company's software enables students across the nation with services ranging from everyday homework to helping them prepare for their examinations.</t>
        </is>
      </c>
      <c r="E548" s="31" t="inlineStr">
        <is>
          <t>Social/Platform Software</t>
        </is>
      </c>
      <c r="F548" s="32" t="inlineStr">
        <is>
          <t>Fremont, CA</t>
        </is>
      </c>
      <c r="G548" s="33" t="inlineStr">
        <is>
          <t>Privately Held (backing)</t>
        </is>
      </c>
      <c r="H548" s="34" t="inlineStr">
        <is>
          <t>Accelerator/Incubator Backed</t>
        </is>
      </c>
      <c r="I548" s="35" t="inlineStr">
        <is>
          <t>Peter Wyles, The LAUNCH Incubator</t>
        </is>
      </c>
      <c r="J548" s="36" t="inlineStr">
        <is>
          <t>www.tutorsync.com</t>
        </is>
      </c>
      <c r="K548" s="37" t="inlineStr">
        <is>
          <t/>
        </is>
      </c>
      <c r="L548" s="38" t="inlineStr">
        <is>
          <t/>
        </is>
      </c>
      <c r="M548" s="39" t="inlineStr">
        <is>
          <t>Rish Chhatre</t>
        </is>
      </c>
      <c r="N548" s="40" t="inlineStr">
        <is>
          <t>Co-Founder</t>
        </is>
      </c>
      <c r="O548" s="41" t="inlineStr">
        <is>
          <t>rish@tutorsync.com</t>
        </is>
      </c>
      <c r="P548" s="42" t="inlineStr">
        <is>
          <t/>
        </is>
      </c>
      <c r="Q548" s="43" t="n">
        <v>2015.0</v>
      </c>
      <c r="R548" s="114">
        <f>HYPERLINK("https://my.pitchbook.com?c=117493-48", "View company online")</f>
      </c>
    </row>
    <row r="549">
      <c r="A549" s="9" t="inlineStr">
        <is>
          <t>117809-20</t>
        </is>
      </c>
      <c r="B549" s="10" t="inlineStr">
        <is>
          <t>TutorMe.com</t>
        </is>
      </c>
      <c r="C549" s="85">
        <f>HYPERLINK("https://my.pitchbook.com?rrp=117809-20&amp;type=c", "This Company's information is not available to download. Need this Company? Request availability")</f>
      </c>
      <c r="D549" s="12" t="inlineStr">
        <is>
          <t/>
        </is>
      </c>
      <c r="E549" s="13" t="inlineStr">
        <is>
          <t/>
        </is>
      </c>
      <c r="F549" s="14" t="inlineStr">
        <is>
          <t/>
        </is>
      </c>
      <c r="G549" s="15" t="inlineStr">
        <is>
          <t/>
        </is>
      </c>
      <c r="H549" s="16" t="inlineStr">
        <is>
          <t/>
        </is>
      </c>
      <c r="I549" s="17" t="inlineStr">
        <is>
          <t/>
        </is>
      </c>
      <c r="J549" s="18" t="inlineStr">
        <is>
          <t/>
        </is>
      </c>
      <c r="K549" s="19" t="inlineStr">
        <is>
          <t/>
        </is>
      </c>
      <c r="L549" s="20" t="inlineStr">
        <is>
          <t/>
        </is>
      </c>
      <c r="M549" s="21" t="inlineStr">
        <is>
          <t/>
        </is>
      </c>
      <c r="N549" s="22" t="inlineStr">
        <is>
          <t/>
        </is>
      </c>
      <c r="O549" s="23" t="inlineStr">
        <is>
          <t/>
        </is>
      </c>
      <c r="P549" s="24" t="inlineStr">
        <is>
          <t/>
        </is>
      </c>
      <c r="Q549" s="25" t="inlineStr">
        <is>
          <t/>
        </is>
      </c>
      <c r="R549" s="26" t="inlineStr">
        <is>
          <t/>
        </is>
      </c>
    </row>
    <row r="550">
      <c r="A550" s="27" t="inlineStr">
        <is>
          <t>119355-22</t>
        </is>
      </c>
      <c r="B550" s="28" t="inlineStr">
        <is>
          <t>TuSimple</t>
        </is>
      </c>
      <c r="C550" s="29" t="inlineStr">
        <is>
          <t>100020</t>
        </is>
      </c>
      <c r="D550" s="30" t="inlineStr">
        <is>
          <t>Developer of autonomous driving technologies. The company speccalizes in the development of autonomous driving technologies using artificial intelligence for object recognition and driver assistance.</t>
        </is>
      </c>
      <c r="E550" s="31" t="inlineStr">
        <is>
          <t>Other Information Technology</t>
        </is>
      </c>
      <c r="F550" s="32" t="inlineStr">
        <is>
          <t>Beijing, China</t>
        </is>
      </c>
      <c r="G550" s="33" t="inlineStr">
        <is>
          <t>Privately Held (backing)</t>
        </is>
      </c>
      <c r="H550" s="34" t="inlineStr">
        <is>
          <t>Accelerator/Incubator Backed</t>
        </is>
      </c>
      <c r="I550" s="35" t="inlineStr">
        <is>
          <t>Microsoft Accelerator</t>
        </is>
      </c>
      <c r="J550" s="36" t="inlineStr">
        <is>
          <t>www.tusimple.com</t>
        </is>
      </c>
      <c r="K550" s="37" t="inlineStr">
        <is>
          <t>contact@tusimple.com</t>
        </is>
      </c>
      <c r="L550" s="38" t="inlineStr">
        <is>
          <t>+86 (0)10 5942 7595</t>
        </is>
      </c>
      <c r="M550" s="39" t="inlineStr">
        <is>
          <t>Mo Chen</t>
        </is>
      </c>
      <c r="N550" s="40" t="inlineStr">
        <is>
          <t>Co-Founder &amp; Chief Executive Officer</t>
        </is>
      </c>
      <c r="O550" s="41" t="inlineStr">
        <is>
          <t>mo.chen@tusimple.com</t>
        </is>
      </c>
      <c r="P550" s="42" t="inlineStr">
        <is>
          <t>+86 (0)10 5942 7595</t>
        </is>
      </c>
      <c r="Q550" s="43" t="inlineStr">
        <is>
          <t/>
        </is>
      </c>
      <c r="R550" s="114">
        <f>HYPERLINK("https://my.pitchbook.com?c=119355-22", "View company online")</f>
      </c>
    </row>
    <row r="551">
      <c r="A551" s="9" t="inlineStr">
        <is>
          <t>174641-23</t>
        </is>
      </c>
      <c r="B551" s="10" t="inlineStr">
        <is>
          <t>Turtle Creek Apparel</t>
        </is>
      </c>
      <c r="C551" s="85">
        <f>HYPERLINK("https://my.pitchbook.com?rrp=174641-23&amp;type=c", "This Company's information is not available to download. Need this Company? Request availability")</f>
      </c>
      <c r="D551" s="12" t="inlineStr">
        <is>
          <t/>
        </is>
      </c>
      <c r="E551" s="13" t="inlineStr">
        <is>
          <t/>
        </is>
      </c>
      <c r="F551" s="14" t="inlineStr">
        <is>
          <t/>
        </is>
      </c>
      <c r="G551" s="15" t="inlineStr">
        <is>
          <t/>
        </is>
      </c>
      <c r="H551" s="16" t="inlineStr">
        <is>
          <t/>
        </is>
      </c>
      <c r="I551" s="17" t="inlineStr">
        <is>
          <t/>
        </is>
      </c>
      <c r="J551" s="18" t="inlineStr">
        <is>
          <t/>
        </is>
      </c>
      <c r="K551" s="19" t="inlineStr">
        <is>
          <t/>
        </is>
      </c>
      <c r="L551" s="20" t="inlineStr">
        <is>
          <t/>
        </is>
      </c>
      <c r="M551" s="21" t="inlineStr">
        <is>
          <t/>
        </is>
      </c>
      <c r="N551" s="22" t="inlineStr">
        <is>
          <t/>
        </is>
      </c>
      <c r="O551" s="23" t="inlineStr">
        <is>
          <t/>
        </is>
      </c>
      <c r="P551" s="24" t="inlineStr">
        <is>
          <t/>
        </is>
      </c>
      <c r="Q551" s="25" t="inlineStr">
        <is>
          <t/>
        </is>
      </c>
      <c r="R551" s="26" t="inlineStr">
        <is>
          <t/>
        </is>
      </c>
    </row>
    <row r="552">
      <c r="A552" s="27" t="inlineStr">
        <is>
          <t>170730-91</t>
        </is>
      </c>
      <c r="B552" s="28" t="inlineStr">
        <is>
          <t>Turnoutt</t>
        </is>
      </c>
      <c r="C552" s="29" t="inlineStr">
        <is>
          <t>90401</t>
        </is>
      </c>
      <c r="D552" s="30" t="inlineStr">
        <is>
          <t>Developer of a social networking mobile application designed to help users to be view-able on an universal map. The company's social networking mobile application divides the map into quadrants with counters, enabling users to obtain usable information when viewing large populations of people.</t>
        </is>
      </c>
      <c r="E552" s="31" t="inlineStr">
        <is>
          <t>Social Content</t>
        </is>
      </c>
      <c r="F552" s="32" t="inlineStr">
        <is>
          <t>Santa Monica, CA</t>
        </is>
      </c>
      <c r="G552" s="33" t="inlineStr">
        <is>
          <t>Privately Held (backing)</t>
        </is>
      </c>
      <c r="H552" s="34" t="inlineStr">
        <is>
          <t>Angel-Backed</t>
        </is>
      </c>
      <c r="I552" s="35" t="inlineStr">
        <is>
          <t/>
        </is>
      </c>
      <c r="J552" s="36" t="inlineStr">
        <is>
          <t>www.turnoutt.com</t>
        </is>
      </c>
      <c r="K552" s="37" t="inlineStr">
        <is>
          <t/>
        </is>
      </c>
      <c r="L552" s="38" t="inlineStr">
        <is>
          <t>+1 (310) 981-8103</t>
        </is>
      </c>
      <c r="M552" s="39" t="inlineStr">
        <is>
          <t>Sean Tasdemiroglu</t>
        </is>
      </c>
      <c r="N552" s="40" t="inlineStr">
        <is>
          <t>Executive</t>
        </is>
      </c>
      <c r="O552" s="41" t="inlineStr">
        <is>
          <t>sean.tasdemir@turnoutt.com</t>
        </is>
      </c>
      <c r="P552" s="42" t="inlineStr">
        <is>
          <t>+1 (310) 981-8103</t>
        </is>
      </c>
      <c r="Q552" s="43" t="n">
        <v>2016.0</v>
      </c>
      <c r="R552" s="114">
        <f>HYPERLINK("https://my.pitchbook.com?c=170730-91", "View company online")</f>
      </c>
    </row>
    <row r="553">
      <c r="A553" s="9" t="inlineStr">
        <is>
          <t>148076-83</t>
        </is>
      </c>
      <c r="B553" s="10" t="inlineStr">
        <is>
          <t>Turing Technology</t>
        </is>
      </c>
      <c r="C553" s="11" t="inlineStr">
        <is>
          <t>94062</t>
        </is>
      </c>
      <c r="D553" s="12" t="inlineStr">
        <is>
          <t>Provider of a suite of productivity tools for email, chat and task management. The company offers cloud based software tools for professionals to help them with daily tasks such as email, chat, tasks, calendar, contacts and notes.</t>
        </is>
      </c>
      <c r="E553" s="13" t="inlineStr">
        <is>
          <t>Business/Productivity Software</t>
        </is>
      </c>
      <c r="F553" s="14" t="inlineStr">
        <is>
          <t>Woodside, CA</t>
        </is>
      </c>
      <c r="G553" s="15" t="inlineStr">
        <is>
          <t>Privately Held (backing)</t>
        </is>
      </c>
      <c r="H553" s="16" t="inlineStr">
        <is>
          <t>Angel-Backed</t>
        </is>
      </c>
      <c r="I553" s="17" t="inlineStr">
        <is>
          <t>Reid Dennis, Timothy Draper</t>
        </is>
      </c>
      <c r="J553" s="18" t="inlineStr">
        <is>
          <t>www.turingemail.com</t>
        </is>
      </c>
      <c r="K553" s="19" t="inlineStr">
        <is>
          <t>info@turinginc.com</t>
        </is>
      </c>
      <c r="L553" s="20" t="inlineStr">
        <is>
          <t>+1 (855) 688-7464</t>
        </is>
      </c>
      <c r="M553" s="21" t="inlineStr">
        <is>
          <t>Stewart Dennis</t>
        </is>
      </c>
      <c r="N553" s="22" t="inlineStr">
        <is>
          <t>Co-Founder, Chief Technology Officer &amp; Chief Executive Officer</t>
        </is>
      </c>
      <c r="O553" s="23" t="inlineStr">
        <is>
          <t>stewart@turinginc.com</t>
        </is>
      </c>
      <c r="P553" s="24" t="inlineStr">
        <is>
          <t>+1 (855) 688-7464</t>
        </is>
      </c>
      <c r="Q553" s="25" t="n">
        <v>2014.0</v>
      </c>
      <c r="R553" s="113">
        <f>HYPERLINK("https://my.pitchbook.com?c=148076-83", "View company online")</f>
      </c>
    </row>
    <row r="554">
      <c r="A554" s="27" t="inlineStr">
        <is>
          <t>150959-80</t>
        </is>
      </c>
      <c r="B554" s="28" t="inlineStr">
        <is>
          <t>Tunesmap</t>
        </is>
      </c>
      <c r="C554" s="29" t="inlineStr">
        <is>
          <t>90272</t>
        </is>
      </c>
      <c r="D554" s="30" t="inlineStr">
        <is>
          <t>Provider of an online platform for music lovers. The company's platform offers music lovers to explore and share their favorite music and also invite their friends.</t>
        </is>
      </c>
      <c r="E554" s="31" t="inlineStr">
        <is>
          <t>Movies, Music and Entertainment</t>
        </is>
      </c>
      <c r="F554" s="32" t="inlineStr">
        <is>
          <t>Pacific Palisades, CA</t>
        </is>
      </c>
      <c r="G554" s="33" t="inlineStr">
        <is>
          <t>Privately Held (backing)</t>
        </is>
      </c>
      <c r="H554" s="34" t="inlineStr">
        <is>
          <t>Angel-Backed</t>
        </is>
      </c>
      <c r="I554" s="35" t="inlineStr">
        <is>
          <t/>
        </is>
      </c>
      <c r="J554" s="36" t="inlineStr">
        <is>
          <t>www.tunesmap.com</t>
        </is>
      </c>
      <c r="K554" s="37" t="inlineStr">
        <is>
          <t/>
        </is>
      </c>
      <c r="L554" s="38" t="inlineStr">
        <is>
          <t>+1 (310) 454-1280</t>
        </is>
      </c>
      <c r="M554" s="39" t="inlineStr">
        <is>
          <t>Gilbert Roswell</t>
        </is>
      </c>
      <c r="N554" s="40" t="inlineStr">
        <is>
          <t>Founder &amp; Chief Executive Officer</t>
        </is>
      </c>
      <c r="O554" s="41" t="inlineStr">
        <is>
          <t>gilbert.m.roswell@tunesmap.com</t>
        </is>
      </c>
      <c r="P554" s="42" t="inlineStr">
        <is>
          <t>+1 (310) 454-1280</t>
        </is>
      </c>
      <c r="Q554" s="43" t="n">
        <v>2008.0</v>
      </c>
      <c r="R554" s="114">
        <f>HYPERLINK("https://my.pitchbook.com?c=150959-80", "View company online")</f>
      </c>
    </row>
    <row r="555">
      <c r="A555" s="9" t="inlineStr">
        <is>
          <t>176317-30</t>
        </is>
      </c>
      <c r="B555" s="10" t="inlineStr">
        <is>
          <t>TuMee</t>
        </is>
      </c>
      <c r="C555" s="85">
        <f>HYPERLINK("https://my.pitchbook.com?rrp=176317-30&amp;type=c", "This Company's information is not available to download. Need this Company? Request availability")</f>
      </c>
      <c r="D555" s="12" t="inlineStr">
        <is>
          <t/>
        </is>
      </c>
      <c r="E555" s="13" t="inlineStr">
        <is>
          <t/>
        </is>
      </c>
      <c r="F555" s="14" t="inlineStr">
        <is>
          <t/>
        </is>
      </c>
      <c r="G555" s="15" t="inlineStr">
        <is>
          <t/>
        </is>
      </c>
      <c r="H555" s="16" t="inlineStr">
        <is>
          <t/>
        </is>
      </c>
      <c r="I555" s="17" t="inlineStr">
        <is>
          <t/>
        </is>
      </c>
      <c r="J555" s="18" t="inlineStr">
        <is>
          <t/>
        </is>
      </c>
      <c r="K555" s="19" t="inlineStr">
        <is>
          <t/>
        </is>
      </c>
      <c r="L555" s="20" t="inlineStr">
        <is>
          <t/>
        </is>
      </c>
      <c r="M555" s="21" t="inlineStr">
        <is>
          <t/>
        </is>
      </c>
      <c r="N555" s="22" t="inlineStr">
        <is>
          <t/>
        </is>
      </c>
      <c r="O555" s="23" t="inlineStr">
        <is>
          <t/>
        </is>
      </c>
      <c r="P555" s="24" t="inlineStr">
        <is>
          <t/>
        </is>
      </c>
      <c r="Q555" s="25" t="inlineStr">
        <is>
          <t/>
        </is>
      </c>
      <c r="R555" s="26" t="inlineStr">
        <is>
          <t/>
        </is>
      </c>
    </row>
    <row r="556">
      <c r="A556" s="27" t="inlineStr">
        <is>
          <t>161636-23</t>
        </is>
      </c>
      <c r="B556" s="28" t="inlineStr">
        <is>
          <t>Tueo Health</t>
        </is>
      </c>
      <c r="C556" s="29" t="inlineStr">
        <is>
          <t>94061</t>
        </is>
      </c>
      <c r="D556" s="30" t="inlineStr">
        <is>
          <t>Developer of an asthma monitoring system designed to improve asthma control in children. The company's application ingerated monitoring system uses a contactless sensor for monitoring and controlling of Asthma, enabling patients and their families to measure treatment progress and outcomes.</t>
        </is>
      </c>
      <c r="E556" s="31" t="inlineStr">
        <is>
          <t>Monitoring Equipment</t>
        </is>
      </c>
      <c r="F556" s="32" t="inlineStr">
        <is>
          <t>Redwood City, CA</t>
        </is>
      </c>
      <c r="G556" s="33" t="inlineStr">
        <is>
          <t>Privately Held (backing)</t>
        </is>
      </c>
      <c r="H556" s="34" t="inlineStr">
        <is>
          <t>Accelerator/Incubator Backed</t>
        </is>
      </c>
      <c r="I556" s="35" t="inlineStr">
        <is>
          <t>A-Level Capital, MedTech Innovator, Plug and Play Tech Center</t>
        </is>
      </c>
      <c r="J556" s="36" t="inlineStr">
        <is>
          <t>www.tueohealth.com</t>
        </is>
      </c>
      <c r="K556" s="37" t="inlineStr">
        <is>
          <t/>
        </is>
      </c>
      <c r="L556" s="38" t="inlineStr">
        <is>
          <t>+1 (719) 314-8045</t>
        </is>
      </c>
      <c r="M556" s="39" t="inlineStr">
        <is>
          <t>Bronwyn Harris</t>
        </is>
      </c>
      <c r="N556" s="40" t="inlineStr">
        <is>
          <t>Co-Founder, Board Member &amp; Chief Executive Officer</t>
        </is>
      </c>
      <c r="O556" s="41" t="inlineStr">
        <is>
          <t>bharris@tueohealth.com</t>
        </is>
      </c>
      <c r="P556" s="42" t="inlineStr">
        <is>
          <t>+1 (719) 314-8045</t>
        </is>
      </c>
      <c r="Q556" s="43" t="n">
        <v>2015.0</v>
      </c>
      <c r="R556" s="114">
        <f>HYPERLINK("https://my.pitchbook.com?c=161636-23", "View company online")</f>
      </c>
    </row>
    <row r="557">
      <c r="A557" s="9" t="inlineStr">
        <is>
          <t>93119-32</t>
        </is>
      </c>
      <c r="B557" s="10" t="inlineStr">
        <is>
          <t>Tuebora</t>
        </is>
      </c>
      <c r="C557" s="11" t="inlineStr">
        <is>
          <t>95054</t>
        </is>
      </c>
      <c r="D557" s="12" t="inlineStr">
        <is>
          <t>Provider of a real time identity and access management platform. The company's software offers cloud based identity and access governance services to suffice the needs of organizations.</t>
        </is>
      </c>
      <c r="E557" s="13" t="inlineStr">
        <is>
          <t>Social/Platform Software</t>
        </is>
      </c>
      <c r="F557" s="14" t="inlineStr">
        <is>
          <t>Santa Clara, CA</t>
        </is>
      </c>
      <c r="G557" s="15" t="inlineStr">
        <is>
          <t>Privately Held (backing)</t>
        </is>
      </c>
      <c r="H557" s="16" t="inlineStr">
        <is>
          <t>Accelerator/Incubator Backed</t>
        </is>
      </c>
      <c r="I557" s="17" t="inlineStr">
        <is>
          <t>Citrix Startup Accelerator, Microsoft Accelerator, Ravi Gururaj</t>
        </is>
      </c>
      <c r="J557" s="18" t="inlineStr">
        <is>
          <t>www.tuebora.com</t>
        </is>
      </c>
      <c r="K557" s="19" t="inlineStr">
        <is>
          <t>info@tuebora.com</t>
        </is>
      </c>
      <c r="L557" s="20" t="inlineStr">
        <is>
          <t>+1 (844) 708-4941</t>
        </is>
      </c>
      <c r="M557" s="21" t="inlineStr">
        <is>
          <t>Sanjay Nadimpalli</t>
        </is>
      </c>
      <c r="N557" s="22" t="inlineStr">
        <is>
          <t>Founder, Chief Executive Officer &amp; President</t>
        </is>
      </c>
      <c r="O557" s="23" t="inlineStr">
        <is>
          <t>sanjay@tuebora.com</t>
        </is>
      </c>
      <c r="P557" s="24" t="inlineStr">
        <is>
          <t>+1 (844) 708-4941</t>
        </is>
      </c>
      <c r="Q557" s="25" t="n">
        <v>2011.0</v>
      </c>
      <c r="R557" s="113">
        <f>HYPERLINK("https://my.pitchbook.com?c=93119-32", "View company online")</f>
      </c>
    </row>
    <row r="558">
      <c r="A558" s="27" t="inlineStr">
        <is>
          <t>158245-93</t>
        </is>
      </c>
      <c r="B558" s="28" t="inlineStr">
        <is>
          <t>Tudott</t>
        </is>
      </c>
      <c r="C558" s="29" t="inlineStr">
        <is>
          <t>92058</t>
        </is>
      </c>
      <c r="D558" s="30" t="inlineStr">
        <is>
          <t>Provider of an peer-to-peer import marketplace. The company offers an online shopping platform for overseas products which connects travelers and shoppers around the world.</t>
        </is>
      </c>
      <c r="E558" s="31" t="inlineStr">
        <is>
          <t>Social/Platform Software</t>
        </is>
      </c>
      <c r="F558" s="32" t="inlineStr">
        <is>
          <t>Oceanside, CA</t>
        </is>
      </c>
      <c r="G558" s="33" t="inlineStr">
        <is>
          <t>Privately Held (backing)</t>
        </is>
      </c>
      <c r="H558" s="34" t="inlineStr">
        <is>
          <t>Angel-Backed</t>
        </is>
      </c>
      <c r="I558" s="35" t="inlineStr">
        <is>
          <t/>
        </is>
      </c>
      <c r="J558" s="36" t="inlineStr">
        <is>
          <t>www.tudott.com</t>
        </is>
      </c>
      <c r="K558" s="37" t="inlineStr">
        <is>
          <t>hello@tudott.com</t>
        </is>
      </c>
      <c r="L558" s="38" t="inlineStr">
        <is>
          <t>+1 (760) 547-4482</t>
        </is>
      </c>
      <c r="M558" s="39" t="inlineStr">
        <is>
          <t>Miranda So</t>
        </is>
      </c>
      <c r="N558" s="40" t="inlineStr">
        <is>
          <t>Co-Founder</t>
        </is>
      </c>
      <c r="O558" s="41" t="inlineStr">
        <is>
          <t>miranda@tudott.com</t>
        </is>
      </c>
      <c r="P558" s="42" t="inlineStr">
        <is>
          <t>+1 (760) 547-4482</t>
        </is>
      </c>
      <c r="Q558" s="43" t="n">
        <v>2015.0</v>
      </c>
      <c r="R558" s="114">
        <f>HYPERLINK("https://my.pitchbook.com?c=158245-93", "View company online")</f>
      </c>
    </row>
    <row r="559">
      <c r="A559" s="9" t="inlineStr">
        <is>
          <t>95500-09</t>
        </is>
      </c>
      <c r="B559" s="10" t="inlineStr">
        <is>
          <t>TubeStart</t>
        </is>
      </c>
      <c r="C559" s="11" t="inlineStr">
        <is>
          <t>90403</t>
        </is>
      </c>
      <c r="D559" s="12" t="inlineStr">
        <is>
          <t>Operator of an online crowdfunding platform. The company provides subscription based crowdfunding services for online film and video creators. It helps the digital video creators to raise money for their videos from their fans and followers.</t>
        </is>
      </c>
      <c r="E559" s="13" t="inlineStr">
        <is>
          <t>Other Financial Services</t>
        </is>
      </c>
      <c r="F559" s="14" t="inlineStr">
        <is>
          <t>Santa Monica, CA</t>
        </is>
      </c>
      <c r="G559" s="15" t="inlineStr">
        <is>
          <t>Privately Held (backing)</t>
        </is>
      </c>
      <c r="H559" s="16" t="inlineStr">
        <is>
          <t>Angel-Backed</t>
        </is>
      </c>
      <c r="I559" s="17" t="inlineStr">
        <is>
          <t>Vet-Tech Accelerator</t>
        </is>
      </c>
      <c r="J559" s="18" t="inlineStr">
        <is>
          <t>www.tubestart.com</t>
        </is>
      </c>
      <c r="K559" s="19" t="inlineStr">
        <is>
          <t>support@tubestart.com</t>
        </is>
      </c>
      <c r="L559" s="20" t="inlineStr">
        <is>
          <t/>
        </is>
      </c>
      <c r="M559" s="21" t="inlineStr">
        <is>
          <t>Josef Holm</t>
        </is>
      </c>
      <c r="N559" s="22" t="inlineStr">
        <is>
          <t>Co-Founder &amp; Chief Executive Officer</t>
        </is>
      </c>
      <c r="O559" s="23" t="inlineStr">
        <is>
          <t>josef@krowdster.co</t>
        </is>
      </c>
      <c r="P559" s="24" t="inlineStr">
        <is>
          <t/>
        </is>
      </c>
      <c r="Q559" s="25" t="n">
        <v>2013.0</v>
      </c>
      <c r="R559" s="113">
        <f>HYPERLINK("https://my.pitchbook.com?c=95500-09", "View company online")</f>
      </c>
    </row>
    <row r="560">
      <c r="A560" s="27" t="inlineStr">
        <is>
          <t>109407-79</t>
        </is>
      </c>
      <c r="B560" s="28" t="inlineStr">
        <is>
          <t>TubeScience</t>
        </is>
      </c>
      <c r="C560" s="29" t="inlineStr">
        <is>
          <t>94105</t>
        </is>
      </c>
      <c r="D560" s="30" t="inlineStr">
        <is>
          <t>Provider of algorithmic strategies for video platform. The company helps the brands to predict which video ads and influencer campaigns will generate audience engagement and many more.</t>
        </is>
      </c>
      <c r="E560" s="31" t="inlineStr">
        <is>
          <t>Other IT Services</t>
        </is>
      </c>
      <c r="F560" s="32" t="inlineStr">
        <is>
          <t>San Francisco, CA</t>
        </is>
      </c>
      <c r="G560" s="33" t="inlineStr">
        <is>
          <t>Privately Held (backing)</t>
        </is>
      </c>
      <c r="H560" s="34" t="inlineStr">
        <is>
          <t>Accelerator/Incubator Backed</t>
        </is>
      </c>
      <c r="I560" s="35" t="inlineStr">
        <is>
          <t>Orange Fab</t>
        </is>
      </c>
      <c r="J560" s="36" t="inlineStr">
        <is>
          <t>www.tubeScience.com</t>
        </is>
      </c>
      <c r="K560" s="37" t="inlineStr">
        <is>
          <t>info@tubescience.com</t>
        </is>
      </c>
      <c r="L560" s="38" t="inlineStr">
        <is>
          <t>+1 (202) 421-9769</t>
        </is>
      </c>
      <c r="M560" s="39" t="inlineStr">
        <is>
          <t>Leonid Beder</t>
        </is>
      </c>
      <c r="N560" s="40" t="inlineStr">
        <is>
          <t>Co-Founder &amp; Chief Technology Officer</t>
        </is>
      </c>
      <c r="O560" s="41" t="inlineStr">
        <is>
          <t/>
        </is>
      </c>
      <c r="P560" s="42" t="inlineStr">
        <is>
          <t>+1 (202) 421-9769</t>
        </is>
      </c>
      <c r="Q560" s="43" t="n">
        <v>2014.0</v>
      </c>
      <c r="R560" s="114">
        <f>HYPERLINK("https://my.pitchbook.com?c=109407-79", "View company online")</f>
      </c>
    </row>
    <row r="561">
      <c r="A561" s="9" t="inlineStr">
        <is>
          <t>169747-84</t>
        </is>
      </c>
      <c r="B561" s="10" t="inlineStr">
        <is>
          <t>Tsunami VR</t>
        </is>
      </c>
      <c r="C561" s="11" t="inlineStr">
        <is>
          <t>92014</t>
        </is>
      </c>
      <c r="D561" s="12" t="inlineStr">
        <is>
          <t>Developer of Virtual Reality and Augmented Reality applications designed to change the way companies collaborate and communicate tasks. The company's Virtual Reality and Augmented Reality applications help in usage of sight, sound and touch to immerse users in a manufactured world, enabling companies to improve decision making, reduce sales cycles, deepen engagement and increase revenue.</t>
        </is>
      </c>
      <c r="E561" s="13" t="inlineStr">
        <is>
          <t>Business/Productivity Software</t>
        </is>
      </c>
      <c r="F561" s="14" t="inlineStr">
        <is>
          <t>Del Mar, CA</t>
        </is>
      </c>
      <c r="G561" s="15" t="inlineStr">
        <is>
          <t>Privately Held (backing)</t>
        </is>
      </c>
      <c r="H561" s="16" t="inlineStr">
        <is>
          <t>Angel-Backed</t>
        </is>
      </c>
      <c r="I561" s="17" t="inlineStr">
        <is>
          <t/>
        </is>
      </c>
      <c r="J561" s="18" t="inlineStr">
        <is>
          <t>www.tsunamivr.com</t>
        </is>
      </c>
      <c r="K561" s="19" t="inlineStr">
        <is>
          <t>info@tsunamivr.com</t>
        </is>
      </c>
      <c r="L561" s="20" t="inlineStr">
        <is>
          <t>+1 (646) 714-7700</t>
        </is>
      </c>
      <c r="M561" s="21" t="inlineStr">
        <is>
          <t>Mike Shambach</t>
        </is>
      </c>
      <c r="N561" s="22" t="inlineStr">
        <is>
          <t>Chief Financial Officer</t>
        </is>
      </c>
      <c r="O561" s="23" t="inlineStr">
        <is>
          <t>mike.shambach@tsunamivr.com</t>
        </is>
      </c>
      <c r="P561" s="24" t="inlineStr">
        <is>
          <t>+1 (646) 714-7700</t>
        </is>
      </c>
      <c r="Q561" s="25" t="n">
        <v>2016.0</v>
      </c>
      <c r="R561" s="113">
        <f>HYPERLINK("https://my.pitchbook.com?c=169747-84", "View company online")</f>
      </c>
    </row>
    <row r="562">
      <c r="A562" s="27" t="inlineStr">
        <is>
          <t>89238-16</t>
        </is>
      </c>
      <c r="B562" s="28" t="inlineStr">
        <is>
          <t>TSN Advertising</t>
        </is>
      </c>
      <c r="C562" s="29" t="inlineStr">
        <is>
          <t>90401</t>
        </is>
      </c>
      <c r="D562" s="30" t="inlineStr">
        <is>
          <t>Developer of a platform for truck-side advertising campaigns. The company provides advertising trucks across the country that provides billboard branding without the billboard pricing.</t>
        </is>
      </c>
      <c r="E562" s="31" t="inlineStr">
        <is>
          <t>Social/Platform Software</t>
        </is>
      </c>
      <c r="F562" s="32" t="inlineStr">
        <is>
          <t>Santa Monica, CA</t>
        </is>
      </c>
      <c r="G562" s="33" t="inlineStr">
        <is>
          <t>Privately Held (backing)</t>
        </is>
      </c>
      <c r="H562" s="34" t="inlineStr">
        <is>
          <t>Accelerator/Incubator Backed</t>
        </is>
      </c>
      <c r="I562" s="35" t="inlineStr">
        <is>
          <t>Curious Minds</t>
        </is>
      </c>
      <c r="J562" s="36" t="inlineStr">
        <is>
          <t>www.tsnadvertising.com</t>
        </is>
      </c>
      <c r="K562" s="37" t="inlineStr">
        <is>
          <t>contact@tsnadvertising.com</t>
        </is>
      </c>
      <c r="L562" s="38" t="inlineStr">
        <is>
          <t>+1 (888) 496-4850</t>
        </is>
      </c>
      <c r="M562" s="39" t="inlineStr">
        <is>
          <t>Eric Zdenek</t>
        </is>
      </c>
      <c r="N562" s="40" t="inlineStr">
        <is>
          <t>Chief Executive Officer &amp; Founder</t>
        </is>
      </c>
      <c r="O562" s="41" t="inlineStr">
        <is>
          <t>eric@tsnadvertising.com</t>
        </is>
      </c>
      <c r="P562" s="42" t="inlineStr">
        <is>
          <t>+1 (888) 496-4850</t>
        </is>
      </c>
      <c r="Q562" s="43" t="n">
        <v>2011.0</v>
      </c>
      <c r="R562" s="114">
        <f>HYPERLINK("https://my.pitchbook.com?c=89238-16", "View company online")</f>
      </c>
    </row>
    <row r="563">
      <c r="A563" s="9" t="inlineStr">
        <is>
          <t>89237-89</t>
        </is>
      </c>
      <c r="B563" s="10" t="inlineStr">
        <is>
          <t>TSG Solutions</t>
        </is>
      </c>
      <c r="C563" s="11" t="inlineStr">
        <is>
          <t>92010</t>
        </is>
      </c>
      <c r="D563" s="12" t="inlineStr">
        <is>
          <t>Provider of infrastructure security and technology services. The company provides services that enhance customers physical and digital security posture.</t>
        </is>
      </c>
      <c r="E563" s="13" t="inlineStr">
        <is>
          <t>Systems and Information Management</t>
        </is>
      </c>
      <c r="F563" s="14" t="inlineStr">
        <is>
          <t>Carlsbad, CA</t>
        </is>
      </c>
      <c r="G563" s="15" t="inlineStr">
        <is>
          <t>Privately Held (backing)</t>
        </is>
      </c>
      <c r="H563" s="16" t="inlineStr">
        <is>
          <t>Angel-Backed</t>
        </is>
      </c>
      <c r="I563" s="17" t="inlineStr">
        <is>
          <t>Kratos Defense &amp; Security Solutions</t>
        </is>
      </c>
      <c r="J563" s="18" t="inlineStr">
        <is>
          <t>www.tsgsinc.com</t>
        </is>
      </c>
      <c r="K563" s="19" t="inlineStr">
        <is>
          <t>fb@tsgsinc.com</t>
        </is>
      </c>
      <c r="L563" s="20" t="inlineStr">
        <is>
          <t>+1 (909) 475-4080</t>
        </is>
      </c>
      <c r="M563" s="21" t="inlineStr">
        <is>
          <t>John Iffland</t>
        </is>
      </c>
      <c r="N563" s="22" t="inlineStr">
        <is>
          <t>Chief Executive Officer &amp; Chairman</t>
        </is>
      </c>
      <c r="O563" s="23" t="inlineStr">
        <is>
          <t>john@tsgsinc.com</t>
        </is>
      </c>
      <c r="P563" s="24" t="inlineStr">
        <is>
          <t>+1 (909) 475-4080</t>
        </is>
      </c>
      <c r="Q563" s="25" t="n">
        <v>2001.0</v>
      </c>
      <c r="R563" s="113">
        <f>HYPERLINK("https://my.pitchbook.com?c=89237-89", "View company online")</f>
      </c>
    </row>
    <row r="564">
      <c r="A564" s="27" t="inlineStr">
        <is>
          <t>129273-22</t>
        </is>
      </c>
      <c r="B564" s="28" t="inlineStr">
        <is>
          <t>TryThisFirst</t>
        </is>
      </c>
      <c r="C564" s="29" t="inlineStr">
        <is>
          <t>94705</t>
        </is>
      </c>
      <c r="D564" s="30" t="inlineStr">
        <is>
          <t>The company currently operates in Stealth Mode.</t>
        </is>
      </c>
      <c r="E564" s="31" t="inlineStr">
        <is>
          <t>Other Business Products and Services</t>
        </is>
      </c>
      <c r="F564" s="32" t="inlineStr">
        <is>
          <t>Berkeley, CA</t>
        </is>
      </c>
      <c r="G564" s="33" t="inlineStr">
        <is>
          <t>Privately Held (backing)</t>
        </is>
      </c>
      <c r="H564" s="34" t="inlineStr">
        <is>
          <t>Angel-Backed</t>
        </is>
      </c>
      <c r="I564" s="35" t="inlineStr">
        <is>
          <t/>
        </is>
      </c>
      <c r="J564" s="36" t="inlineStr">
        <is>
          <t/>
        </is>
      </c>
      <c r="K564" s="37" t="inlineStr">
        <is>
          <t/>
        </is>
      </c>
      <c r="L564" s="38" t="inlineStr">
        <is>
          <t>+1 (650) 876-6664</t>
        </is>
      </c>
      <c r="M564" s="39" t="inlineStr">
        <is>
          <t>Gordon Rogers</t>
        </is>
      </c>
      <c r="N564" s="40" t="inlineStr">
        <is>
          <t>Chief Executive Officer &amp; Board Member</t>
        </is>
      </c>
      <c r="O564" s="41" t="inlineStr">
        <is>
          <t/>
        </is>
      </c>
      <c r="P564" s="42" t="inlineStr">
        <is>
          <t>+1 (650) 876-6664</t>
        </is>
      </c>
      <c r="Q564" s="43" t="n">
        <v>2011.0</v>
      </c>
      <c r="R564" s="114">
        <f>HYPERLINK("https://my.pitchbook.com?c=129273-22", "View company online")</f>
      </c>
    </row>
    <row r="565">
      <c r="A565" s="9" t="inlineStr">
        <is>
          <t>171694-54</t>
        </is>
      </c>
      <c r="B565" s="10" t="inlineStr">
        <is>
          <t>TRYSTEVE</t>
        </is>
      </c>
      <c r="C565" s="85">
        <f>HYPERLINK("https://my.pitchbook.com?rrp=171694-54&amp;type=c", "This Company's information is not available to download. Need this Company? Request availability")</f>
      </c>
      <c r="D565" s="12" t="inlineStr">
        <is>
          <t/>
        </is>
      </c>
      <c r="E565" s="13" t="inlineStr">
        <is>
          <t/>
        </is>
      </c>
      <c r="F565" s="14" t="inlineStr">
        <is>
          <t/>
        </is>
      </c>
      <c r="G565" s="15" t="inlineStr">
        <is>
          <t/>
        </is>
      </c>
      <c r="H565" s="16" t="inlineStr">
        <is>
          <t/>
        </is>
      </c>
      <c r="I565" s="17" t="inlineStr">
        <is>
          <t/>
        </is>
      </c>
      <c r="J565" s="18" t="inlineStr">
        <is>
          <t/>
        </is>
      </c>
      <c r="K565" s="19" t="inlineStr">
        <is>
          <t/>
        </is>
      </c>
      <c r="L565" s="20" t="inlineStr">
        <is>
          <t/>
        </is>
      </c>
      <c r="M565" s="21" t="inlineStr">
        <is>
          <t/>
        </is>
      </c>
      <c r="N565" s="22" t="inlineStr">
        <is>
          <t/>
        </is>
      </c>
      <c r="O565" s="23" t="inlineStr">
        <is>
          <t/>
        </is>
      </c>
      <c r="P565" s="24" t="inlineStr">
        <is>
          <t/>
        </is>
      </c>
      <c r="Q565" s="25" t="inlineStr">
        <is>
          <t/>
        </is>
      </c>
      <c r="R565" s="26" t="inlineStr">
        <is>
          <t/>
        </is>
      </c>
    </row>
    <row r="566">
      <c r="A566" s="27" t="inlineStr">
        <is>
          <t>95301-55</t>
        </is>
      </c>
      <c r="B566" s="28" t="inlineStr">
        <is>
          <t>Tryolabs</t>
        </is>
      </c>
      <c r="C566" s="29" t="inlineStr">
        <is>
          <t>94103</t>
        </is>
      </c>
      <c r="D566" s="30" t="inlineStr">
        <is>
          <t>Developer of Web applications with artificial intelligence components. The company specializes in the design and development of artificial intelligence based systems for startups.</t>
        </is>
      </c>
      <c r="E566" s="31" t="inlineStr">
        <is>
          <t>Systems and Information Management</t>
        </is>
      </c>
      <c r="F566" s="32" t="inlineStr">
        <is>
          <t>San Francisco, CA</t>
        </is>
      </c>
      <c r="G566" s="33" t="inlineStr">
        <is>
          <t>Privately Held (backing)</t>
        </is>
      </c>
      <c r="H566" s="34" t="inlineStr">
        <is>
          <t>Angel-Backed</t>
        </is>
      </c>
      <c r="I566" s="35" t="inlineStr">
        <is>
          <t>Eduardo Mangarelli</t>
        </is>
      </c>
      <c r="J566" s="36" t="inlineStr">
        <is>
          <t>www.tryolabs.com</t>
        </is>
      </c>
      <c r="K566" s="37" t="inlineStr">
        <is>
          <t>hello@tryolabs.com</t>
        </is>
      </c>
      <c r="L566" s="38" t="inlineStr">
        <is>
          <t>+1 (415) 429-3887</t>
        </is>
      </c>
      <c r="M566" s="39" t="inlineStr">
        <is>
          <t>Martín Alcalá Rubí</t>
        </is>
      </c>
      <c r="N566" s="40" t="inlineStr">
        <is>
          <t>Co-Founder &amp; Chief Executive Officer</t>
        </is>
      </c>
      <c r="O566" s="41" t="inlineStr">
        <is>
          <t>martin@monkeylearn.com</t>
        </is>
      </c>
      <c r="P566" s="42" t="inlineStr">
        <is>
          <t/>
        </is>
      </c>
      <c r="Q566" s="43" t="n">
        <v>2009.0</v>
      </c>
      <c r="R566" s="114">
        <f>HYPERLINK("https://my.pitchbook.com?c=95301-55", "View company online")</f>
      </c>
    </row>
    <row r="567">
      <c r="A567" s="9" t="inlineStr">
        <is>
          <t>144854-38</t>
        </is>
      </c>
      <c r="B567" s="10" t="inlineStr">
        <is>
          <t>Truworth Wellness</t>
        </is>
      </c>
      <c r="C567" s="11" t="inlineStr">
        <is>
          <t>302001</t>
        </is>
      </c>
      <c r="D567" s="12" t="inlineStr">
        <is>
          <t>Owner and operator of a corporate wellness company intended to provide workplace wellness services. The company's Web and mobile engagement platform offers corporate wellness programs by permitting users to order healthy, nutritionally-balanced meals that match their personal nutrition requirements, enabling corporate employees to boost the productivity of their organization and also achieve corporate health and wellness requirements.</t>
        </is>
      </c>
      <c r="E567" s="13" t="inlineStr">
        <is>
          <t>Other Healthcare Services</t>
        </is>
      </c>
      <c r="F567" s="14" t="inlineStr">
        <is>
          <t>Jaipur, India</t>
        </is>
      </c>
      <c r="G567" s="15" t="inlineStr">
        <is>
          <t>Privately Held (backing)</t>
        </is>
      </c>
      <c r="H567" s="16" t="inlineStr">
        <is>
          <t>Angel-Backed</t>
        </is>
      </c>
      <c r="I567" s="17" t="inlineStr">
        <is>
          <t/>
        </is>
      </c>
      <c r="J567" s="18" t="inlineStr">
        <is>
          <t>www.truworthwellness.com</t>
        </is>
      </c>
      <c r="K567" s="19" t="inlineStr">
        <is>
          <t>info@truworthwellness.com</t>
        </is>
      </c>
      <c r="L567" s="20" t="inlineStr">
        <is>
          <t/>
        </is>
      </c>
      <c r="M567" s="21" t="inlineStr">
        <is>
          <t>Rajesh Mundra</t>
        </is>
      </c>
      <c r="N567" s="22" t="inlineStr">
        <is>
          <t>Co-Founder &amp; Chief Executive Officer</t>
        </is>
      </c>
      <c r="O567" s="23" t="inlineStr">
        <is>
          <t>rajesh.mundra@truworthwellness.com</t>
        </is>
      </c>
      <c r="P567" s="24" t="inlineStr">
        <is>
          <t/>
        </is>
      </c>
      <c r="Q567" s="25" t="n">
        <v>2010.0</v>
      </c>
      <c r="R567" s="113">
        <f>HYPERLINK("https://my.pitchbook.com?c=144854-38", "View company online")</f>
      </c>
    </row>
    <row r="568">
      <c r="A568" s="27" t="inlineStr">
        <is>
          <t>95619-97</t>
        </is>
      </c>
      <c r="B568" s="28" t="inlineStr">
        <is>
          <t>Truvolo</t>
        </is>
      </c>
      <c r="C568" s="29" t="inlineStr">
        <is>
          <t>95113</t>
        </is>
      </c>
      <c r="D568" s="30" t="inlineStr">
        <is>
          <t>Developer of a connected car device. The company develops a device that enables drivers to get real data about their driving and vehicle’s performance. Its TruvoloData mobile platform provides smart alerts and reports via an application to give users visibility into how their loved ones are driving and insight into how their cars are running.</t>
        </is>
      </c>
      <c r="E568" s="31" t="inlineStr">
        <is>
          <t>Application Software</t>
        </is>
      </c>
      <c r="F568" s="32" t="inlineStr">
        <is>
          <t>San Jose, CA</t>
        </is>
      </c>
      <c r="G568" s="33" t="inlineStr">
        <is>
          <t>Privately Held (backing)</t>
        </is>
      </c>
      <c r="H568" s="34" t="inlineStr">
        <is>
          <t>Angel-Backed</t>
        </is>
      </c>
      <c r="I568" s="35" t="inlineStr">
        <is>
          <t/>
        </is>
      </c>
      <c r="J568" s="36" t="inlineStr">
        <is>
          <t>www.truvolo.com</t>
        </is>
      </c>
      <c r="K568" s="37" t="inlineStr">
        <is>
          <t>info@truvolo.com</t>
        </is>
      </c>
      <c r="L568" s="38" t="inlineStr">
        <is>
          <t/>
        </is>
      </c>
      <c r="M568" s="39" t="inlineStr">
        <is>
          <t>Jaideep Jain</t>
        </is>
      </c>
      <c r="N568" s="40" t="inlineStr">
        <is>
          <t>Chief Executive Officer &amp; Co-Founder</t>
        </is>
      </c>
      <c r="O568" s="41" t="inlineStr">
        <is>
          <t>jaideep@truvolo.com</t>
        </is>
      </c>
      <c r="P568" s="42" t="inlineStr">
        <is>
          <t>+1 (408) 234-7888</t>
        </is>
      </c>
      <c r="Q568" s="43" t="n">
        <v>2013.0</v>
      </c>
      <c r="R568" s="114">
        <f>HYPERLINK("https://my.pitchbook.com?c=95619-97", "View company online")</f>
      </c>
    </row>
    <row r="569">
      <c r="A569" s="9" t="inlineStr">
        <is>
          <t>156552-76</t>
        </is>
      </c>
      <c r="B569" s="10" t="inlineStr">
        <is>
          <t>Truust Neuroimaging</t>
        </is>
      </c>
      <c r="C569" s="11" t="inlineStr">
        <is>
          <t>94103</t>
        </is>
      </c>
      <c r="D569" s="12" t="inlineStr">
        <is>
          <t>Developer of a neuro-imaging device designed to increase neuro-imaging resolutions. The company's device increases the resolution of existing and future neuro-imaging systems for prevention of brain-related conditions, such as epilepsy and age-related and neuro-degenerative diseases enabling physicians to treat and prevent brain-related conditions, such as epilepsy, age-related and neuro-degenerative diseases like ALS, Alzheimer's and Parkinson's.</t>
        </is>
      </c>
      <c r="E569" s="13" t="inlineStr">
        <is>
          <t>Diagnostic Equipment</t>
        </is>
      </c>
      <c r="F569" s="14" t="inlineStr">
        <is>
          <t>San Francisco, CA</t>
        </is>
      </c>
      <c r="G569" s="15" t="inlineStr">
        <is>
          <t>Privately Held (backing)</t>
        </is>
      </c>
      <c r="H569" s="16" t="inlineStr">
        <is>
          <t>Accelerator/Incubator Backed</t>
        </is>
      </c>
      <c r="I569" s="17" t="inlineStr">
        <is>
          <t>SOSV</t>
        </is>
      </c>
      <c r="J569" s="18" t="inlineStr">
        <is>
          <t>www.truustneuroimaging.com</t>
        </is>
      </c>
      <c r="K569" s="19" t="inlineStr">
        <is>
          <t>info@truustneuroimaging.com</t>
        </is>
      </c>
      <c r="L569" s="20" t="inlineStr">
        <is>
          <t/>
        </is>
      </c>
      <c r="M569" s="21" t="inlineStr">
        <is>
          <t>Henrik Kjeldsen</t>
        </is>
      </c>
      <c r="N569" s="22" t="inlineStr">
        <is>
          <t>Co-Founder &amp; Chief Executive Officer</t>
        </is>
      </c>
      <c r="O569" s="23" t="inlineStr">
        <is>
          <t>henrik.kjeldsen@truustneuroimaging.com</t>
        </is>
      </c>
      <c r="P569" s="24" t="inlineStr">
        <is>
          <t/>
        </is>
      </c>
      <c r="Q569" s="25" t="n">
        <v>2015.0</v>
      </c>
      <c r="R569" s="113">
        <f>HYPERLINK("https://my.pitchbook.com?c=156552-76", "View company online")</f>
      </c>
    </row>
    <row r="570">
      <c r="A570" s="27" t="inlineStr">
        <is>
          <t>179106-04</t>
        </is>
      </c>
      <c r="B570" s="28" t="inlineStr">
        <is>
          <t>Trustwork</t>
        </is>
      </c>
      <c r="C570" s="29" t="inlineStr">
        <is>
          <t>94105</t>
        </is>
      </c>
      <c r="D570" s="30" t="inlineStr">
        <is>
          <t>Provider of a workers' engagement platform created to empower each worker in an organization. The company's platform permits every person in the global workforce to engage in meaningful work, to develop personal brands and build companies to realize their dreams, enabling them to create abundance for themselves and their family.</t>
        </is>
      </c>
      <c r="E570" s="31" t="inlineStr">
        <is>
          <t>Social/Platform Software</t>
        </is>
      </c>
      <c r="F570" s="32" t="inlineStr">
        <is>
          <t>San Francisco, CA</t>
        </is>
      </c>
      <c r="G570" s="33" t="inlineStr">
        <is>
          <t>Privately Held (backing)</t>
        </is>
      </c>
      <c r="H570" s="34" t="inlineStr">
        <is>
          <t>Angel-Backed</t>
        </is>
      </c>
      <c r="I570" s="35" t="inlineStr">
        <is>
          <t/>
        </is>
      </c>
      <c r="J570" s="36" t="inlineStr">
        <is>
          <t>www.trustwork.org</t>
        </is>
      </c>
      <c r="K570" s="37" t="inlineStr">
        <is>
          <t/>
        </is>
      </c>
      <c r="L570" s="38" t="inlineStr">
        <is>
          <t/>
        </is>
      </c>
      <c r="M570" s="39" t="inlineStr">
        <is>
          <t>William Norvell</t>
        </is>
      </c>
      <c r="N570" s="40" t="inlineStr">
        <is>
          <t>Co-Founder &amp; Chief Operating Officer</t>
        </is>
      </c>
      <c r="O570" s="41" t="inlineStr">
        <is>
          <t>wnorvell@trustwork.org</t>
        </is>
      </c>
      <c r="P570" s="42" t="inlineStr">
        <is>
          <t/>
        </is>
      </c>
      <c r="Q570" s="43" t="inlineStr">
        <is>
          <t/>
        </is>
      </c>
      <c r="R570" s="114">
        <f>HYPERLINK("https://my.pitchbook.com?c=179106-04", "View company online")</f>
      </c>
    </row>
    <row r="571">
      <c r="A571" s="9" t="inlineStr">
        <is>
          <t>154086-04</t>
        </is>
      </c>
      <c r="B571" s="10" t="inlineStr">
        <is>
          <t>TrustPipe Security</t>
        </is>
      </c>
      <c r="C571" s="11" t="inlineStr">
        <is>
          <t>95448</t>
        </is>
      </c>
      <c r="D571" s="12" t="inlineStr">
        <is>
          <t>Provider of security services. The company designs and develops an adaptive, real-time intrusion prevention engine That provides users with protection against polymorphic attacks.</t>
        </is>
      </c>
      <c r="E571" s="13" t="inlineStr">
        <is>
          <t>Security Services (B2B)</t>
        </is>
      </c>
      <c r="F571" s="14" t="inlineStr">
        <is>
          <t>Healdsburg, CA</t>
        </is>
      </c>
      <c r="G571" s="15" t="inlineStr">
        <is>
          <t>Privately Held (backing)</t>
        </is>
      </c>
      <c r="H571" s="16" t="inlineStr">
        <is>
          <t>Angel-Backed</t>
        </is>
      </c>
      <c r="I571" s="17" t="inlineStr">
        <is>
          <t>Andy Getsey</t>
        </is>
      </c>
      <c r="J571" s="18" t="inlineStr">
        <is>
          <t>www.trustpipe.com</t>
        </is>
      </c>
      <c r="K571" s="19" t="inlineStr">
        <is>
          <t/>
        </is>
      </c>
      <c r="L571" s="20" t="inlineStr">
        <is>
          <t>+1 (707) 433-8930</t>
        </is>
      </c>
      <c r="M571" s="21" t="inlineStr">
        <is>
          <t>Ridgely Evers</t>
        </is>
      </c>
      <c r="N571" s="22" t="inlineStr">
        <is>
          <t>Co-Founder &amp; Chief Executive Officer</t>
        </is>
      </c>
      <c r="O571" s="23" t="inlineStr">
        <is>
          <t/>
        </is>
      </c>
      <c r="P571" s="24" t="inlineStr">
        <is>
          <t>+1 (707) 433-8930</t>
        </is>
      </c>
      <c r="Q571" s="25" t="n">
        <v>2011.0</v>
      </c>
      <c r="R571" s="113">
        <f>HYPERLINK("https://my.pitchbook.com?c=154086-04", "View company online")</f>
      </c>
    </row>
    <row r="572">
      <c r="A572" s="27" t="inlineStr">
        <is>
          <t>93116-98</t>
        </is>
      </c>
      <c r="B572" s="28" t="inlineStr">
        <is>
          <t>TrustCommerce</t>
        </is>
      </c>
      <c r="C572" s="29" t="inlineStr">
        <is>
          <t>92707-5927</t>
        </is>
      </c>
      <c r="D572" s="30" t="inlineStr">
        <is>
          <t>Provider of secure payment processing platform designed to help businesses to do better business. The company's secure payment processing platform features point-to-point encryption, tokenization and seamless redirects, it assist partners and clients with reducing PCI DSS scope, enabling businesses to protect transactions and reduce risk.</t>
        </is>
      </c>
      <c r="E572" s="31" t="inlineStr">
        <is>
          <t>Other Commercial Services</t>
        </is>
      </c>
      <c r="F572" s="32" t="inlineStr">
        <is>
          <t>Santa Ana, CA</t>
        </is>
      </c>
      <c r="G572" s="33" t="inlineStr">
        <is>
          <t>Privately Held (backing)</t>
        </is>
      </c>
      <c r="H572" s="34" t="inlineStr">
        <is>
          <t>Angel-Backed</t>
        </is>
      </c>
      <c r="I572" s="35" t="inlineStr">
        <is>
          <t>Caulfield Capital</t>
        </is>
      </c>
      <c r="J572" s="36" t="inlineStr">
        <is>
          <t>www.trustcommerce.com</t>
        </is>
      </c>
      <c r="K572" s="37" t="inlineStr">
        <is>
          <t/>
        </is>
      </c>
      <c r="L572" s="38" t="inlineStr">
        <is>
          <t>+1 (949) 387-3747</t>
        </is>
      </c>
      <c r="M572" s="39" t="inlineStr">
        <is>
          <t>Robert Caulfield</t>
        </is>
      </c>
      <c r="N572" s="40" t="inlineStr">
        <is>
          <t>Co-Founder &amp; Chief Executive Officer</t>
        </is>
      </c>
      <c r="O572" s="41" t="inlineStr">
        <is>
          <t>rob.caulfield@trustcommerce.com</t>
        </is>
      </c>
      <c r="P572" s="42" t="inlineStr">
        <is>
          <t>+1 (949) 387-3747</t>
        </is>
      </c>
      <c r="Q572" s="43" t="n">
        <v>2000.0</v>
      </c>
      <c r="R572" s="114">
        <f>HYPERLINK("https://my.pitchbook.com?c=93116-98", "View company online")</f>
      </c>
    </row>
    <row r="573">
      <c r="A573" s="9" t="inlineStr">
        <is>
          <t>163769-77</t>
        </is>
      </c>
      <c r="B573" s="10" t="inlineStr">
        <is>
          <t>Trust Society</t>
        </is>
      </c>
      <c r="C573" s="11" t="inlineStr">
        <is>
          <t>94301</t>
        </is>
      </c>
      <c r="D573" s="12" t="inlineStr">
        <is>
          <t>Provider of a video reference platform. The company offers a platform for companies and non-profit organizations to gather feedback from their users and employees.</t>
        </is>
      </c>
      <c r="E573" s="13" t="inlineStr">
        <is>
          <t>Application Software</t>
        </is>
      </c>
      <c r="F573" s="14" t="inlineStr">
        <is>
          <t>Palo Alto, CA</t>
        </is>
      </c>
      <c r="G573" s="15" t="inlineStr">
        <is>
          <t>Privately Held (backing)</t>
        </is>
      </c>
      <c r="H573" s="16" t="inlineStr">
        <is>
          <t>Accelerator/Incubator Backed</t>
        </is>
      </c>
      <c r="I573" s="17" t="inlineStr">
        <is>
          <t>Founders Den</t>
        </is>
      </c>
      <c r="J573" s="18" t="inlineStr">
        <is>
          <t>www.trust.fyi</t>
        </is>
      </c>
      <c r="K573" s="19" t="inlineStr">
        <is>
          <t/>
        </is>
      </c>
      <c r="L573" s="20" t="inlineStr">
        <is>
          <t>+1 (650) 485-3616</t>
        </is>
      </c>
      <c r="M573" s="21" t="inlineStr">
        <is>
          <t>Keith Powers</t>
        </is>
      </c>
      <c r="N573" s="22" t="inlineStr">
        <is>
          <t>Co-Founder &amp; President</t>
        </is>
      </c>
      <c r="O573" s="23" t="inlineStr">
        <is>
          <t>keith@trust.fyi</t>
        </is>
      </c>
      <c r="P573" s="24" t="inlineStr">
        <is>
          <t>+1 (650) 485-3616</t>
        </is>
      </c>
      <c r="Q573" s="25" t="n">
        <v>2001.0</v>
      </c>
      <c r="R573" s="113">
        <f>HYPERLINK("https://my.pitchbook.com?c=163769-77", "View company online")</f>
      </c>
    </row>
    <row r="574">
      <c r="A574" s="27" t="inlineStr">
        <is>
          <t>94513-96</t>
        </is>
      </c>
      <c r="B574" s="28" t="inlineStr">
        <is>
          <t>Truminim</t>
        </is>
      </c>
      <c r="C574" s="29" t="inlineStr">
        <is>
          <t>92626</t>
        </is>
      </c>
      <c r="D574" s="30" t="inlineStr">
        <is>
          <t>Developer of alternative spinal surgery and pain management technology. The company has developed the T-Technique, a new alternative procedure and method that allows practitioners to place medical devices and tools in areas of the spine that would normally require open surgery.</t>
        </is>
      </c>
      <c r="E574" s="31" t="inlineStr">
        <is>
          <t>Surgical Devices</t>
        </is>
      </c>
      <c r="F574" s="32" t="inlineStr">
        <is>
          <t>Costa Mesa, CA</t>
        </is>
      </c>
      <c r="G574" s="33" t="inlineStr">
        <is>
          <t>Privately Held (backing)</t>
        </is>
      </c>
      <c r="H574" s="34" t="inlineStr">
        <is>
          <t>Angel-Backed</t>
        </is>
      </c>
      <c r="I574" s="35" t="inlineStr">
        <is>
          <t/>
        </is>
      </c>
      <c r="J574" s="36" t="inlineStr">
        <is>
          <t>truminim.com</t>
        </is>
      </c>
      <c r="K574" s="37" t="inlineStr">
        <is>
          <t/>
        </is>
      </c>
      <c r="L574" s="38" t="inlineStr">
        <is>
          <t/>
        </is>
      </c>
      <c r="M574" s="39" t="inlineStr">
        <is>
          <t>Tariq Tramboo</t>
        </is>
      </c>
      <c r="N574" s="40" t="inlineStr">
        <is>
          <t>Chairman</t>
        </is>
      </c>
      <c r="O574" s="41" t="inlineStr">
        <is>
          <t/>
        </is>
      </c>
      <c r="P574" s="42" t="inlineStr">
        <is>
          <t/>
        </is>
      </c>
      <c r="Q574" s="43" t="n">
        <v>2011.0</v>
      </c>
      <c r="R574" s="114">
        <f>HYPERLINK("https://my.pitchbook.com?c=94513-96", "View company online")</f>
      </c>
    </row>
    <row r="575">
      <c r="A575" s="9" t="inlineStr">
        <is>
          <t>124582-69</t>
        </is>
      </c>
      <c r="B575" s="10" t="inlineStr">
        <is>
          <t>Truly M.A.D.</t>
        </is>
      </c>
      <c r="C575" s="11" t="inlineStr">
        <is>
          <t/>
        </is>
      </c>
      <c r="D575" s="12" t="inlineStr">
        <is>
          <t>Provider of an online platform intended to sell clothing, accessories and shoes. The company's online platform specializes in offering dresses, shoes and accessories for cycling, swimming, running, yoga and workout enabling individuals to wear proper dresses and shoes for various activities.</t>
        </is>
      </c>
      <c r="E575" s="13" t="inlineStr">
        <is>
          <t>Clothing</t>
        </is>
      </c>
      <c r="F575" s="14" t="inlineStr">
        <is>
          <t>Berkeley, CA</t>
        </is>
      </c>
      <c r="G575" s="15" t="inlineStr">
        <is>
          <t>Privately Held (backing)</t>
        </is>
      </c>
      <c r="H575" s="16" t="inlineStr">
        <is>
          <t>Angel-Backed</t>
        </is>
      </c>
      <c r="I575" s="17" t="inlineStr">
        <is>
          <t/>
        </is>
      </c>
      <c r="J575" s="18" t="inlineStr">
        <is>
          <t>www.trulymad.com</t>
        </is>
      </c>
      <c r="K575" s="19" t="inlineStr">
        <is>
          <t/>
        </is>
      </c>
      <c r="L575" s="20" t="inlineStr">
        <is>
          <t>+1 (415) 658-5086</t>
        </is>
      </c>
      <c r="M575" s="21" t="inlineStr">
        <is>
          <t>Abhishek Vallabhaneni</t>
        </is>
      </c>
      <c r="N575" s="22" t="inlineStr">
        <is>
          <t>Chief Executive Officer and Board Member</t>
        </is>
      </c>
      <c r="O575" s="23" t="inlineStr">
        <is>
          <t>abhi@trulymad.com</t>
        </is>
      </c>
      <c r="P575" s="24" t="inlineStr">
        <is>
          <t>+1 (415) 658-5086</t>
        </is>
      </c>
      <c r="Q575" s="25" t="n">
        <v>2013.0</v>
      </c>
      <c r="R575" s="113">
        <f>HYPERLINK("https://my.pitchbook.com?c=124582-69", "View company online")</f>
      </c>
    </row>
    <row r="576">
      <c r="A576" s="27" t="inlineStr">
        <is>
          <t>113678-83</t>
        </is>
      </c>
      <c r="B576" s="28" t="inlineStr">
        <is>
          <t>TRUINJECT</t>
        </is>
      </c>
      <c r="C576" s="86">
        <f>HYPERLINK("https://my.pitchbook.com?rrp=113678-83&amp;type=c", "This Company's information is not available to download. Need this Company? Request availability")</f>
      </c>
      <c r="D576" s="30" t="inlineStr">
        <is>
          <t/>
        </is>
      </c>
      <c r="E576" s="31" t="inlineStr">
        <is>
          <t/>
        </is>
      </c>
      <c r="F576" s="32" t="inlineStr">
        <is>
          <t/>
        </is>
      </c>
      <c r="G576" s="33" t="inlineStr">
        <is>
          <t/>
        </is>
      </c>
      <c r="H576" s="34" t="inlineStr">
        <is>
          <t/>
        </is>
      </c>
      <c r="I576" s="35" t="inlineStr">
        <is>
          <t/>
        </is>
      </c>
      <c r="J576" s="36" t="inlineStr">
        <is>
          <t/>
        </is>
      </c>
      <c r="K576" s="37" t="inlineStr">
        <is>
          <t/>
        </is>
      </c>
      <c r="L576" s="38" t="inlineStr">
        <is>
          <t/>
        </is>
      </c>
      <c r="M576" s="39" t="inlineStr">
        <is>
          <t/>
        </is>
      </c>
      <c r="N576" s="40" t="inlineStr">
        <is>
          <t/>
        </is>
      </c>
      <c r="O576" s="41" t="inlineStr">
        <is>
          <t/>
        </is>
      </c>
      <c r="P576" s="42" t="inlineStr">
        <is>
          <t/>
        </is>
      </c>
      <c r="Q576" s="43" t="inlineStr">
        <is>
          <t/>
        </is>
      </c>
      <c r="R576" s="44" t="inlineStr">
        <is>
          <t/>
        </is>
      </c>
    </row>
    <row r="577">
      <c r="A577" s="9" t="inlineStr">
        <is>
          <t>103255-84</t>
        </is>
      </c>
      <c r="B577" s="10" t="inlineStr">
        <is>
          <t>Tru-Friends</t>
        </is>
      </c>
      <c r="C577" s="11" t="inlineStr">
        <is>
          <t>94559</t>
        </is>
      </c>
      <c r="D577" s="12" t="inlineStr">
        <is>
          <t>Owner and operator of a company that develops a social platform. The company's software allows users to aggregate and filter their social media, collaborate and compete, engage in e-commerce activities and also communicate.</t>
        </is>
      </c>
      <c r="E577" s="13" t="inlineStr">
        <is>
          <t>Social/Platform Software</t>
        </is>
      </c>
      <c r="F577" s="14" t="inlineStr">
        <is>
          <t>Napa, CA</t>
        </is>
      </c>
      <c r="G577" s="15" t="inlineStr">
        <is>
          <t>Privately Held (backing)</t>
        </is>
      </c>
      <c r="H577" s="16" t="inlineStr">
        <is>
          <t>Angel-Backed</t>
        </is>
      </c>
      <c r="I577" s="17" t="inlineStr">
        <is>
          <t/>
        </is>
      </c>
      <c r="J577" s="18" t="inlineStr">
        <is>
          <t>www.tru-friends.com</t>
        </is>
      </c>
      <c r="K577" s="19" t="inlineStr">
        <is>
          <t/>
        </is>
      </c>
      <c r="L577" s="20" t="inlineStr">
        <is>
          <t/>
        </is>
      </c>
      <c r="M577" s="21" t="inlineStr">
        <is>
          <t>Fang H</t>
        </is>
      </c>
      <c r="N577" s="22" t="inlineStr">
        <is>
          <t>Co-Founder</t>
        </is>
      </c>
      <c r="O577" s="23" t="inlineStr">
        <is>
          <t/>
        </is>
      </c>
      <c r="P577" s="24" t="inlineStr">
        <is>
          <t/>
        </is>
      </c>
      <c r="Q577" s="25" t="inlineStr">
        <is>
          <t/>
        </is>
      </c>
      <c r="R577" s="113">
        <f>HYPERLINK("https://my.pitchbook.com?c=103255-84", "View company online")</f>
      </c>
    </row>
    <row r="578">
      <c r="A578" s="27" t="inlineStr">
        <is>
          <t>168480-19</t>
        </is>
      </c>
      <c r="B578" s="28" t="inlineStr">
        <is>
          <t>TruePic</t>
        </is>
      </c>
      <c r="C578" s="29" t="inlineStr">
        <is>
          <t>92037</t>
        </is>
      </c>
      <c r="D578" s="30" t="inlineStr">
        <is>
          <t>Developer of image and video authenticity software designed to verify uploaded photos and videos. The company's image and video authenticity software offers an image processing engine enabling companies, including beauty, healthcare and insurance to verify and authenticate the photographer, date, time, device and the location where the photo was captured.</t>
        </is>
      </c>
      <c r="E578" s="31" t="inlineStr">
        <is>
          <t>Application Software</t>
        </is>
      </c>
      <c r="F578" s="32" t="inlineStr">
        <is>
          <t>San Diego, CA</t>
        </is>
      </c>
      <c r="G578" s="33" t="inlineStr">
        <is>
          <t>Privately Held (backing)</t>
        </is>
      </c>
      <c r="H578" s="34" t="inlineStr">
        <is>
          <t>Angel-Backed</t>
        </is>
      </c>
      <c r="I578" s="35" t="inlineStr">
        <is>
          <t>Andrew Filipowski, Jeffrey Parker, William Sahlman</t>
        </is>
      </c>
      <c r="J578" s="36" t="inlineStr">
        <is>
          <t>www.truepic.com</t>
        </is>
      </c>
      <c r="K578" s="37" t="inlineStr">
        <is>
          <t>info@truepic.com</t>
        </is>
      </c>
      <c r="L578" s="38" t="inlineStr">
        <is>
          <t>+1 (917) 923-0212</t>
        </is>
      </c>
      <c r="M578" s="39" t="inlineStr">
        <is>
          <t>Craig Stack</t>
        </is>
      </c>
      <c r="N578" s="40" t="inlineStr">
        <is>
          <t>Chief Financial Officer, Co-Founder &amp; Board Member</t>
        </is>
      </c>
      <c r="O578" s="41" t="inlineStr">
        <is>
          <t>craig@truepic.com</t>
        </is>
      </c>
      <c r="P578" s="42" t="inlineStr">
        <is>
          <t>+1 (917) 923-0212</t>
        </is>
      </c>
      <c r="Q578" s="43" t="n">
        <v>2015.0</v>
      </c>
      <c r="R578" s="114">
        <f>HYPERLINK("https://my.pitchbook.com?c=168480-19", "View company online")</f>
      </c>
    </row>
    <row r="579">
      <c r="A579" s="9" t="inlineStr">
        <is>
          <t>120223-90</t>
        </is>
      </c>
      <c r="B579" s="10" t="inlineStr">
        <is>
          <t>Truecare24</t>
        </is>
      </c>
      <c r="C579" s="11" t="inlineStr">
        <is>
          <t>94085</t>
        </is>
      </c>
      <c r="D579" s="12" t="inlineStr">
        <is>
          <t>Developer of an on-demand mobile platform designed to intuitively connects users with third-party health care providers. The company's platform gives users access to on-demand doctors with phone/video, in-home in person, or at work consultation availability in short span of time enabling users to book and avail home-based care at their convenience.</t>
        </is>
      </c>
      <c r="E579" s="13" t="inlineStr">
        <is>
          <t>Application Software</t>
        </is>
      </c>
      <c r="F579" s="14" t="inlineStr">
        <is>
          <t>San Francisco, CA</t>
        </is>
      </c>
      <c r="G579" s="15" t="inlineStr">
        <is>
          <t>Privately Held (backing)</t>
        </is>
      </c>
      <c r="H579" s="16" t="inlineStr">
        <is>
          <t>Accelerator/Incubator Backed</t>
        </is>
      </c>
      <c r="I579" s="17" t="inlineStr">
        <is>
          <t>500 Startups, Plug and Play Tech Center</t>
        </is>
      </c>
      <c r="J579" s="18" t="inlineStr">
        <is>
          <t>www.truecare24.com</t>
        </is>
      </c>
      <c r="K579" s="19" t="inlineStr">
        <is>
          <t/>
        </is>
      </c>
      <c r="L579" s="20" t="inlineStr">
        <is>
          <t>+1 (628) 333-2005</t>
        </is>
      </c>
      <c r="M579" s="21" t="inlineStr">
        <is>
          <t>Bimohit Bawa</t>
        </is>
      </c>
      <c r="N579" s="22" t="inlineStr">
        <is>
          <t>Co-Founder &amp; Chief Technology Officer</t>
        </is>
      </c>
      <c r="O579" s="23" t="inlineStr">
        <is>
          <t>bimohit@truecare24.com</t>
        </is>
      </c>
      <c r="P579" s="24" t="inlineStr">
        <is>
          <t>+1 (628) 333-2005</t>
        </is>
      </c>
      <c r="Q579" s="25" t="n">
        <v>2015.0</v>
      </c>
      <c r="R579" s="113">
        <f>HYPERLINK("https://my.pitchbook.com?c=120223-90", "View company online")</f>
      </c>
    </row>
    <row r="580">
      <c r="A580" s="27" t="inlineStr">
        <is>
          <t>174437-56</t>
        </is>
      </c>
      <c r="B580" s="28" t="inlineStr">
        <is>
          <t>True North Business Exchange</t>
        </is>
      </c>
      <c r="C580" s="29" t="inlineStr">
        <is>
          <t/>
        </is>
      </c>
      <c r="D580" s="30" t="inlineStr">
        <is>
          <t>Developer of a public stock exchange platform designed for trading securities of corporations. The company's platform helps investors and companies to buy, sell and trade financial securities of small businesses offering liquidity to investors and enabling companies to access capital more affordably.</t>
        </is>
      </c>
      <c r="E580" s="31" t="inlineStr">
        <is>
          <t>Brokerage</t>
        </is>
      </c>
      <c r="F580" s="32" t="inlineStr">
        <is>
          <t>San Francisco, CA</t>
        </is>
      </c>
      <c r="G580" s="33" t="inlineStr">
        <is>
          <t>Privately Held (backing)</t>
        </is>
      </c>
      <c r="H580" s="34" t="inlineStr">
        <is>
          <t>Accelerator/Incubator Backed</t>
        </is>
      </c>
      <c r="I580" s="35" t="inlineStr">
        <is>
          <t>Unbank.ventures</t>
        </is>
      </c>
      <c r="J580" s="36" t="inlineStr">
        <is>
          <t>www.tnbx.live</t>
        </is>
      </c>
      <c r="K580" s="37" t="inlineStr">
        <is>
          <t/>
        </is>
      </c>
      <c r="L580" s="38" t="inlineStr">
        <is>
          <t>+1 (415) 570-2093</t>
        </is>
      </c>
      <c r="M580" s="39" t="inlineStr">
        <is>
          <t>Benjamin Lozano</t>
        </is>
      </c>
      <c r="N580" s="40" t="inlineStr">
        <is>
          <t>Co-Founder &amp; Chief Executive Officer</t>
        </is>
      </c>
      <c r="O580" s="41" t="inlineStr">
        <is>
          <t/>
        </is>
      </c>
      <c r="P580" s="42" t="inlineStr">
        <is>
          <t>+1 (415) 570-2093</t>
        </is>
      </c>
      <c r="Q580" s="43" t="n">
        <v>2016.0</v>
      </c>
      <c r="R580" s="114">
        <f>HYPERLINK("https://my.pitchbook.com?c=174437-56", "View company online")</f>
      </c>
    </row>
    <row r="581">
      <c r="A581" s="9" t="inlineStr">
        <is>
          <t>178656-49</t>
        </is>
      </c>
      <c r="B581" s="10" t="inlineStr">
        <is>
          <t>Trovata</t>
        </is>
      </c>
      <c r="C581" s="85">
        <f>HYPERLINK("https://my.pitchbook.com?rrp=178656-49&amp;type=c", "This Company's information is not available to download. Need this Company? Request availability")</f>
      </c>
      <c r="D581" s="12" t="inlineStr">
        <is>
          <t/>
        </is>
      </c>
      <c r="E581" s="13" t="inlineStr">
        <is>
          <t/>
        </is>
      </c>
      <c r="F581" s="14" t="inlineStr">
        <is>
          <t/>
        </is>
      </c>
      <c r="G581" s="15" t="inlineStr">
        <is>
          <t/>
        </is>
      </c>
      <c r="H581" s="16" t="inlineStr">
        <is>
          <t/>
        </is>
      </c>
      <c r="I581" s="17" t="inlineStr">
        <is>
          <t/>
        </is>
      </c>
      <c r="J581" s="18" t="inlineStr">
        <is>
          <t/>
        </is>
      </c>
      <c r="K581" s="19" t="inlineStr">
        <is>
          <t/>
        </is>
      </c>
      <c r="L581" s="20" t="inlineStr">
        <is>
          <t/>
        </is>
      </c>
      <c r="M581" s="21" t="inlineStr">
        <is>
          <t/>
        </is>
      </c>
      <c r="N581" s="22" t="inlineStr">
        <is>
          <t/>
        </is>
      </c>
      <c r="O581" s="23" t="inlineStr">
        <is>
          <t/>
        </is>
      </c>
      <c r="P581" s="24" t="inlineStr">
        <is>
          <t/>
        </is>
      </c>
      <c r="Q581" s="25" t="inlineStr">
        <is>
          <t/>
        </is>
      </c>
      <c r="R581" s="26" t="inlineStr">
        <is>
          <t/>
        </is>
      </c>
    </row>
    <row r="582">
      <c r="A582" s="27" t="inlineStr">
        <is>
          <t>178495-21</t>
        </is>
      </c>
      <c r="B582" s="28" t="inlineStr">
        <is>
          <t>Troparé</t>
        </is>
      </c>
      <c r="C582" s="86">
        <f>HYPERLINK("https://my.pitchbook.com?rrp=178495-21&amp;type=c", "This Company's information is not available to download. Need this Company? Request availability")</f>
      </c>
      <c r="D582" s="30" t="inlineStr">
        <is>
          <t/>
        </is>
      </c>
      <c r="E582" s="31" t="inlineStr">
        <is>
          <t/>
        </is>
      </c>
      <c r="F582" s="32" t="inlineStr">
        <is>
          <t/>
        </is>
      </c>
      <c r="G582" s="33" t="inlineStr">
        <is>
          <t/>
        </is>
      </c>
      <c r="H582" s="34" t="inlineStr">
        <is>
          <t/>
        </is>
      </c>
      <c r="I582" s="35" t="inlineStr">
        <is>
          <t/>
        </is>
      </c>
      <c r="J582" s="36" t="inlineStr">
        <is>
          <t/>
        </is>
      </c>
      <c r="K582" s="37" t="inlineStr">
        <is>
          <t/>
        </is>
      </c>
      <c r="L582" s="38" t="inlineStr">
        <is>
          <t/>
        </is>
      </c>
      <c r="M582" s="39" t="inlineStr">
        <is>
          <t/>
        </is>
      </c>
      <c r="N582" s="40" t="inlineStr">
        <is>
          <t/>
        </is>
      </c>
      <c r="O582" s="41" t="inlineStr">
        <is>
          <t/>
        </is>
      </c>
      <c r="P582" s="42" t="inlineStr">
        <is>
          <t/>
        </is>
      </c>
      <c r="Q582" s="43" t="inlineStr">
        <is>
          <t/>
        </is>
      </c>
      <c r="R582" s="44" t="inlineStr">
        <is>
          <t/>
        </is>
      </c>
    </row>
    <row r="583">
      <c r="A583" s="9" t="inlineStr">
        <is>
          <t>108669-61</t>
        </is>
      </c>
      <c r="B583" s="10" t="inlineStr">
        <is>
          <t>Tronic.fm</t>
        </is>
      </c>
      <c r="C583" s="11" t="inlineStr">
        <is>
          <t>94103</t>
        </is>
      </c>
      <c r="D583" s="12" t="inlineStr">
        <is>
          <t>Provider of a management and publishing platform for the music industry. The company provides a platform which provides publishing and management services for businesses in the music industry . The company's services includes promotion, booking, media syndication and others.</t>
        </is>
      </c>
      <c r="E583" s="13" t="inlineStr">
        <is>
          <t>Other Commercial Services</t>
        </is>
      </c>
      <c r="F583" s="14" t="inlineStr">
        <is>
          <t>San Francisco, CA</t>
        </is>
      </c>
      <c r="G583" s="15" t="inlineStr">
        <is>
          <t>Privately Held (backing)</t>
        </is>
      </c>
      <c r="H583" s="16" t="inlineStr">
        <is>
          <t>Angel-Backed</t>
        </is>
      </c>
      <c r="I583" s="17" t="inlineStr">
        <is>
          <t>Galen Abbott, John Spinale, Sasha Robinson, Tamin Sun</t>
        </is>
      </c>
      <c r="J583" s="18" t="inlineStr">
        <is>
          <t>www.tronic.fm</t>
        </is>
      </c>
      <c r="K583" s="19" t="inlineStr">
        <is>
          <t>info@tronic.fm</t>
        </is>
      </c>
      <c r="L583" s="20" t="inlineStr">
        <is>
          <t/>
        </is>
      </c>
      <c r="M583" s="21" t="inlineStr">
        <is>
          <t>Joshuah Vincent</t>
        </is>
      </c>
      <c r="N583" s="22" t="inlineStr">
        <is>
          <t>Co-Founder</t>
        </is>
      </c>
      <c r="O583" s="23" t="inlineStr">
        <is>
          <t>joshuah.t.vincent@tronic.fm</t>
        </is>
      </c>
      <c r="P583" s="24" t="inlineStr">
        <is>
          <t/>
        </is>
      </c>
      <c r="Q583" s="25" t="n">
        <v>2013.0</v>
      </c>
      <c r="R583" s="113">
        <f>HYPERLINK("https://my.pitchbook.com?c=108669-61", "View company online")</f>
      </c>
    </row>
    <row r="584">
      <c r="A584" s="27" t="inlineStr">
        <is>
          <t>89235-10</t>
        </is>
      </c>
      <c r="B584" s="28" t="inlineStr">
        <is>
          <t>Trnio</t>
        </is>
      </c>
      <c r="C584" s="29" t="inlineStr">
        <is>
          <t/>
        </is>
      </c>
      <c r="D584" s="30" t="inlineStr">
        <is>
          <t>Developer and provider of a platform to convert still images into 3D models. The company develops an application which converts the phones into 3D scanners thus allowing the users to convert still images into 3D models.</t>
        </is>
      </c>
      <c r="E584" s="31" t="inlineStr">
        <is>
          <t>Application Software</t>
        </is>
      </c>
      <c r="F584" s="32" t="inlineStr">
        <is>
          <t>San Francisco, CA</t>
        </is>
      </c>
      <c r="G584" s="33" t="inlineStr">
        <is>
          <t>Privately Held (backing)</t>
        </is>
      </c>
      <c r="H584" s="34" t="inlineStr">
        <is>
          <t>Accelerator/Incubator Backed</t>
        </is>
      </c>
      <c r="I584" s="35" t="inlineStr">
        <is>
          <t>Alsop Louie Partners, Immunity Project, Runway Incubator</t>
        </is>
      </c>
      <c r="J584" s="36" t="inlineStr">
        <is>
          <t>www.trnio.com</t>
        </is>
      </c>
      <c r="K584" s="37" t="inlineStr">
        <is>
          <t>jmt@trnio.com</t>
        </is>
      </c>
      <c r="L584" s="38" t="inlineStr">
        <is>
          <t/>
        </is>
      </c>
      <c r="M584" s="39" t="inlineStr">
        <is>
          <t>Jan-Michael Tressler</t>
        </is>
      </c>
      <c r="N584" s="40" t="inlineStr">
        <is>
          <t>Co-Founder &amp; Chief Executive Officer</t>
        </is>
      </c>
      <c r="O584" s="41" t="inlineStr">
        <is>
          <t>jmt@trnio.com</t>
        </is>
      </c>
      <c r="P584" s="42" t="inlineStr">
        <is>
          <t/>
        </is>
      </c>
      <c r="Q584" s="43" t="n">
        <v>2013.0</v>
      </c>
      <c r="R584" s="114">
        <f>HYPERLINK("https://my.pitchbook.com?c=89235-10", "View company online")</f>
      </c>
    </row>
    <row r="585">
      <c r="A585" s="9" t="inlineStr">
        <is>
          <t>57049-03</t>
        </is>
      </c>
      <c r="B585" s="10" t="inlineStr">
        <is>
          <t>TRIXandTRAX</t>
        </is>
      </c>
      <c r="C585" s="11" t="inlineStr">
        <is>
          <t>90254</t>
        </is>
      </c>
      <c r="D585" s="12" t="inlineStr">
        <is>
          <t>Provider of a gaming platform. The company offers recreational activities that are recorded and uploaded, virtual communities that connect through social gaming, and live events that become part of a TV franchise format.</t>
        </is>
      </c>
      <c r="E585" s="13" t="inlineStr">
        <is>
          <t>Entertainment Software</t>
        </is>
      </c>
      <c r="F585" s="14" t="inlineStr">
        <is>
          <t>Hermosa Beach, CA</t>
        </is>
      </c>
      <c r="G585" s="15" t="inlineStr">
        <is>
          <t>Privately Held (backing)</t>
        </is>
      </c>
      <c r="H585" s="16" t="inlineStr">
        <is>
          <t>Accelerator/Incubator Backed</t>
        </is>
      </c>
      <c r="I585" s="17" t="inlineStr">
        <is>
          <t>MIT NextLab, Start-Up Chile, Wayra</t>
        </is>
      </c>
      <c r="J585" s="18" t="inlineStr">
        <is>
          <t>www.trixandtrax.com</t>
        </is>
      </c>
      <c r="K585" s="19" t="inlineStr">
        <is>
          <t>privacidad@trixandtrax.com</t>
        </is>
      </c>
      <c r="L585" s="20" t="inlineStr">
        <is>
          <t/>
        </is>
      </c>
      <c r="M585" s="21" t="inlineStr">
        <is>
          <t>Alejandro Rojas</t>
        </is>
      </c>
      <c r="N585" s="22" t="inlineStr">
        <is>
          <t>Co-Founder &amp; Chief Executive Officer</t>
        </is>
      </c>
      <c r="O585" s="23" t="inlineStr">
        <is>
          <t>ale@trixandtrax.com</t>
        </is>
      </c>
      <c r="P585" s="24" t="inlineStr">
        <is>
          <t>+56 (0)9 5135 4320</t>
        </is>
      </c>
      <c r="Q585" s="25" t="n">
        <v>2012.0</v>
      </c>
      <c r="R585" s="113">
        <f>HYPERLINK("https://my.pitchbook.com?c=57049-03", "View company online")</f>
      </c>
    </row>
    <row r="586">
      <c r="A586" s="27" t="inlineStr">
        <is>
          <t>57012-40</t>
        </is>
      </c>
      <c r="B586" s="28" t="inlineStr">
        <is>
          <t>Tripshare</t>
        </is>
      </c>
      <c r="C586" s="29" t="inlineStr">
        <is>
          <t>94133</t>
        </is>
      </c>
      <c r="D586" s="30" t="inlineStr">
        <is>
          <t>Developer of travel planning application. The company offers to create bookable itineraries with actual dates, prices and availability for flights, hotels, vacation rentals and tours. It allows to browse, collect and share information with others before booking, you can flip through photos of destination and lodgings.</t>
        </is>
      </c>
      <c r="E586" s="31" t="inlineStr">
        <is>
          <t>Application Software</t>
        </is>
      </c>
      <c r="F586" s="32" t="inlineStr">
        <is>
          <t>San Francisco, CA</t>
        </is>
      </c>
      <c r="G586" s="33" t="inlineStr">
        <is>
          <t>Privately Held (backing)</t>
        </is>
      </c>
      <c r="H586" s="34" t="inlineStr">
        <is>
          <t>Angel-Backed</t>
        </is>
      </c>
      <c r="I586" s="35" t="inlineStr">
        <is>
          <t>David Rose, New York Angels, Raj Sandhu, Social Starts, William Lohse</t>
        </is>
      </c>
      <c r="J586" s="36" t="inlineStr">
        <is>
          <t>www.tripshare.com</t>
        </is>
      </c>
      <c r="K586" s="37" t="inlineStr">
        <is>
          <t/>
        </is>
      </c>
      <c r="L586" s="38" t="inlineStr">
        <is>
          <t/>
        </is>
      </c>
      <c r="M586" s="39" t="inlineStr">
        <is>
          <t>Bob Dana</t>
        </is>
      </c>
      <c r="N586" s="40" t="inlineStr">
        <is>
          <t>Chief Executive Officer &amp; Co-Founder</t>
        </is>
      </c>
      <c r="O586" s="41" t="inlineStr">
        <is>
          <t>bob@tripshare.com</t>
        </is>
      </c>
      <c r="P586" s="42" t="inlineStr">
        <is>
          <t/>
        </is>
      </c>
      <c r="Q586" s="43" t="n">
        <v>2011.0</v>
      </c>
      <c r="R586" s="114">
        <f>HYPERLINK("https://my.pitchbook.com?c=57012-40", "View company online")</f>
      </c>
    </row>
    <row r="587">
      <c r="A587" s="9" t="inlineStr">
        <is>
          <t>149363-11</t>
        </is>
      </c>
      <c r="B587" s="10" t="inlineStr">
        <is>
          <t>TriPrism</t>
        </is>
      </c>
      <c r="C587" s="11" t="inlineStr">
        <is>
          <t>92127</t>
        </is>
      </c>
      <c r="D587" s="12" t="inlineStr">
        <is>
          <t>Developer of a digital imaging technology. The company specializes in photographic technology for the event and brand activation markets.</t>
        </is>
      </c>
      <c r="E587" s="13" t="inlineStr">
        <is>
          <t>Media and Information Services (B2B)</t>
        </is>
      </c>
      <c r="F587" s="14" t="inlineStr">
        <is>
          <t>San Diego, CA</t>
        </is>
      </c>
      <c r="G587" s="15" t="inlineStr">
        <is>
          <t>Privately Held (backing)</t>
        </is>
      </c>
      <c r="H587" s="16" t="inlineStr">
        <is>
          <t>Accelerator/Incubator Backed</t>
        </is>
      </c>
      <c r="I587" s="17" t="inlineStr">
        <is>
          <t>Tech.Co</t>
        </is>
      </c>
      <c r="J587" s="18" t="inlineStr">
        <is>
          <t>www.triprism.com</t>
        </is>
      </c>
      <c r="K587" s="19" t="inlineStr">
        <is>
          <t>info@triprism.com</t>
        </is>
      </c>
      <c r="L587" s="20" t="inlineStr">
        <is>
          <t>+1 (877) 767-4686</t>
        </is>
      </c>
      <c r="M587" s="21" t="inlineStr">
        <is>
          <t>Tim Justice</t>
        </is>
      </c>
      <c r="N587" s="22" t="inlineStr">
        <is>
          <t>Owner &amp; President</t>
        </is>
      </c>
      <c r="O587" s="23" t="inlineStr">
        <is>
          <t>tim@phototouchinc.com</t>
        </is>
      </c>
      <c r="P587" s="24" t="inlineStr">
        <is>
          <t>+1 (877) 767-4686</t>
        </is>
      </c>
      <c r="Q587" s="25" t="n">
        <v>1993.0</v>
      </c>
      <c r="R587" s="113">
        <f>HYPERLINK("https://my.pitchbook.com?c=149363-11", "View company online")</f>
      </c>
    </row>
    <row r="588">
      <c r="A588" s="27" t="inlineStr">
        <is>
          <t>181346-59</t>
        </is>
      </c>
      <c r="B588" s="28" t="inlineStr">
        <is>
          <t>Tripplus</t>
        </is>
      </c>
      <c r="C588" s="29" t="inlineStr">
        <is>
          <t>95112</t>
        </is>
      </c>
      <c r="D588" s="30" t="inlineStr">
        <is>
          <t>Operator of an online travel service company designed to provide an online meta-search engine for travel related purposes. The company's online ticket booking platform is designed for users to book flight tickets and make hotel reservations along with an opportunity to earn reward points, enabling users to accumulate, redeem points and get discounts on travel bookings.</t>
        </is>
      </c>
      <c r="E588" s="31" t="inlineStr">
        <is>
          <t>Other Services (B2C Non-Financial)</t>
        </is>
      </c>
      <c r="F588" s="32" t="inlineStr">
        <is>
          <t>San Jose, CA</t>
        </is>
      </c>
      <c r="G588" s="33" t="inlineStr">
        <is>
          <t>Privately Held (backing)</t>
        </is>
      </c>
      <c r="H588" s="34" t="inlineStr">
        <is>
          <t>Accelerator/Incubator Backed</t>
        </is>
      </c>
      <c r="I588" s="35" t="inlineStr">
        <is>
          <t>500 Startups</t>
        </is>
      </c>
      <c r="J588" s="36" t="inlineStr">
        <is>
          <t>www.tripplus.cc</t>
        </is>
      </c>
      <c r="K588" s="37" t="inlineStr">
        <is>
          <t/>
        </is>
      </c>
      <c r="L588" s="38" t="inlineStr">
        <is>
          <t/>
        </is>
      </c>
      <c r="M588" s="39" t="inlineStr">
        <is>
          <t/>
        </is>
      </c>
      <c r="N588" s="40" t="inlineStr">
        <is>
          <t/>
        </is>
      </c>
      <c r="O588" s="41" t="inlineStr">
        <is>
          <t/>
        </is>
      </c>
      <c r="P588" s="42" t="inlineStr">
        <is>
          <t/>
        </is>
      </c>
      <c r="Q588" s="43" t="n">
        <v>2016.0</v>
      </c>
      <c r="R588" s="114">
        <f>HYPERLINK("https://my.pitchbook.com?c=181346-59", "View company online")</f>
      </c>
    </row>
    <row r="589">
      <c r="A589" s="9" t="inlineStr">
        <is>
          <t>65774-53</t>
        </is>
      </c>
      <c r="B589" s="10" t="inlineStr">
        <is>
          <t>TriplePulse</t>
        </is>
      </c>
      <c r="C589" s="11" t="inlineStr">
        <is>
          <t>90401</t>
        </is>
      </c>
      <c r="D589" s="12" t="inlineStr">
        <is>
          <t>Manufacturer of stacks of sports nutrition for endurance athletes. The company also provides custom packs of essential vitamins, samples of the diet supplements and expert fitness advice.</t>
        </is>
      </c>
      <c r="E589" s="13" t="inlineStr">
        <is>
          <t>Personal Products</t>
        </is>
      </c>
      <c r="F589" s="14" t="inlineStr">
        <is>
          <t>Santa Monica, CA</t>
        </is>
      </c>
      <c r="G589" s="15" t="inlineStr">
        <is>
          <t>Privately Held (backing)</t>
        </is>
      </c>
      <c r="H589" s="16" t="inlineStr">
        <is>
          <t>Accelerator/Incubator Backed</t>
        </is>
      </c>
      <c r="I589" s="17" t="inlineStr">
        <is>
          <t>500 Startups, StartEngine.com</t>
        </is>
      </c>
      <c r="J589" s="18" t="inlineStr">
        <is>
          <t>www.triplepulse.com</t>
        </is>
      </c>
      <c r="K589" s="19" t="inlineStr">
        <is>
          <t>info@triplepulse.com</t>
        </is>
      </c>
      <c r="L589" s="20" t="inlineStr">
        <is>
          <t>+1 (424) 256-9133</t>
        </is>
      </c>
      <c r="M589" s="21" t="inlineStr">
        <is>
          <t>Christopher Thompson</t>
        </is>
      </c>
      <c r="N589" s="22" t="inlineStr">
        <is>
          <t>Co-Founder, CEO, Director &amp; President</t>
        </is>
      </c>
      <c r="O589" s="23" t="inlineStr">
        <is>
          <t>chris@trubrain.com</t>
        </is>
      </c>
      <c r="P589" s="24" t="inlineStr">
        <is>
          <t>+1 (650) 241-8372</t>
        </is>
      </c>
      <c r="Q589" s="25" t="n">
        <v>2012.0</v>
      </c>
      <c r="R589" s="113">
        <f>HYPERLINK("https://my.pitchbook.com?c=65774-53", "View company online")</f>
      </c>
    </row>
    <row r="590">
      <c r="A590" s="27" t="inlineStr">
        <is>
          <t>108066-52</t>
        </is>
      </c>
      <c r="B590" s="28" t="inlineStr">
        <is>
          <t>Triple Ring Technologies</t>
        </is>
      </c>
      <c r="C590" s="29" t="inlineStr">
        <is>
          <t>94560</t>
        </is>
      </c>
      <c r="D590" s="30" t="inlineStr">
        <is>
          <t>Provider of research services and developer of medical products. The company is engaged in research and development and provides research and engineering services, such as feasibility analysis, experimental design, product requirements definition, systems architecture etc.</t>
        </is>
      </c>
      <c r="E590" s="31" t="inlineStr">
        <is>
          <t>Other Commercial Services</t>
        </is>
      </c>
      <c r="F590" s="32" t="inlineStr">
        <is>
          <t>Newark, CA</t>
        </is>
      </c>
      <c r="G590" s="33" t="inlineStr">
        <is>
          <t>Privately Held (backing)</t>
        </is>
      </c>
      <c r="H590" s="34" t="inlineStr">
        <is>
          <t>Angel-Backed</t>
        </is>
      </c>
      <c r="I590" s="35" t="inlineStr">
        <is>
          <t>National Institutes of Health, U.S. Department of Health and Human Services, US Department of Homeland Security</t>
        </is>
      </c>
      <c r="J590" s="36" t="inlineStr">
        <is>
          <t>www.tripleringtech.com</t>
        </is>
      </c>
      <c r="K590" s="37" t="inlineStr">
        <is>
          <t/>
        </is>
      </c>
      <c r="L590" s="38" t="inlineStr">
        <is>
          <t>+1 (510) 592-3000</t>
        </is>
      </c>
      <c r="M590" s="39" t="inlineStr">
        <is>
          <t>Peter Clark</t>
        </is>
      </c>
      <c r="N590" s="40" t="inlineStr">
        <is>
          <t>Chief Financial Officer &amp; Vice President</t>
        </is>
      </c>
      <c r="O590" s="41" t="inlineStr">
        <is>
          <t>pete@tripleringtech.com</t>
        </is>
      </c>
      <c r="P590" s="42" t="inlineStr">
        <is>
          <t>+1 (510) 592-3000</t>
        </is>
      </c>
      <c r="Q590" s="43" t="n">
        <v>2004.0</v>
      </c>
      <c r="R590" s="114">
        <f>HYPERLINK("https://my.pitchbook.com?c=108066-52", "View company online")</f>
      </c>
    </row>
    <row r="591">
      <c r="A591" s="9" t="inlineStr">
        <is>
          <t>121701-34</t>
        </is>
      </c>
      <c r="B591" s="10" t="inlineStr">
        <is>
          <t>Tripcloud</t>
        </is>
      </c>
      <c r="C591" s="11" t="inlineStr">
        <is>
          <t>94102</t>
        </is>
      </c>
      <c r="D591" s="12" t="inlineStr">
        <is>
          <t>Developer of a cloud platform for corporate travel planning. The company develops a cloud platform which allows business enterprises to book tickets and manage their expenses related to traveling.</t>
        </is>
      </c>
      <c r="E591" s="13" t="inlineStr">
        <is>
          <t>Other Commercial Services</t>
        </is>
      </c>
      <c r="F591" s="14" t="inlineStr">
        <is>
          <t>San Francisco, CA</t>
        </is>
      </c>
      <c r="G591" s="15" t="inlineStr">
        <is>
          <t>Privately Held (backing)</t>
        </is>
      </c>
      <c r="H591" s="16" t="inlineStr">
        <is>
          <t>Accelerator/Incubator Backed</t>
        </is>
      </c>
      <c r="I591" s="17" t="inlineStr">
        <is>
          <t>Acceleprise, Right Side Capital Management</t>
        </is>
      </c>
      <c r="J591" s="18" t="inlineStr">
        <is>
          <t>tripcloud.io</t>
        </is>
      </c>
      <c r="K591" s="19" t="inlineStr">
        <is>
          <t/>
        </is>
      </c>
      <c r="L591" s="20" t="inlineStr">
        <is>
          <t/>
        </is>
      </c>
      <c r="M591" s="21" t="inlineStr">
        <is>
          <t>Nagarjun Palavalli</t>
        </is>
      </c>
      <c r="N591" s="22" t="inlineStr">
        <is>
          <t>Founder</t>
        </is>
      </c>
      <c r="O591" s="23" t="inlineStr">
        <is>
          <t/>
        </is>
      </c>
      <c r="P591" s="24" t="inlineStr">
        <is>
          <t/>
        </is>
      </c>
      <c r="Q591" s="25" t="n">
        <v>2015.0</v>
      </c>
      <c r="R591" s="113">
        <f>HYPERLINK("https://my.pitchbook.com?c=121701-34", "View company online")</f>
      </c>
    </row>
    <row r="592">
      <c r="A592" s="27" t="inlineStr">
        <is>
          <t>103298-95</t>
        </is>
      </c>
      <c r="B592" s="28" t="inlineStr">
        <is>
          <t>Tripcipe</t>
        </is>
      </c>
      <c r="C592" s="29" t="inlineStr">
        <is>
          <t>94301</t>
        </is>
      </c>
      <c r="D592" s="30" t="inlineStr">
        <is>
          <t>Provider of a travel planning platform. The company provides a platform for planning and organizing trips and allows users to collect and condense information from various sites in one place.</t>
        </is>
      </c>
      <c r="E592" s="31" t="inlineStr">
        <is>
          <t>Social/Platform Software</t>
        </is>
      </c>
      <c r="F592" s="32" t="inlineStr">
        <is>
          <t>Palo Alto, CA</t>
        </is>
      </c>
      <c r="G592" s="33" t="inlineStr">
        <is>
          <t>Privately Held (backing)</t>
        </is>
      </c>
      <c r="H592" s="34" t="inlineStr">
        <is>
          <t>Accelerator/Incubator Backed</t>
        </is>
      </c>
      <c r="I592" s="35" t="inlineStr">
        <is>
          <t>Lightspeed Venture Partners, StartX</t>
        </is>
      </c>
      <c r="J592" s="36" t="inlineStr">
        <is>
          <t>www.tripcipe.com</t>
        </is>
      </c>
      <c r="K592" s="37" t="inlineStr">
        <is>
          <t>hello@tripcipe.com</t>
        </is>
      </c>
      <c r="L592" s="38" t="inlineStr">
        <is>
          <t>+1 (650) 488-7466</t>
        </is>
      </c>
      <c r="M592" s="39" t="inlineStr">
        <is>
          <t>Harry Jiang</t>
        </is>
      </c>
      <c r="N592" s="40" t="inlineStr">
        <is>
          <t>Co-Founder &amp; Chief Technology Officer</t>
        </is>
      </c>
      <c r="O592" s="41" t="inlineStr">
        <is>
          <t>harry@tripcipe.com</t>
        </is>
      </c>
      <c r="P592" s="42" t="inlineStr">
        <is>
          <t>+1 (650) 488-7466</t>
        </is>
      </c>
      <c r="Q592" s="43" t="n">
        <v>2014.0</v>
      </c>
      <c r="R592" s="114">
        <f>HYPERLINK("https://my.pitchbook.com?c=103298-95", "View company online")</f>
      </c>
    </row>
    <row r="593">
      <c r="A593" s="9" t="inlineStr">
        <is>
          <t>156812-59</t>
        </is>
      </c>
      <c r="B593" s="10" t="inlineStr">
        <is>
          <t>Trinity Foods</t>
        </is>
      </c>
      <c r="C593" s="11" t="inlineStr">
        <is>
          <t>92127</t>
        </is>
      </c>
      <c r="D593" s="12" t="inlineStr">
        <is>
          <t>Owner and operator of a global food manufacturing company. The company develops and sells food products internationally that include low-lactose, whey-based milk alternatives and baked Kabocha snack chips for their customers.</t>
        </is>
      </c>
      <c r="E593" s="13" t="inlineStr">
        <is>
          <t>Food Products</t>
        </is>
      </c>
      <c r="F593" s="14" t="inlineStr">
        <is>
          <t>San Diego, CA</t>
        </is>
      </c>
      <c r="G593" s="15" t="inlineStr">
        <is>
          <t>Privately Held (backing)</t>
        </is>
      </c>
      <c r="H593" s="16" t="inlineStr">
        <is>
          <t>Angel-Backed</t>
        </is>
      </c>
      <c r="I593" s="17" t="inlineStr">
        <is>
          <t/>
        </is>
      </c>
      <c r="J593" s="18" t="inlineStr">
        <is>
          <t>www.trinityfoodsusa.com</t>
        </is>
      </c>
      <c r="K593" s="19" t="inlineStr">
        <is>
          <t/>
        </is>
      </c>
      <c r="L593" s="20" t="inlineStr">
        <is>
          <t>+1 (760) 809-8618</t>
        </is>
      </c>
      <c r="M593" s="21" t="inlineStr">
        <is>
          <t>Shawn Hester</t>
        </is>
      </c>
      <c r="N593" s="22" t="inlineStr">
        <is>
          <t>President, Chief Executive Officer, Board Member &amp; Vice President, Sales &amp; Marketing</t>
        </is>
      </c>
      <c r="O593" s="23" t="inlineStr">
        <is>
          <t>shawnhester@trinityfoodsusa.com</t>
        </is>
      </c>
      <c r="P593" s="24" t="inlineStr">
        <is>
          <t>+1 (760) 809-8618</t>
        </is>
      </c>
      <c r="Q593" s="25" t="n">
        <v>2015.0</v>
      </c>
      <c r="R593" s="113">
        <f>HYPERLINK("https://my.pitchbook.com?c=156812-59", "View company online")</f>
      </c>
    </row>
    <row r="594">
      <c r="A594" s="27" t="inlineStr">
        <is>
          <t>102751-21</t>
        </is>
      </c>
      <c r="B594" s="28" t="inlineStr">
        <is>
          <t>Trinity Energy Group</t>
        </is>
      </c>
      <c r="C594" s="29" t="inlineStr">
        <is>
          <t>92612</t>
        </is>
      </c>
      <c r="D594" s="30" t="inlineStr">
        <is>
          <t>Operator of an investment arm to fund the acquisition of oil producing properties. The company operates an investment vehicle to fund the acquisition of oil producing properties, oil exploration opportunities and the capital expenditures to increase oil production on acquired properties.</t>
        </is>
      </c>
      <c r="E594" s="31" t="inlineStr">
        <is>
          <t>Other Energy Services</t>
        </is>
      </c>
      <c r="F594" s="32" t="inlineStr">
        <is>
          <t>Irvine, CA</t>
        </is>
      </c>
      <c r="G594" s="33" t="inlineStr">
        <is>
          <t>Privately Held (backing)</t>
        </is>
      </c>
      <c r="H594" s="34" t="inlineStr">
        <is>
          <t>Angel-Backed</t>
        </is>
      </c>
      <c r="I594" s="35" t="inlineStr">
        <is>
          <t/>
        </is>
      </c>
      <c r="J594" s="36" t="inlineStr">
        <is>
          <t>www.trinitygp.com</t>
        </is>
      </c>
      <c r="K594" s="37" t="inlineStr">
        <is>
          <t/>
        </is>
      </c>
      <c r="L594" s="38" t="inlineStr">
        <is>
          <t>+1 (949) 439-8577</t>
        </is>
      </c>
      <c r="M594" s="39" t="inlineStr">
        <is>
          <t>Mike Pugh</t>
        </is>
      </c>
      <c r="N594" s="40" t="inlineStr">
        <is>
          <t>Chief Financial Officer</t>
        </is>
      </c>
      <c r="O594" s="41" t="inlineStr">
        <is>
          <t>mike@trinitygp.com</t>
        </is>
      </c>
      <c r="P594" s="42" t="inlineStr">
        <is>
          <t>+1 (949) 439-8577</t>
        </is>
      </c>
      <c r="Q594" s="43" t="n">
        <v>2011.0</v>
      </c>
      <c r="R594" s="114">
        <f>HYPERLINK("https://my.pitchbook.com?c=102751-21", "View company online")</f>
      </c>
    </row>
    <row r="595">
      <c r="A595" s="9" t="inlineStr">
        <is>
          <t>153816-76</t>
        </is>
      </c>
      <c r="B595" s="10" t="inlineStr">
        <is>
          <t>Tring Chat</t>
        </is>
      </c>
      <c r="C595" s="11" t="inlineStr">
        <is>
          <t>560072</t>
        </is>
      </c>
      <c r="D595" s="12" t="inlineStr">
        <is>
          <t>Developer of a network messaging application designed to offer chat based customer services. The company's mobile application provides group discovery tools
for browsing for network by category or location, networks admin tools, special network features which includes member-to-member networks and owner-to-member networks, enabling small and large businesses to to generate leads, send marketing messages and provide customer service all on a single channel.</t>
        </is>
      </c>
      <c r="E595" s="13" t="inlineStr">
        <is>
          <t>Application Software</t>
        </is>
      </c>
      <c r="F595" s="14" t="inlineStr">
        <is>
          <t>Bangalore, India</t>
        </is>
      </c>
      <c r="G595" s="15" t="inlineStr">
        <is>
          <t>Privately Held (backing)</t>
        </is>
      </c>
      <c r="H595" s="16" t="inlineStr">
        <is>
          <t>Angel-Backed</t>
        </is>
      </c>
      <c r="I595" s="17" t="inlineStr">
        <is>
          <t>Alok Gupta, Ranganathan V, Vishwadeep Bajaj</t>
        </is>
      </c>
      <c r="J595" s="18" t="inlineStr">
        <is>
          <t>www.tringchat.com</t>
        </is>
      </c>
      <c r="K595" s="19" t="inlineStr">
        <is>
          <t>contact@tringchat.com</t>
        </is>
      </c>
      <c r="L595" s="20" t="inlineStr">
        <is>
          <t/>
        </is>
      </c>
      <c r="M595" s="21" t="inlineStr">
        <is>
          <t>Arun Uday</t>
        </is>
      </c>
      <c r="N595" s="22" t="inlineStr">
        <is>
          <t>Co-Founder</t>
        </is>
      </c>
      <c r="O595" s="23" t="inlineStr">
        <is>
          <t/>
        </is>
      </c>
      <c r="P595" s="24" t="inlineStr">
        <is>
          <t/>
        </is>
      </c>
      <c r="Q595" s="25" t="n">
        <v>2015.0</v>
      </c>
      <c r="R595" s="113">
        <f>HYPERLINK("https://my.pitchbook.com?c=153816-76", "View company online")</f>
      </c>
    </row>
    <row r="596">
      <c r="A596" s="27" t="inlineStr">
        <is>
          <t>156451-69</t>
        </is>
      </c>
      <c r="B596" s="28" t="inlineStr">
        <is>
          <t>Trimian</t>
        </is>
      </c>
      <c r="C596" s="29" t="inlineStr">
        <is>
          <t>94025</t>
        </is>
      </c>
      <c r="D596" s="30" t="inlineStr">
        <is>
          <t>Developer of mobile applications for professionals. The company specializes in designing and developing mobile application tools to help professionals in their work.</t>
        </is>
      </c>
      <c r="E596" s="31" t="inlineStr">
        <is>
          <t>Other Services (B2C Non-Financial)</t>
        </is>
      </c>
      <c r="F596" s="32" t="inlineStr">
        <is>
          <t>Menlo Park, CA</t>
        </is>
      </c>
      <c r="G596" s="33" t="inlineStr">
        <is>
          <t>Privately Held (backing)</t>
        </is>
      </c>
      <c r="H596" s="34" t="inlineStr">
        <is>
          <t>Accelerator/Incubator Backed</t>
        </is>
      </c>
      <c r="I596" s="35" t="inlineStr">
        <is>
          <t>500 Startups</t>
        </is>
      </c>
      <c r="J596" s="36" t="inlineStr">
        <is>
          <t>www.trimian.com</t>
        </is>
      </c>
      <c r="K596" s="37" t="inlineStr">
        <is>
          <t>monkeys@trimian.com</t>
        </is>
      </c>
      <c r="L596" s="38" t="inlineStr">
        <is>
          <t/>
        </is>
      </c>
      <c r="M596" s="39" t="inlineStr">
        <is>
          <t>Amit Kumar</t>
        </is>
      </c>
      <c r="N596" s="40" t="inlineStr">
        <is>
          <t>Co-Founder &amp; Chief Executive Officer</t>
        </is>
      </c>
      <c r="O596" s="41" t="inlineStr">
        <is>
          <t>akumar@trimian.com</t>
        </is>
      </c>
      <c r="P596" s="42" t="inlineStr">
        <is>
          <t/>
        </is>
      </c>
      <c r="Q596" s="43" t="n">
        <v>2015.0</v>
      </c>
      <c r="R596" s="114">
        <f>HYPERLINK("https://my.pitchbook.com?c=156451-69", "View company online")</f>
      </c>
    </row>
    <row r="597">
      <c r="A597" s="9" t="inlineStr">
        <is>
          <t>113917-87</t>
        </is>
      </c>
      <c r="B597" s="10" t="inlineStr">
        <is>
          <t>Trillium Finishing</t>
        </is>
      </c>
      <c r="C597" s="85">
        <f>HYPERLINK("https://my.pitchbook.com?rrp=113917-87&amp;type=c", "This Company's information is not available to download. Need this Company? Request availability")</f>
      </c>
      <c r="D597" s="12" t="inlineStr">
        <is>
          <t/>
        </is>
      </c>
      <c r="E597" s="13" t="inlineStr">
        <is>
          <t/>
        </is>
      </c>
      <c r="F597" s="14" t="inlineStr">
        <is>
          <t/>
        </is>
      </c>
      <c r="G597" s="15" t="inlineStr">
        <is>
          <t/>
        </is>
      </c>
      <c r="H597" s="16" t="inlineStr">
        <is>
          <t/>
        </is>
      </c>
      <c r="I597" s="17" t="inlineStr">
        <is>
          <t/>
        </is>
      </c>
      <c r="J597" s="18" t="inlineStr">
        <is>
          <t/>
        </is>
      </c>
      <c r="K597" s="19" t="inlineStr">
        <is>
          <t/>
        </is>
      </c>
      <c r="L597" s="20" t="inlineStr">
        <is>
          <t/>
        </is>
      </c>
      <c r="M597" s="21" t="inlineStr">
        <is>
          <t/>
        </is>
      </c>
      <c r="N597" s="22" t="inlineStr">
        <is>
          <t/>
        </is>
      </c>
      <c r="O597" s="23" t="inlineStr">
        <is>
          <t/>
        </is>
      </c>
      <c r="P597" s="24" t="inlineStr">
        <is>
          <t/>
        </is>
      </c>
      <c r="Q597" s="25" t="inlineStr">
        <is>
          <t/>
        </is>
      </c>
      <c r="R597" s="26" t="inlineStr">
        <is>
          <t/>
        </is>
      </c>
    </row>
    <row r="598">
      <c r="A598" s="27" t="inlineStr">
        <is>
          <t>107852-05</t>
        </is>
      </c>
      <c r="B598" s="28" t="inlineStr">
        <is>
          <t>Triggar</t>
        </is>
      </c>
      <c r="C598" s="29" t="inlineStr">
        <is>
          <t>2010</t>
        </is>
      </c>
      <c r="D598" s="30" t="inlineStr">
        <is>
          <t>Developer of a 360 degree capture camera system. The company develops a system for capturing and sharing 360 degree Virtual Reality (VR) imagery.</t>
        </is>
      </c>
      <c r="E598" s="31" t="inlineStr">
        <is>
          <t>Electronics (B2C)</t>
        </is>
      </c>
      <c r="F598" s="32" t="inlineStr">
        <is>
          <t>Surry Hills, Australia</t>
        </is>
      </c>
      <c r="G598" s="33" t="inlineStr">
        <is>
          <t>Privately Held (backing)</t>
        </is>
      </c>
      <c r="H598" s="34" t="inlineStr">
        <is>
          <t>Accelerator/Incubator Backed</t>
        </is>
      </c>
      <c r="I598" s="35" t="inlineStr">
        <is>
          <t>River</t>
        </is>
      </c>
      <c r="J598" s="36" t="inlineStr">
        <is>
          <t>www.triggar.com.au</t>
        </is>
      </c>
      <c r="K598" s="37" t="inlineStr">
        <is>
          <t>info@triggar.com.au</t>
        </is>
      </c>
      <c r="L598" s="38" t="inlineStr">
        <is>
          <t>+61 (0)2 8012 2697</t>
        </is>
      </c>
      <c r="M598" s="39" t="inlineStr">
        <is>
          <t>Bruce Allan</t>
        </is>
      </c>
      <c r="N598" s="40" t="inlineStr">
        <is>
          <t>Founding Partner</t>
        </is>
      </c>
      <c r="O598" s="41" t="inlineStr">
        <is>
          <t>ba@triggar.com.au</t>
        </is>
      </c>
      <c r="P598" s="42" t="inlineStr">
        <is>
          <t>+61 (0)2 8012 2697</t>
        </is>
      </c>
      <c r="Q598" s="43" t="n">
        <v>2010.0</v>
      </c>
      <c r="R598" s="114">
        <f>HYPERLINK("https://my.pitchbook.com?c=107852-05", "View company online")</f>
      </c>
    </row>
    <row r="599">
      <c r="A599" s="9" t="inlineStr">
        <is>
          <t>110715-58</t>
        </is>
      </c>
      <c r="B599" s="10" t="inlineStr">
        <is>
          <t>Tri-D Dynamics</t>
        </is>
      </c>
      <c r="C599" s="11" t="inlineStr">
        <is>
          <t>90703</t>
        </is>
      </c>
      <c r="D599" s="12" t="inlineStr">
        <is>
          <t>Developer of a 3D-printed rocket engine designed to improve on advanced 3-D printing methods for metalworking. The company's rocket engine is created by 3-D printer and are lightweight, enabling launch vehicle developers to get reduced cost to access space.</t>
        </is>
      </c>
      <c r="E599" s="13" t="inlineStr">
        <is>
          <t>Aerospace and Defense</t>
        </is>
      </c>
      <c r="F599" s="14" t="inlineStr">
        <is>
          <t>Cerritos, CA</t>
        </is>
      </c>
      <c r="G599" s="15" t="inlineStr">
        <is>
          <t>Privately Held (backing)</t>
        </is>
      </c>
      <c r="H599" s="16" t="inlineStr">
        <is>
          <t>Accelerator/Incubator Backed</t>
        </is>
      </c>
      <c r="I599" s="17" t="inlineStr">
        <is>
          <t>Moxie Center, NASA SBIR/STTR, Purdue Foundry, Purdue University Endowment</t>
        </is>
      </c>
      <c r="J599" s="18" t="inlineStr">
        <is>
          <t>www.triddynamics.com</t>
        </is>
      </c>
      <c r="K599" s="19" t="inlineStr">
        <is>
          <t>info@triddynamics.com</t>
        </is>
      </c>
      <c r="L599" s="20" t="inlineStr">
        <is>
          <t/>
        </is>
      </c>
      <c r="M599" s="21" t="inlineStr">
        <is>
          <t>Deepak Atyam</t>
        </is>
      </c>
      <c r="N599" s="22" t="inlineStr">
        <is>
          <t>Co-Founder &amp; Chief Executive Officer</t>
        </is>
      </c>
      <c r="O599" s="23" t="inlineStr">
        <is>
          <t>deepak@triddynamics.com</t>
        </is>
      </c>
      <c r="P599" s="24" t="inlineStr">
        <is>
          <t>+1 (562) 714-7506</t>
        </is>
      </c>
      <c r="Q599" s="25" t="n">
        <v>2015.0</v>
      </c>
      <c r="R599" s="113">
        <f>HYPERLINK("https://my.pitchbook.com?c=110715-58", "View company online")</f>
      </c>
    </row>
    <row r="600">
      <c r="A600" s="27" t="inlineStr">
        <is>
          <t>61588-99</t>
        </is>
      </c>
      <c r="B600" s="28" t="inlineStr">
        <is>
          <t>Trice Imaging</t>
        </is>
      </c>
      <c r="C600" s="29" t="inlineStr">
        <is>
          <t>92014</t>
        </is>
      </c>
      <c r="D600" s="30" t="inlineStr">
        <is>
          <t>Provider of a cloud-based medical imaging routing platform. The company offers a medical image routing platform that mobilizes DICOM information from any imaging modality to any cell phone, email account or remote archive.</t>
        </is>
      </c>
      <c r="E600" s="31" t="inlineStr">
        <is>
          <t>Other Healthcare Services</t>
        </is>
      </c>
      <c r="F600" s="32" t="inlineStr">
        <is>
          <t>Del Mar, CA</t>
        </is>
      </c>
      <c r="G600" s="33" t="inlineStr">
        <is>
          <t>Privately Held (backing)</t>
        </is>
      </c>
      <c r="H600" s="34" t="inlineStr">
        <is>
          <t>Angel-Backed</t>
        </is>
      </c>
      <c r="I600" s="35" t="inlineStr">
        <is>
          <t>Elin Elkehag, GE Healthcare, Qualcomm</t>
        </is>
      </c>
      <c r="J600" s="36" t="inlineStr">
        <is>
          <t>www.triceimaging.com</t>
        </is>
      </c>
      <c r="K600" s="37" t="inlineStr">
        <is>
          <t>info@triceimaging.com</t>
        </is>
      </c>
      <c r="L600" s="38" t="inlineStr">
        <is>
          <t>+1 (858) 361-8232</t>
        </is>
      </c>
      <c r="M600" s="39" t="inlineStr">
        <is>
          <t>Jan Hagenfeldt</t>
        </is>
      </c>
      <c r="N600" s="40" t="inlineStr">
        <is>
          <t>Chief Financial Officer</t>
        </is>
      </c>
      <c r="O600" s="41" t="inlineStr">
        <is>
          <t>tomas@triceimaging.com</t>
        </is>
      </c>
      <c r="P600" s="42" t="inlineStr">
        <is>
          <t>+1 (858) 361-8232</t>
        </is>
      </c>
      <c r="Q600" s="43" t="n">
        <v>2008.0</v>
      </c>
      <c r="R600" s="114">
        <f>HYPERLINK("https://my.pitchbook.com?c=61588-99", "View company online")</f>
      </c>
    </row>
    <row r="601">
      <c r="A601" s="9" t="inlineStr">
        <is>
          <t>127243-54</t>
        </is>
      </c>
      <c r="B601" s="10" t="inlineStr">
        <is>
          <t>Tribeworthy</t>
        </is>
      </c>
      <c r="C601" s="11" t="inlineStr">
        <is>
          <t>95928</t>
        </is>
      </c>
      <c r="D601" s="12" t="inlineStr">
        <is>
          <t>Provider of online news articles. The company provides an online platform that helps its users to find online rated news articles. Users can review the online article as 'Trustworthy' or 'Not Trustworthy' and select the reason an article is not trustworthy.</t>
        </is>
      </c>
      <c r="E601" s="13" t="inlineStr">
        <is>
          <t>Application Software</t>
        </is>
      </c>
      <c r="F601" s="14" t="inlineStr">
        <is>
          <t>Chico, CA</t>
        </is>
      </c>
      <c r="G601" s="15" t="inlineStr">
        <is>
          <t>Privately Held (backing)</t>
        </is>
      </c>
      <c r="H601" s="16" t="inlineStr">
        <is>
          <t>Accelerator/Incubator Backed</t>
        </is>
      </c>
      <c r="I601" s="17" t="inlineStr">
        <is>
          <t>Chicostart</t>
        </is>
      </c>
      <c r="J601" s="18" t="inlineStr">
        <is>
          <t>www.tribeworthy.com</t>
        </is>
      </c>
      <c r="K601" s="19" t="inlineStr">
        <is>
          <t>tribeworthy@gmail.com</t>
        </is>
      </c>
      <c r="L601" s="20" t="inlineStr">
        <is>
          <t/>
        </is>
      </c>
      <c r="M601" s="21" t="inlineStr">
        <is>
          <t>Chase Palmieri</t>
        </is>
      </c>
      <c r="N601" s="22" t="inlineStr">
        <is>
          <t>Co-Founder &amp; Chief Executive Officer</t>
        </is>
      </c>
      <c r="O601" s="23" t="inlineStr">
        <is>
          <t>tribeworthy@gmail.com</t>
        </is>
      </c>
      <c r="P601" s="24" t="inlineStr">
        <is>
          <t/>
        </is>
      </c>
      <c r="Q601" s="25" t="n">
        <v>2016.0</v>
      </c>
      <c r="R601" s="113">
        <f>HYPERLINK("https://my.pitchbook.com?c=127243-54", "View company online")</f>
      </c>
    </row>
    <row r="602">
      <c r="A602" s="27" t="inlineStr">
        <is>
          <t>167551-75</t>
        </is>
      </c>
      <c r="B602" s="28" t="inlineStr">
        <is>
          <t>Trials.ai</t>
        </is>
      </c>
      <c r="C602" s="29" t="inlineStr">
        <is>
          <t>92101</t>
        </is>
      </c>
      <c r="D602" s="30" t="inlineStr">
        <is>
          <t>Provider of an artificial intelligence based clinical trials management platform. The company's cloud-based platform leverages artificial intelligence to automate the clinical trials management process.</t>
        </is>
      </c>
      <c r="E602" s="31" t="inlineStr">
        <is>
          <t>Other Healthcare</t>
        </is>
      </c>
      <c r="F602" s="32" t="inlineStr">
        <is>
          <t>San Diego, CA</t>
        </is>
      </c>
      <c r="G602" s="33" t="inlineStr">
        <is>
          <t>Privately Held (backing)</t>
        </is>
      </c>
      <c r="H602" s="34" t="inlineStr">
        <is>
          <t>Accelerator/Incubator Backed</t>
        </is>
      </c>
      <c r="I602" s="35" t="inlineStr">
        <is>
          <t>EvoNexus</t>
        </is>
      </c>
      <c r="J602" s="36" t="inlineStr">
        <is>
          <t>www.trials.ai</t>
        </is>
      </c>
      <c r="K602" s="37" t="inlineStr">
        <is>
          <t>info@trials.ai</t>
        </is>
      </c>
      <c r="L602" s="38" t="inlineStr">
        <is>
          <t>+1 (518) 314-9413</t>
        </is>
      </c>
      <c r="M602" s="39" t="inlineStr">
        <is>
          <t>Kim Walpole</t>
        </is>
      </c>
      <c r="N602" s="40" t="inlineStr">
        <is>
          <t>Co-Founder &amp; Chief Executive Officer</t>
        </is>
      </c>
      <c r="O602" s="41" t="inlineStr">
        <is>
          <t>kim.walpole@trials.ai</t>
        </is>
      </c>
      <c r="P602" s="42" t="inlineStr">
        <is>
          <t>+1 (518) 314-9413</t>
        </is>
      </c>
      <c r="Q602" s="43" t="n">
        <v>2014.0</v>
      </c>
      <c r="R602" s="114">
        <f>HYPERLINK("https://my.pitchbook.com?c=167551-75", "View company online")</f>
      </c>
    </row>
    <row r="603">
      <c r="A603" s="9" t="inlineStr">
        <is>
          <t>113748-49</t>
        </is>
      </c>
      <c r="B603" s="10" t="inlineStr">
        <is>
          <t>Trial Funder</t>
        </is>
      </c>
      <c r="C603" s="11" t="inlineStr">
        <is>
          <t>90067</t>
        </is>
      </c>
      <c r="D603" s="12" t="inlineStr">
        <is>
          <t>Provider of an online litigation crowdfunding platform. The company offers a web-based crowdfunding platform for investment in litigation to help plaintiffs obtain the highest recoveries possible and access to the justice system.</t>
        </is>
      </c>
      <c r="E603" s="13" t="inlineStr">
        <is>
          <t>Other Financial Services</t>
        </is>
      </c>
      <c r="F603" s="14" t="inlineStr">
        <is>
          <t>Los Angeles, CA</t>
        </is>
      </c>
      <c r="G603" s="15" t="inlineStr">
        <is>
          <t>Privately Held (backing)</t>
        </is>
      </c>
      <c r="H603" s="16" t="inlineStr">
        <is>
          <t>Angel-Backed</t>
        </is>
      </c>
      <c r="I603" s="17" t="inlineStr">
        <is>
          <t/>
        </is>
      </c>
      <c r="J603" s="18" t="inlineStr">
        <is>
          <t>www.trialfunder.com</t>
        </is>
      </c>
      <c r="K603" s="19" t="inlineStr">
        <is>
          <t/>
        </is>
      </c>
      <c r="L603" s="20" t="inlineStr">
        <is>
          <t>+1 (310) 738-2166</t>
        </is>
      </c>
      <c r="M603" s="21" t="inlineStr">
        <is>
          <t>Anoush Hakimi</t>
        </is>
      </c>
      <c r="N603" s="22" t="inlineStr">
        <is>
          <t>Founder &amp; Chief Executive Officer</t>
        </is>
      </c>
      <c r="O603" s="23" t="inlineStr">
        <is>
          <t>anoush@trialfunder.com</t>
        </is>
      </c>
      <c r="P603" s="24" t="inlineStr">
        <is>
          <t>+1 (310) 203 5309</t>
        </is>
      </c>
      <c r="Q603" s="25" t="n">
        <v>2014.0</v>
      </c>
      <c r="R603" s="113">
        <f>HYPERLINK("https://my.pitchbook.com?c=113748-49", "View company online")</f>
      </c>
    </row>
    <row r="604">
      <c r="A604" s="27" t="inlineStr">
        <is>
          <t>114987-25</t>
        </is>
      </c>
      <c r="B604" s="28" t="inlineStr">
        <is>
          <t>TriAct Therapeutics</t>
        </is>
      </c>
      <c r="C604" s="29" t="inlineStr">
        <is>
          <t>94118</t>
        </is>
      </c>
      <c r="D604" s="30" t="inlineStr">
        <is>
          <t>Developer of a novel signaling pathway inhibitor designed to meet the significant and unmet needs of lung cancer patients. The company's pathway inhibitor focuses on high-value non-small cell lung cancer indications that effectively deny tumor cells, enabling healthcare providers to enhance the anti-tumor effects of both standard and next-generation cancer therapies.</t>
        </is>
      </c>
      <c r="E604" s="31" t="inlineStr">
        <is>
          <t>Pharmaceuticals</t>
        </is>
      </c>
      <c r="F604" s="32" t="inlineStr">
        <is>
          <t>San Francisco, CA</t>
        </is>
      </c>
      <c r="G604" s="33" t="inlineStr">
        <is>
          <t>Privately Held (backing)</t>
        </is>
      </c>
      <c r="H604" s="34" t="inlineStr">
        <is>
          <t>Angel-Backed</t>
        </is>
      </c>
      <c r="I604" s="35" t="inlineStr">
        <is>
          <t/>
        </is>
      </c>
      <c r="J604" s="36" t="inlineStr">
        <is>
          <t/>
        </is>
      </c>
      <c r="K604" s="37" t="inlineStr">
        <is>
          <t/>
        </is>
      </c>
      <c r="L604" s="38" t="inlineStr">
        <is>
          <t>+1 (415) 602-7497</t>
        </is>
      </c>
      <c r="M604" s="39" t="inlineStr">
        <is>
          <t>Thomas White</t>
        </is>
      </c>
      <c r="N604" s="40" t="inlineStr">
        <is>
          <t>Co-Founder, Chief Executive Officer &amp; President</t>
        </is>
      </c>
      <c r="O604" s="41" t="inlineStr">
        <is>
          <t>tom.white@triactinc.com</t>
        </is>
      </c>
      <c r="P604" s="42" t="inlineStr">
        <is>
          <t>+1 (415) 602-7497</t>
        </is>
      </c>
      <c r="Q604" s="43" t="n">
        <v>2008.0</v>
      </c>
      <c r="R604" s="114">
        <f>HYPERLINK("https://my.pitchbook.com?c=114987-25", "View company online")</f>
      </c>
    </row>
    <row r="605">
      <c r="A605" s="9" t="inlineStr">
        <is>
          <t>66175-03</t>
        </is>
      </c>
      <c r="B605" s="10" t="inlineStr">
        <is>
          <t>Trevi Systems</t>
        </is>
      </c>
      <c r="C605" s="11" t="inlineStr">
        <is>
          <t>94954</t>
        </is>
      </c>
      <c r="D605" s="12" t="inlineStr">
        <is>
          <t>Developer of an osmosis desalination technology. The company's technology helps to produce clean water from saltwater, brackish water and industrial wastewater.</t>
        </is>
      </c>
      <c r="E605" s="13" t="inlineStr">
        <is>
          <t>Water Utilities</t>
        </is>
      </c>
      <c r="F605" s="14" t="inlineStr">
        <is>
          <t>Petaluma, CA</t>
        </is>
      </c>
      <c r="G605" s="15" t="inlineStr">
        <is>
          <t>Privately Held (backing)</t>
        </is>
      </c>
      <c r="H605" s="16" t="inlineStr">
        <is>
          <t>Angel-Backed</t>
        </is>
      </c>
      <c r="I605" s="17" t="inlineStr">
        <is>
          <t>Nelson Chu</t>
        </is>
      </c>
      <c r="J605" s="18" t="inlineStr">
        <is>
          <t>www.trevisystems.com</t>
        </is>
      </c>
      <c r="K605" s="19" t="inlineStr">
        <is>
          <t>info@trevisystems.com</t>
        </is>
      </c>
      <c r="L605" s="20" t="inlineStr">
        <is>
          <t>+1 (707) 792-2681</t>
        </is>
      </c>
      <c r="M605" s="21" t="inlineStr">
        <is>
          <t>Karen Godfrey</t>
        </is>
      </c>
      <c r="N605" s="22" t="inlineStr">
        <is>
          <t>Chief Financial Officer</t>
        </is>
      </c>
      <c r="O605" s="23" t="inlineStr">
        <is>
          <t>kgodfrey@trevisystems.com</t>
        </is>
      </c>
      <c r="P605" s="24" t="inlineStr">
        <is>
          <t>+1 (707) 792-2681</t>
        </is>
      </c>
      <c r="Q605" s="25" t="n">
        <v>2010.0</v>
      </c>
      <c r="R605" s="113">
        <f>HYPERLINK("https://my.pitchbook.com?c=66175-03", "View company online")</f>
      </c>
    </row>
    <row r="606">
      <c r="A606" s="27" t="inlineStr">
        <is>
          <t>172440-55</t>
        </is>
      </c>
      <c r="B606" s="28" t="inlineStr">
        <is>
          <t>Tresidder Networks</t>
        </is>
      </c>
      <c r="C606" s="86">
        <f>HYPERLINK("https://my.pitchbook.com?rrp=172440-55&amp;type=c", "This Company's information is not available to download. Need this Company? Request availability")</f>
      </c>
      <c r="D606" s="30" t="inlineStr">
        <is>
          <t/>
        </is>
      </c>
      <c r="E606" s="31" t="inlineStr">
        <is>
          <t/>
        </is>
      </c>
      <c r="F606" s="32" t="inlineStr">
        <is>
          <t/>
        </is>
      </c>
      <c r="G606" s="33" t="inlineStr">
        <is>
          <t/>
        </is>
      </c>
      <c r="H606" s="34" t="inlineStr">
        <is>
          <t/>
        </is>
      </c>
      <c r="I606" s="35" t="inlineStr">
        <is>
          <t/>
        </is>
      </c>
      <c r="J606" s="36" t="inlineStr">
        <is>
          <t/>
        </is>
      </c>
      <c r="K606" s="37" t="inlineStr">
        <is>
          <t/>
        </is>
      </c>
      <c r="L606" s="38" t="inlineStr">
        <is>
          <t/>
        </is>
      </c>
      <c r="M606" s="39" t="inlineStr">
        <is>
          <t/>
        </is>
      </c>
      <c r="N606" s="40" t="inlineStr">
        <is>
          <t/>
        </is>
      </c>
      <c r="O606" s="41" t="inlineStr">
        <is>
          <t/>
        </is>
      </c>
      <c r="P606" s="42" t="inlineStr">
        <is>
          <t/>
        </is>
      </c>
      <c r="Q606" s="43" t="inlineStr">
        <is>
          <t/>
        </is>
      </c>
      <c r="R606" s="44" t="inlineStr">
        <is>
          <t/>
        </is>
      </c>
    </row>
    <row r="607">
      <c r="A607" s="9" t="inlineStr">
        <is>
          <t>162203-05</t>
        </is>
      </c>
      <c r="B607" s="10" t="inlineStr">
        <is>
          <t>Trepic</t>
        </is>
      </c>
      <c r="C607" s="11" t="inlineStr">
        <is>
          <t>94306</t>
        </is>
      </c>
      <c r="D607" s="12" t="inlineStr">
        <is>
          <t>Developer of a mobile application for trip and vacation planning. The company develops a mobile application that enables users to find and plan adventure based vacations and trips.</t>
        </is>
      </c>
      <c r="E607" s="13" t="inlineStr">
        <is>
          <t>Application Software</t>
        </is>
      </c>
      <c r="F607" s="14" t="inlineStr">
        <is>
          <t>Palo Alto, CA</t>
        </is>
      </c>
      <c r="G607" s="15" t="inlineStr">
        <is>
          <t>Privately Held (backing)</t>
        </is>
      </c>
      <c r="H607" s="16" t="inlineStr">
        <is>
          <t>Angel-Backed</t>
        </is>
      </c>
      <c r="I607" s="17" t="inlineStr">
        <is>
          <t/>
        </is>
      </c>
      <c r="J607" s="18" t="inlineStr">
        <is>
          <t>www.trepic.co</t>
        </is>
      </c>
      <c r="K607" s="19" t="inlineStr">
        <is>
          <t>photo@trepic.co</t>
        </is>
      </c>
      <c r="L607" s="20" t="inlineStr">
        <is>
          <t>+1 (800) 707-7003</t>
        </is>
      </c>
      <c r="M607" s="21" t="inlineStr">
        <is>
          <t>Kimberli Cheung Wright</t>
        </is>
      </c>
      <c r="N607" s="22" t="inlineStr">
        <is>
          <t>Founder &amp; Chief Executive Officer</t>
        </is>
      </c>
      <c r="O607" s="23" t="inlineStr">
        <is>
          <t>kimberli@trepic.co</t>
        </is>
      </c>
      <c r="P607" s="24" t="inlineStr">
        <is>
          <t>+1 (800) 707-7003</t>
        </is>
      </c>
      <c r="Q607" s="25" t="n">
        <v>2014.0</v>
      </c>
      <c r="R607" s="113">
        <f>HYPERLINK("https://my.pitchbook.com?c=162203-05", "View company online")</f>
      </c>
    </row>
    <row r="608">
      <c r="A608" s="27" t="inlineStr">
        <is>
          <t>91230-13</t>
        </is>
      </c>
      <c r="B608" s="28" t="inlineStr">
        <is>
          <t>Trendy Mondays</t>
        </is>
      </c>
      <c r="C608" s="29" t="inlineStr">
        <is>
          <t>94105</t>
        </is>
      </c>
      <c r="D608" s="30" t="inlineStr">
        <is>
          <t>Operator of an online store for selling garments. The company develops an e-commerce platform for selling designer clothes and accessories such as tops, dresses, pants and shoes.</t>
        </is>
      </c>
      <c r="E608" s="31" t="inlineStr">
        <is>
          <t>Internet Retail</t>
        </is>
      </c>
      <c r="F608" s="32" t="inlineStr">
        <is>
          <t>San Francisco, CA</t>
        </is>
      </c>
      <c r="G608" s="33" t="inlineStr">
        <is>
          <t>Privately Held (backing)</t>
        </is>
      </c>
      <c r="H608" s="34" t="inlineStr">
        <is>
          <t>Angel-Backed</t>
        </is>
      </c>
      <c r="I608" s="35" t="inlineStr">
        <is>
          <t/>
        </is>
      </c>
      <c r="J608" s="36" t="inlineStr">
        <is>
          <t>www.trendymondays.com</t>
        </is>
      </c>
      <c r="K608" s="37" t="inlineStr">
        <is>
          <t>hello@trendymondays.com</t>
        </is>
      </c>
      <c r="L608" s="38" t="inlineStr">
        <is>
          <t>+1 (408) 219-4786</t>
        </is>
      </c>
      <c r="M608" s="39" t="inlineStr">
        <is>
          <t>Monica Espina</t>
        </is>
      </c>
      <c r="N608" s="40" t="inlineStr">
        <is>
          <t>Chief Executive Officer, Board Member and Co-Founder</t>
        </is>
      </c>
      <c r="O608" s="41" t="inlineStr">
        <is>
          <t>monica@trendymondays.com</t>
        </is>
      </c>
      <c r="P608" s="42" t="inlineStr">
        <is>
          <t>+1 (408) 219-4786</t>
        </is>
      </c>
      <c r="Q608" s="43" t="n">
        <v>2012.0</v>
      </c>
      <c r="R608" s="114">
        <f>HYPERLINK("https://my.pitchbook.com?c=91230-13", "View company online")</f>
      </c>
    </row>
    <row r="609">
      <c r="A609" s="9" t="inlineStr">
        <is>
          <t>150910-48</t>
        </is>
      </c>
      <c r="B609" s="10" t="inlineStr">
        <is>
          <t>Trendage</t>
        </is>
      </c>
      <c r="C609" s="11" t="inlineStr">
        <is>
          <t>95050</t>
        </is>
      </c>
      <c r="D609" s="12" t="inlineStr">
        <is>
          <t>Provider of a online fashion shopping platform designed to offer personalized shopping experiences. The company's shopping website offers mixing and matching of brands enabling users to digitally create personalized looks on all devices and platforms.</t>
        </is>
      </c>
      <c r="E609" s="13" t="inlineStr">
        <is>
          <t>Social/Platform Software</t>
        </is>
      </c>
      <c r="F609" s="14" t="inlineStr">
        <is>
          <t>Santa Clara, CA</t>
        </is>
      </c>
      <c r="G609" s="15" t="inlineStr">
        <is>
          <t>Privately Held (backing)</t>
        </is>
      </c>
      <c r="H609" s="16" t="inlineStr">
        <is>
          <t>Angel-Backed</t>
        </is>
      </c>
      <c r="I609" s="17" t="inlineStr">
        <is>
          <t/>
        </is>
      </c>
      <c r="J609" s="18" t="inlineStr">
        <is>
          <t>www.trendage.com</t>
        </is>
      </c>
      <c r="K609" s="19" t="inlineStr">
        <is>
          <t/>
        </is>
      </c>
      <c r="L609" s="20" t="inlineStr">
        <is>
          <t/>
        </is>
      </c>
      <c r="M609" s="21" t="inlineStr">
        <is>
          <t>Vineet Chaudhary</t>
        </is>
      </c>
      <c r="N609" s="22" t="inlineStr">
        <is>
          <t>Co-Founder &amp; Chief Executive Officer</t>
        </is>
      </c>
      <c r="O609" s="23" t="inlineStr">
        <is>
          <t>vineet@trendage.com</t>
        </is>
      </c>
      <c r="P609" s="24" t="inlineStr">
        <is>
          <t>+1 (408) 497-7420</t>
        </is>
      </c>
      <c r="Q609" s="25" t="n">
        <v>2014.0</v>
      </c>
      <c r="R609" s="113">
        <f>HYPERLINK("https://my.pitchbook.com?c=150910-48", "View company online")</f>
      </c>
    </row>
    <row r="610">
      <c r="A610" s="27" t="inlineStr">
        <is>
          <t>173708-56</t>
        </is>
      </c>
      <c r="B610" s="28" t="inlineStr">
        <is>
          <t>Trekk</t>
        </is>
      </c>
      <c r="C610" s="86">
        <f>HYPERLINK("https://my.pitchbook.com?rrp=173708-56&amp;type=c", "This Company's information is not available to download. Need this Company? Request availability")</f>
      </c>
      <c r="D610" s="30" t="inlineStr">
        <is>
          <t/>
        </is>
      </c>
      <c r="E610" s="31" t="inlineStr">
        <is>
          <t/>
        </is>
      </c>
      <c r="F610" s="32" t="inlineStr">
        <is>
          <t/>
        </is>
      </c>
      <c r="G610" s="33" t="inlineStr">
        <is>
          <t/>
        </is>
      </c>
      <c r="H610" s="34" t="inlineStr">
        <is>
          <t/>
        </is>
      </c>
      <c r="I610" s="35" t="inlineStr">
        <is>
          <t/>
        </is>
      </c>
      <c r="J610" s="36" t="inlineStr">
        <is>
          <t/>
        </is>
      </c>
      <c r="K610" s="37" t="inlineStr">
        <is>
          <t/>
        </is>
      </c>
      <c r="L610" s="38" t="inlineStr">
        <is>
          <t/>
        </is>
      </c>
      <c r="M610" s="39" t="inlineStr">
        <is>
          <t/>
        </is>
      </c>
      <c r="N610" s="40" t="inlineStr">
        <is>
          <t/>
        </is>
      </c>
      <c r="O610" s="41" t="inlineStr">
        <is>
          <t/>
        </is>
      </c>
      <c r="P610" s="42" t="inlineStr">
        <is>
          <t/>
        </is>
      </c>
      <c r="Q610" s="43" t="inlineStr">
        <is>
          <t/>
        </is>
      </c>
      <c r="R610" s="44" t="inlineStr">
        <is>
          <t/>
        </is>
      </c>
    </row>
    <row r="611">
      <c r="A611" s="9" t="inlineStr">
        <is>
          <t>94273-21</t>
        </is>
      </c>
      <c r="B611" s="10" t="inlineStr">
        <is>
          <t>Trekaroo</t>
        </is>
      </c>
      <c r="C611" s="11" t="inlineStr">
        <is>
          <t>94044</t>
        </is>
      </c>
      <c r="D611" s="12" t="inlineStr">
        <is>
          <t>Developer of a family travel community. The company develops a community for travelling with kids and helps in discovering kid-friendly activities, hotels and restaurants.</t>
        </is>
      </c>
      <c r="E611" s="13" t="inlineStr">
        <is>
          <t>Leisure Facilities</t>
        </is>
      </c>
      <c r="F611" s="14" t="inlineStr">
        <is>
          <t>Pacifica, CA</t>
        </is>
      </c>
      <c r="G611" s="15" t="inlineStr">
        <is>
          <t>Privately Held (backing)</t>
        </is>
      </c>
      <c r="H611" s="16" t="inlineStr">
        <is>
          <t>Accelerator/Incubator Backed</t>
        </is>
      </c>
      <c r="I611" s="17" t="inlineStr">
        <is>
          <t>SoftLayer Catalyst</t>
        </is>
      </c>
      <c r="J611" s="18" t="inlineStr">
        <is>
          <t>www.trekaroo.com</t>
        </is>
      </c>
      <c r="K611" s="19" t="inlineStr">
        <is>
          <t>info@trekaroo.com</t>
        </is>
      </c>
      <c r="L611" s="20" t="inlineStr">
        <is>
          <t>+1 (650) 549-5503</t>
        </is>
      </c>
      <c r="M611" s="21" t="inlineStr">
        <is>
          <t>Liling Pang</t>
        </is>
      </c>
      <c r="N611" s="22" t="inlineStr">
        <is>
          <t>Co-Founder &amp; Co-Chief Executive Officer, Product Development</t>
        </is>
      </c>
      <c r="O611" s="23" t="inlineStr">
        <is>
          <t>lpang@trekaroo.com</t>
        </is>
      </c>
      <c r="P611" s="24" t="inlineStr">
        <is>
          <t>+1 (650) 549-5503</t>
        </is>
      </c>
      <c r="Q611" s="25" t="n">
        <v>2008.0</v>
      </c>
      <c r="R611" s="113">
        <f>HYPERLINK("https://my.pitchbook.com?c=94273-21", "View company online")</f>
      </c>
    </row>
    <row r="612">
      <c r="A612" s="27" t="inlineStr">
        <is>
          <t>112850-47</t>
        </is>
      </c>
      <c r="B612" s="28" t="inlineStr">
        <is>
          <t>Trefoil Therapeutics</t>
        </is>
      </c>
      <c r="C612" s="29" t="inlineStr">
        <is>
          <t>92130</t>
        </is>
      </c>
      <c r="D612" s="30" t="inlineStr">
        <is>
          <t>Developer of new therapies for treating cell deficiency diseases. The company develops therapies for treatments in endothelial cell deficiency and corneal endothelial dystrophies diseases.</t>
        </is>
      </c>
      <c r="E612" s="31" t="inlineStr">
        <is>
          <t>Drug Discovery</t>
        </is>
      </c>
      <c r="F612" s="32" t="inlineStr">
        <is>
          <t>San Diego, CA</t>
        </is>
      </c>
      <c r="G612" s="33" t="inlineStr">
        <is>
          <t>Privately Held (backing)</t>
        </is>
      </c>
      <c r="H612" s="34" t="inlineStr">
        <is>
          <t>Accelerator/Incubator Backed</t>
        </is>
      </c>
      <c r="I612" s="35" t="inlineStr">
        <is>
          <t>CONNECT (Accelerator), Correlation Ventures, National Institutes of Health</t>
        </is>
      </c>
      <c r="J612" s="36" t="inlineStr">
        <is>
          <t>www.trefoiltherapeutics.com</t>
        </is>
      </c>
      <c r="K612" s="37" t="inlineStr">
        <is>
          <t>develeth@trefoiltherapeutics.com</t>
        </is>
      </c>
      <c r="L612" s="38" t="inlineStr">
        <is>
          <t>+1 (917) 628-8502</t>
        </is>
      </c>
      <c r="M612" s="39" t="inlineStr">
        <is>
          <t>Schalon Newton</t>
        </is>
      </c>
      <c r="N612" s="40" t="inlineStr">
        <is>
          <t>Chief Business Officer</t>
        </is>
      </c>
      <c r="O612" s="41" t="inlineStr">
        <is>
          <t>snewton@trefoiltherapeutics.com</t>
        </is>
      </c>
      <c r="P612" s="42" t="inlineStr">
        <is>
          <t>+1 (917) 628-8502</t>
        </is>
      </c>
      <c r="Q612" s="43" t="n">
        <v>2013.0</v>
      </c>
      <c r="R612" s="114">
        <f>HYPERLINK("https://my.pitchbook.com?c=112850-47", "View company online")</f>
      </c>
    </row>
    <row r="613">
      <c r="A613" s="9" t="inlineStr">
        <is>
          <t>178285-42</t>
        </is>
      </c>
      <c r="B613" s="10" t="inlineStr">
        <is>
          <t>Tree To Tub</t>
        </is>
      </c>
      <c r="C613" s="11" t="inlineStr">
        <is>
          <t>94122</t>
        </is>
      </c>
      <c r="D613" s="12" t="inlineStr">
        <is>
          <t>Provider of natural cosmetics created to ensure skin safety and avoid chemical reaction. The company's natural cosmetics include organic body care soaps, shampoos, hair oils and skin cleansers that are made from tree sap, plan oils and seed extracts, enabling users to find and buy body care products that are natural, anti-allergic and healthy.</t>
        </is>
      </c>
      <c r="E613" s="13" t="inlineStr">
        <is>
          <t>Personal Products</t>
        </is>
      </c>
      <c r="F613" s="14" t="inlineStr">
        <is>
          <t>San Francisco, CA</t>
        </is>
      </c>
      <c r="G613" s="15" t="inlineStr">
        <is>
          <t>Privately Held (backing)</t>
        </is>
      </c>
      <c r="H613" s="16" t="inlineStr">
        <is>
          <t>Accelerator/Incubator Backed</t>
        </is>
      </c>
      <c r="I613" s="17" t="inlineStr">
        <is>
          <t>Parallel 18</t>
        </is>
      </c>
      <c r="J613" s="18" t="inlineStr">
        <is>
          <t>www.treetotub.com</t>
        </is>
      </c>
      <c r="K613" s="19" t="inlineStr">
        <is>
          <t>hello@treetotub.com</t>
        </is>
      </c>
      <c r="L613" s="20" t="inlineStr">
        <is>
          <t/>
        </is>
      </c>
      <c r="M613" s="21" t="inlineStr">
        <is>
          <t>Michael Koh</t>
        </is>
      </c>
      <c r="N613" s="22" t="inlineStr">
        <is>
          <t>Co-Founder</t>
        </is>
      </c>
      <c r="O613" s="23" t="inlineStr">
        <is>
          <t>michael@treetotub.com</t>
        </is>
      </c>
      <c r="P613" s="24" t="inlineStr">
        <is>
          <t/>
        </is>
      </c>
      <c r="Q613" s="25" t="n">
        <v>2015.0</v>
      </c>
      <c r="R613" s="113">
        <f>HYPERLINK("https://my.pitchbook.com?c=178285-42", "View company online")</f>
      </c>
    </row>
    <row r="614">
      <c r="A614" s="27" t="inlineStr">
        <is>
          <t>107187-67</t>
        </is>
      </c>
      <c r="B614" s="28" t="inlineStr">
        <is>
          <t>Tree Computer</t>
        </is>
      </c>
      <c r="C614" s="29" t="inlineStr">
        <is>
          <t>94131</t>
        </is>
      </c>
      <c r="D614" s="30" t="inlineStr">
        <is>
          <t>Developer of an interface software for online communities. The company develops a community platform through which online users connects each other.</t>
        </is>
      </c>
      <c r="E614" s="31" t="inlineStr">
        <is>
          <t>Social/Platform Software</t>
        </is>
      </c>
      <c r="F614" s="32" t="inlineStr">
        <is>
          <t>San Francisco, CA</t>
        </is>
      </c>
      <c r="G614" s="33" t="inlineStr">
        <is>
          <t>Privately Held (backing)</t>
        </is>
      </c>
      <c r="H614" s="34" t="inlineStr">
        <is>
          <t>Angel-Backed</t>
        </is>
      </c>
      <c r="I614" s="35" t="inlineStr">
        <is>
          <t/>
        </is>
      </c>
      <c r="J614" s="36" t="inlineStr">
        <is>
          <t>www.tree.is</t>
        </is>
      </c>
      <c r="K614" s="37" t="inlineStr">
        <is>
          <t>who@tree.is</t>
        </is>
      </c>
      <c r="L614" s="38" t="inlineStr">
        <is>
          <t>+1 (415) 819-7740</t>
        </is>
      </c>
      <c r="M614" s="39" t="inlineStr">
        <is>
          <t>Luke Lannini</t>
        </is>
      </c>
      <c r="N614" s="40" t="inlineStr">
        <is>
          <t>Founder</t>
        </is>
      </c>
      <c r="O614" s="41" t="inlineStr">
        <is>
          <t>luke@tree.is</t>
        </is>
      </c>
      <c r="P614" s="42" t="inlineStr">
        <is>
          <t>+1 (415) 819-7740</t>
        </is>
      </c>
      <c r="Q614" s="43" t="n">
        <v>2012.0</v>
      </c>
      <c r="R614" s="114">
        <f>HYPERLINK("https://my.pitchbook.com?c=107187-67", "View company online")</f>
      </c>
    </row>
    <row r="615">
      <c r="A615" s="9" t="inlineStr">
        <is>
          <t>115487-20</t>
        </is>
      </c>
      <c r="B615" s="10" t="inlineStr">
        <is>
          <t>Treats</t>
        </is>
      </c>
      <c r="C615" s="11" t="inlineStr">
        <is>
          <t/>
        </is>
      </c>
      <c r="D615" s="12" t="inlineStr">
        <is>
          <t>Provider of an online platform for menswear retailers. The company's online platform allows user to purchase leisure shirts from menswear retailers.</t>
        </is>
      </c>
      <c r="E615" s="13" t="inlineStr">
        <is>
          <t>Clothing</t>
        </is>
      </c>
      <c r="F615" s="14" t="inlineStr">
        <is>
          <t>Los Angeles, CA</t>
        </is>
      </c>
      <c r="G615" s="15" t="inlineStr">
        <is>
          <t>Privately Held (backing)</t>
        </is>
      </c>
      <c r="H615" s="16" t="inlineStr">
        <is>
          <t>Accelerator/Incubator Backed</t>
        </is>
      </c>
      <c r="I615" s="17" t="inlineStr">
        <is>
          <t>StartX</t>
        </is>
      </c>
      <c r="J615" s="18" t="inlineStr">
        <is>
          <t>www.weartreats.com</t>
        </is>
      </c>
      <c r="K615" s="19" t="inlineStr">
        <is>
          <t/>
        </is>
      </c>
      <c r="L615" s="20" t="inlineStr">
        <is>
          <t>+1 (310) 941-9007</t>
        </is>
      </c>
      <c r="M615" s="21" t="inlineStr">
        <is>
          <t>Owen Boochever</t>
        </is>
      </c>
      <c r="N615" s="22" t="inlineStr">
        <is>
          <t>Founder</t>
        </is>
      </c>
      <c r="O615" s="23" t="inlineStr">
        <is>
          <t>owen@weartreats.com</t>
        </is>
      </c>
      <c r="P615" s="24" t="inlineStr">
        <is>
          <t>+1 (310) 941-9007</t>
        </is>
      </c>
      <c r="Q615" s="25" t="n">
        <v>2013.0</v>
      </c>
      <c r="R615" s="113">
        <f>HYPERLINK("https://my.pitchbook.com?c=115487-20", "View company online")</f>
      </c>
    </row>
    <row r="616">
      <c r="A616" s="27" t="inlineStr">
        <is>
          <t>163577-62</t>
        </is>
      </c>
      <c r="B616" s="28" t="inlineStr">
        <is>
          <t>Treat App</t>
        </is>
      </c>
      <c r="C616" s="29" t="inlineStr">
        <is>
          <t/>
        </is>
      </c>
      <c r="D616" s="30" t="inlineStr">
        <is>
          <t>Provider of an application for pet care. The company's application offers users to book for veterinary care, training and grooming of their pets.</t>
        </is>
      </c>
      <c r="E616" s="31" t="inlineStr">
        <is>
          <t>Application Software</t>
        </is>
      </c>
      <c r="F616" s="32" t="inlineStr">
        <is>
          <t>San Francisco, CA</t>
        </is>
      </c>
      <c r="G616" s="33" t="inlineStr">
        <is>
          <t>Privately Held (backing)</t>
        </is>
      </c>
      <c r="H616" s="34" t="inlineStr">
        <is>
          <t>Accelerator/Incubator Backed</t>
        </is>
      </c>
      <c r="I616" s="35" t="inlineStr">
        <is>
          <t>500 Startups</t>
        </is>
      </c>
      <c r="J616" s="36" t="inlineStr">
        <is>
          <t>www.treat.co</t>
        </is>
      </c>
      <c r="K616" s="37" t="inlineStr">
        <is>
          <t>hello@treat.co</t>
        </is>
      </c>
      <c r="L616" s="38" t="inlineStr">
        <is>
          <t/>
        </is>
      </c>
      <c r="M616" s="39" t="inlineStr">
        <is>
          <t>Steve Simitzis</t>
        </is>
      </c>
      <c r="N616" s="40" t="inlineStr">
        <is>
          <t>Co-Founder &amp; Chief Executive Officer</t>
        </is>
      </c>
      <c r="O616" s="41" t="inlineStr">
        <is>
          <t>steve@treat.co</t>
        </is>
      </c>
      <c r="P616" s="42" t="inlineStr">
        <is>
          <t/>
        </is>
      </c>
      <c r="Q616" s="43" t="n">
        <v>2014.0</v>
      </c>
      <c r="R616" s="114">
        <f>HYPERLINK("https://my.pitchbook.com?c=163577-62", "View company online")</f>
      </c>
    </row>
    <row r="617">
      <c r="A617" s="9" t="inlineStr">
        <is>
          <t>58183-03</t>
        </is>
      </c>
      <c r="B617" s="10" t="inlineStr">
        <is>
          <t>Treasury Holdings</t>
        </is>
      </c>
      <c r="C617" s="11" t="inlineStr">
        <is>
          <t>94025</t>
        </is>
      </c>
      <c r="D617" s="12" t="inlineStr">
        <is>
          <t>Operator of holding company.</t>
        </is>
      </c>
      <c r="E617" s="13" t="inlineStr">
        <is>
          <t>Other Commercial Services</t>
        </is>
      </c>
      <c r="F617" s="14" t="inlineStr">
        <is>
          <t>Menlo Park, CA</t>
        </is>
      </c>
      <c r="G617" s="15" t="inlineStr">
        <is>
          <t>Privately Held (backing)</t>
        </is>
      </c>
      <c r="H617" s="16" t="inlineStr">
        <is>
          <t>Angel-Backed</t>
        </is>
      </c>
      <c r="I617" s="17" t="inlineStr">
        <is>
          <t/>
        </is>
      </c>
      <c r="J617" s="18" t="inlineStr">
        <is>
          <t/>
        </is>
      </c>
      <c r="K617" s="19" t="inlineStr">
        <is>
          <t/>
        </is>
      </c>
      <c r="L617" s="20" t="inlineStr">
        <is>
          <t>+1 (650) 823-9206</t>
        </is>
      </c>
      <c r="M617" s="21" t="inlineStr">
        <is>
          <t>Christopher Kaminski</t>
        </is>
      </c>
      <c r="N617" s="22" t="inlineStr">
        <is>
          <t>Managing Partner &amp; Board Member</t>
        </is>
      </c>
      <c r="O617" s="23" t="inlineStr">
        <is>
          <t/>
        </is>
      </c>
      <c r="P617" s="24" t="inlineStr">
        <is>
          <t>+1 (650) 823-9206</t>
        </is>
      </c>
      <c r="Q617" s="25" t="n">
        <v>2007.0</v>
      </c>
      <c r="R617" s="113">
        <f>HYPERLINK("https://my.pitchbook.com?c=58183-03", "View company online")</f>
      </c>
    </row>
    <row r="618">
      <c r="A618" s="27" t="inlineStr">
        <is>
          <t>95475-88</t>
        </is>
      </c>
      <c r="B618" s="28" t="inlineStr">
        <is>
          <t>Traxian</t>
        </is>
      </c>
      <c r="C618" s="29" t="inlineStr">
        <is>
          <t>94114</t>
        </is>
      </c>
      <c r="D618" s="30" t="inlineStr">
        <is>
          <t>Developer of software for paperless transactions. The company offers an application that enables small and mid-size businesses to receive and reconcile transactions via an integrated system.</t>
        </is>
      </c>
      <c r="E618" s="31" t="inlineStr">
        <is>
          <t>Application Software</t>
        </is>
      </c>
      <c r="F618" s="32" t="inlineStr">
        <is>
          <t>San Francisco, CA</t>
        </is>
      </c>
      <c r="G618" s="33" t="inlineStr">
        <is>
          <t>Privately Held (backing)</t>
        </is>
      </c>
      <c r="H618" s="34" t="inlineStr">
        <is>
          <t>Angel-Backed</t>
        </is>
      </c>
      <c r="I618" s="35" t="inlineStr">
        <is>
          <t>Elaine Lennox, Eric Dunn, John Grant, Leslie Murdock, Mark Goines</t>
        </is>
      </c>
      <c r="J618" s="36" t="inlineStr">
        <is>
          <t>www.traxian.com</t>
        </is>
      </c>
      <c r="K618" s="37" t="inlineStr">
        <is>
          <t>info@traxian.com</t>
        </is>
      </c>
      <c r="L618" s="38" t="inlineStr">
        <is>
          <t>+1 (415) 373-9412</t>
        </is>
      </c>
      <c r="M618" s="39" t="inlineStr">
        <is>
          <t/>
        </is>
      </c>
      <c r="N618" s="40" t="inlineStr">
        <is>
          <t/>
        </is>
      </c>
      <c r="O618" s="41" t="inlineStr">
        <is>
          <t/>
        </is>
      </c>
      <c r="P618" s="42" t="inlineStr">
        <is>
          <t/>
        </is>
      </c>
      <c r="Q618" s="43" t="n">
        <v>2002.0</v>
      </c>
      <c r="R618" s="114">
        <f>HYPERLINK("https://my.pitchbook.com?c=95475-88", "View company online")</f>
      </c>
    </row>
    <row r="619">
      <c r="A619" s="9" t="inlineStr">
        <is>
          <t>90368-56</t>
        </is>
      </c>
      <c r="B619" s="10" t="inlineStr">
        <is>
          <t>TravelZeeky</t>
        </is>
      </c>
      <c r="C619" s="11" t="inlineStr">
        <is>
          <t>90069</t>
        </is>
      </c>
      <c r="D619" s="12" t="inlineStr">
        <is>
          <t>Operator of a boutique agency for providing customized itinerary services. The company provides reservation services for a variety of events such as trade shows, conferences, leadership weekends, round tables, bachelor weekends, family vacations, destination weddings and birthdays along with travel packages.</t>
        </is>
      </c>
      <c r="E619" s="13" t="inlineStr">
        <is>
          <t>Other Restaurants, Hotels and Leisure</t>
        </is>
      </c>
      <c r="F619" s="14" t="inlineStr">
        <is>
          <t>West Hollywood, CA</t>
        </is>
      </c>
      <c r="G619" s="15" t="inlineStr">
        <is>
          <t>Privately Held (backing)</t>
        </is>
      </c>
      <c r="H619" s="16" t="inlineStr">
        <is>
          <t>Angel-Backed</t>
        </is>
      </c>
      <c r="I619" s="17" t="inlineStr">
        <is>
          <t/>
        </is>
      </c>
      <c r="J619" s="18" t="inlineStr">
        <is>
          <t>www.travelzeeky.com</t>
        </is>
      </c>
      <c r="K619" s="19" t="inlineStr">
        <is>
          <t>info@travelzeekly.com</t>
        </is>
      </c>
      <c r="L619" s="20" t="inlineStr">
        <is>
          <t>+1 (866) 210-9311</t>
        </is>
      </c>
      <c r="M619" s="21" t="inlineStr">
        <is>
          <t>Zach Mendelsohn</t>
        </is>
      </c>
      <c r="N619" s="22" t="inlineStr">
        <is>
          <t>Founder &amp; Chief Executive Officer</t>
        </is>
      </c>
      <c r="O619" s="23" t="inlineStr">
        <is>
          <t>zach@travelzeeky.com</t>
        </is>
      </c>
      <c r="P619" s="24" t="inlineStr">
        <is>
          <t>+1 (866) 210-9311</t>
        </is>
      </c>
      <c r="Q619" s="25" t="n">
        <v>2010.0</v>
      </c>
      <c r="R619" s="113">
        <f>HYPERLINK("https://my.pitchbook.com?c=90368-56", "View company online")</f>
      </c>
    </row>
    <row r="620">
      <c r="A620" s="27" t="inlineStr">
        <is>
          <t>93003-31</t>
        </is>
      </c>
      <c r="B620" s="28" t="inlineStr">
        <is>
          <t>TravelSite.com</t>
        </is>
      </c>
      <c r="C620" s="29" t="inlineStr">
        <is>
          <t>94111</t>
        </is>
      </c>
      <c r="D620" s="30" t="inlineStr">
        <is>
          <t>Developer of an online social travel platform. The company develops a platform for providing travel information and recommendations.</t>
        </is>
      </c>
      <c r="E620" s="31" t="inlineStr">
        <is>
          <t>Social/Platform Software</t>
        </is>
      </c>
      <c r="F620" s="32" t="inlineStr">
        <is>
          <t>San Francisco, CA</t>
        </is>
      </c>
      <c r="G620" s="33" t="inlineStr">
        <is>
          <t>Privately Held (backing)</t>
        </is>
      </c>
      <c r="H620" s="34" t="inlineStr">
        <is>
          <t>Angel-Backed</t>
        </is>
      </c>
      <c r="I620" s="35" t="inlineStr">
        <is>
          <t/>
        </is>
      </c>
      <c r="J620" s="36" t="inlineStr">
        <is>
          <t>www.travelsite.com</t>
        </is>
      </c>
      <c r="K620" s="37" t="inlineStr">
        <is>
          <t/>
        </is>
      </c>
      <c r="L620" s="38" t="inlineStr">
        <is>
          <t>+1 (800) 688-4039</t>
        </is>
      </c>
      <c r="M620" s="39" t="inlineStr">
        <is>
          <t>Chadwick Horn</t>
        </is>
      </c>
      <c r="N620" s="40" t="inlineStr">
        <is>
          <t>President, Chief Executive Officer, Owner and Co-Founder</t>
        </is>
      </c>
      <c r="O620" s="41" t="inlineStr">
        <is>
          <t>chadwick.horn@travelsite.com</t>
        </is>
      </c>
      <c r="P620" s="42" t="inlineStr">
        <is>
          <t>+1 (800) 688-4039</t>
        </is>
      </c>
      <c r="Q620" s="43" t="n">
        <v>2012.0</v>
      </c>
      <c r="R620" s="114">
        <f>HYPERLINK("https://my.pitchbook.com?c=93003-31", "View company online")</f>
      </c>
    </row>
    <row r="621">
      <c r="A621" s="9" t="inlineStr">
        <is>
          <t>95290-84</t>
        </is>
      </c>
      <c r="B621" s="10" t="inlineStr">
        <is>
          <t>TravelKnowledge</t>
        </is>
      </c>
      <c r="C621" s="11" t="inlineStr">
        <is>
          <t>94108</t>
        </is>
      </c>
      <c r="D621" s="12" t="inlineStr">
        <is>
          <t>Provider of an online travel-content discovery platform. The company offers a web-based platform and mobile application that enables the travelers to discover information regarding their destinations and plan their tip accordingly.</t>
        </is>
      </c>
      <c r="E621" s="13" t="inlineStr">
        <is>
          <t>Information Services (B2C)</t>
        </is>
      </c>
      <c r="F621" s="14" t="inlineStr">
        <is>
          <t>San Francisco, CA</t>
        </is>
      </c>
      <c r="G621" s="15" t="inlineStr">
        <is>
          <t>Privately Held (backing)</t>
        </is>
      </c>
      <c r="H621" s="16" t="inlineStr">
        <is>
          <t>Angel-Backed</t>
        </is>
      </c>
      <c r="I621" s="17" t="inlineStr">
        <is>
          <t/>
        </is>
      </c>
      <c r="J621" s="18" t="inlineStr">
        <is>
          <t>www.travelknowledgeinc.com</t>
        </is>
      </c>
      <c r="K621" s="19" t="inlineStr">
        <is>
          <t>info@travelknowledgeinc.com</t>
        </is>
      </c>
      <c r="L621" s="20" t="inlineStr">
        <is>
          <t>+1 (415) 905-6006</t>
        </is>
      </c>
      <c r="M621" s="21" t="inlineStr">
        <is>
          <t>Dorian Adams</t>
        </is>
      </c>
      <c r="N621" s="22" t="inlineStr">
        <is>
          <t>Co-Founder &amp; Vice President, Marketing</t>
        </is>
      </c>
      <c r="O621" s="23" t="inlineStr">
        <is>
          <t/>
        </is>
      </c>
      <c r="P621" s="24" t="inlineStr">
        <is>
          <t>+1 (415) 905-6006</t>
        </is>
      </c>
      <c r="Q621" s="25" t="n">
        <v>2012.0</v>
      </c>
      <c r="R621" s="113">
        <f>HYPERLINK("https://my.pitchbook.com?c=95290-84", "View company online")</f>
      </c>
    </row>
    <row r="622">
      <c r="A622" s="27" t="inlineStr">
        <is>
          <t>166369-15</t>
        </is>
      </c>
      <c r="B622" s="28" t="inlineStr">
        <is>
          <t>TravelJoy</t>
        </is>
      </c>
      <c r="C622" s="29" t="inlineStr">
        <is>
          <t>94107</t>
        </is>
      </c>
      <c r="D622" s="30" t="inlineStr">
        <is>
          <t>Provider of a platform to connect travelers with travel agents. The company provides an online intermediary platform to connect customers to local and international travel agents that help them to manage travel needs such as hotel and flight booking and make online payments.</t>
        </is>
      </c>
      <c r="E622" s="31" t="inlineStr">
        <is>
          <t>Social/Platform Software</t>
        </is>
      </c>
      <c r="F622" s="32" t="inlineStr">
        <is>
          <t>San Francisco, CA</t>
        </is>
      </c>
      <c r="G622" s="33" t="inlineStr">
        <is>
          <t>Privately Held (backing)</t>
        </is>
      </c>
      <c r="H622" s="34" t="inlineStr">
        <is>
          <t>Accelerator/Incubator Backed</t>
        </is>
      </c>
      <c r="I622" s="35" t="inlineStr">
        <is>
          <t>NFX Guild</t>
        </is>
      </c>
      <c r="J622" s="36" t="inlineStr">
        <is>
          <t>www.traveljoy.com</t>
        </is>
      </c>
      <c r="K622" s="37" t="inlineStr">
        <is>
          <t>hello@traveljoy.com</t>
        </is>
      </c>
      <c r="L622" s="38" t="inlineStr">
        <is>
          <t>+1 (415) 935-3290</t>
        </is>
      </c>
      <c r="M622" s="39" t="inlineStr">
        <is>
          <t>Dayo Esho</t>
        </is>
      </c>
      <c r="N622" s="40" t="inlineStr">
        <is>
          <t>Co-Founder &amp; Chief Executive Officer</t>
        </is>
      </c>
      <c r="O622" s="41" t="inlineStr">
        <is>
          <t>dayo@traveljoy.com</t>
        </is>
      </c>
      <c r="P622" s="42" t="inlineStr">
        <is>
          <t>+1 (415) 935-3290</t>
        </is>
      </c>
      <c r="Q622" s="43" t="n">
        <v>2016.0</v>
      </c>
      <c r="R622" s="114">
        <f>HYPERLINK("https://my.pitchbook.com?c=166369-15", "View company online")</f>
      </c>
    </row>
    <row r="623">
      <c r="A623" s="9" t="inlineStr">
        <is>
          <t>95611-42</t>
        </is>
      </c>
      <c r="B623" s="10" t="inlineStr">
        <is>
          <t>Travelenvy</t>
        </is>
      </c>
      <c r="C623" s="11" t="inlineStr">
        <is>
          <t>90291</t>
        </is>
      </c>
      <c r="D623" s="12" t="inlineStr">
        <is>
          <t>Provider of an application to help in planning a trip. The company offers an online platform which enables users to plan trips, share recommendations and reviews, book hotels and flights as well as follow travelers who share their recommendations, tips and past itineraries.</t>
        </is>
      </c>
      <c r="E623" s="13" t="inlineStr">
        <is>
          <t>Application Software</t>
        </is>
      </c>
      <c r="F623" s="14" t="inlineStr">
        <is>
          <t>Los Angeles, CA</t>
        </is>
      </c>
      <c r="G623" s="15" t="inlineStr">
        <is>
          <t>Privately Held (backing)</t>
        </is>
      </c>
      <c r="H623" s="16" t="inlineStr">
        <is>
          <t>Angel-Backed</t>
        </is>
      </c>
      <c r="I623" s="17" t="inlineStr">
        <is>
          <t/>
        </is>
      </c>
      <c r="J623" s="18" t="inlineStr">
        <is>
          <t>www.travelenvy.com</t>
        </is>
      </c>
      <c r="K623" s="19" t="inlineStr">
        <is>
          <t>hello@travelenvy.com</t>
        </is>
      </c>
      <c r="L623" s="20" t="inlineStr">
        <is>
          <t/>
        </is>
      </c>
      <c r="M623" s="21" t="inlineStr">
        <is>
          <t>Scottie Ryan</t>
        </is>
      </c>
      <c r="N623" s="22" t="inlineStr">
        <is>
          <t>Chief Executive Officer &amp; Founder</t>
        </is>
      </c>
      <c r="O623" s="23" t="inlineStr">
        <is>
          <t>scottie@travelenvy.com</t>
        </is>
      </c>
      <c r="P623" s="24" t="inlineStr">
        <is>
          <t/>
        </is>
      </c>
      <c r="Q623" s="25" t="n">
        <v>2013.0</v>
      </c>
      <c r="R623" s="113">
        <f>HYPERLINK("https://my.pitchbook.com?c=95611-42", "View company online")</f>
      </c>
    </row>
    <row r="624">
      <c r="A624" s="27" t="inlineStr">
        <is>
          <t>127590-40</t>
        </is>
      </c>
      <c r="B624" s="28" t="inlineStr">
        <is>
          <t>Travel With Dusita</t>
        </is>
      </c>
      <c r="C624" s="29" t="inlineStr">
        <is>
          <t>95826</t>
        </is>
      </c>
      <c r="D624" s="30" t="inlineStr">
        <is>
          <t>Provider of a travel arrangement service. The company offers travel planning and tourism packages for people traveling to Thailand.</t>
        </is>
      </c>
      <c r="E624" s="31" t="inlineStr">
        <is>
          <t>Other Services (B2C Non-Financial)</t>
        </is>
      </c>
      <c r="F624" s="32" t="inlineStr">
        <is>
          <t>Chico, CA</t>
        </is>
      </c>
      <c r="G624" s="33" t="inlineStr">
        <is>
          <t>Privately Held (backing)</t>
        </is>
      </c>
      <c r="H624" s="34" t="inlineStr">
        <is>
          <t>Accelerator/Incubator Backed</t>
        </is>
      </c>
      <c r="I624" s="35" t="inlineStr">
        <is>
          <t>Chicostart</t>
        </is>
      </c>
      <c r="J624" s="36" t="inlineStr">
        <is>
          <t>www.tripsocity.com</t>
        </is>
      </c>
      <c r="K624" s="37" t="inlineStr">
        <is>
          <t>info@tripsocity.com</t>
        </is>
      </c>
      <c r="L624" s="38" t="inlineStr">
        <is>
          <t>+1 (415) 295-4666</t>
        </is>
      </c>
      <c r="M624" s="39" t="inlineStr">
        <is>
          <t>Dusita Nottelmann</t>
        </is>
      </c>
      <c r="N624" s="40" t="inlineStr">
        <is>
          <t>Owner</t>
        </is>
      </c>
      <c r="O624" s="41" t="inlineStr">
        <is>
          <t/>
        </is>
      </c>
      <c r="P624" s="42" t="inlineStr">
        <is>
          <t>+1 (415) 295-4666</t>
        </is>
      </c>
      <c r="Q624" s="43" t="n">
        <v>2015.0</v>
      </c>
      <c r="R624" s="114">
        <f>HYPERLINK("https://my.pitchbook.com?c=127590-40", "View company online")</f>
      </c>
    </row>
    <row r="625">
      <c r="A625" s="9" t="inlineStr">
        <is>
          <t>171434-53</t>
        </is>
      </c>
      <c r="B625" s="10" t="inlineStr">
        <is>
          <t>TransPower</t>
        </is>
      </c>
      <c r="C625" s="85">
        <f>HYPERLINK("https://my.pitchbook.com?rrp=171434-53&amp;type=c", "This Company's information is not available to download. Need this Company? Request availability")</f>
      </c>
      <c r="D625" s="12" t="inlineStr">
        <is>
          <t/>
        </is>
      </c>
      <c r="E625" s="13" t="inlineStr">
        <is>
          <t/>
        </is>
      </c>
      <c r="F625" s="14" t="inlineStr">
        <is>
          <t/>
        </is>
      </c>
      <c r="G625" s="15" t="inlineStr">
        <is>
          <t/>
        </is>
      </c>
      <c r="H625" s="16" t="inlineStr">
        <is>
          <t/>
        </is>
      </c>
      <c r="I625" s="17" t="inlineStr">
        <is>
          <t/>
        </is>
      </c>
      <c r="J625" s="18" t="inlineStr">
        <is>
          <t/>
        </is>
      </c>
      <c r="K625" s="19" t="inlineStr">
        <is>
          <t/>
        </is>
      </c>
      <c r="L625" s="20" t="inlineStr">
        <is>
          <t/>
        </is>
      </c>
      <c r="M625" s="21" t="inlineStr">
        <is>
          <t/>
        </is>
      </c>
      <c r="N625" s="22" t="inlineStr">
        <is>
          <t/>
        </is>
      </c>
      <c r="O625" s="23" t="inlineStr">
        <is>
          <t/>
        </is>
      </c>
      <c r="P625" s="24" t="inlineStr">
        <is>
          <t/>
        </is>
      </c>
      <c r="Q625" s="25" t="inlineStr">
        <is>
          <t/>
        </is>
      </c>
      <c r="R625" s="26" t="inlineStr">
        <is>
          <t/>
        </is>
      </c>
    </row>
    <row r="626">
      <c r="A626" s="27" t="inlineStr">
        <is>
          <t>174327-40</t>
        </is>
      </c>
      <c r="B626" s="28" t="inlineStr">
        <is>
          <t>Translational Research Management</t>
        </is>
      </c>
      <c r="C626" s="86">
        <f>HYPERLINK("https://my.pitchbook.com?rrp=174327-40&amp;type=c", "This Company's information is not available to download. Need this Company? Request availability")</f>
      </c>
      <c r="D626" s="30" t="inlineStr">
        <is>
          <t/>
        </is>
      </c>
      <c r="E626" s="31" t="inlineStr">
        <is>
          <t/>
        </is>
      </c>
      <c r="F626" s="32" t="inlineStr">
        <is>
          <t/>
        </is>
      </c>
      <c r="G626" s="33" t="inlineStr">
        <is>
          <t/>
        </is>
      </c>
      <c r="H626" s="34" t="inlineStr">
        <is>
          <t/>
        </is>
      </c>
      <c r="I626" s="35" t="inlineStr">
        <is>
          <t/>
        </is>
      </c>
      <c r="J626" s="36" t="inlineStr">
        <is>
          <t/>
        </is>
      </c>
      <c r="K626" s="37" t="inlineStr">
        <is>
          <t/>
        </is>
      </c>
      <c r="L626" s="38" t="inlineStr">
        <is>
          <t/>
        </is>
      </c>
      <c r="M626" s="39" t="inlineStr">
        <is>
          <t/>
        </is>
      </c>
      <c r="N626" s="40" t="inlineStr">
        <is>
          <t/>
        </is>
      </c>
      <c r="O626" s="41" t="inlineStr">
        <is>
          <t/>
        </is>
      </c>
      <c r="P626" s="42" t="inlineStr">
        <is>
          <t/>
        </is>
      </c>
      <c r="Q626" s="43" t="inlineStr">
        <is>
          <t/>
        </is>
      </c>
      <c r="R626" s="44" t="inlineStr">
        <is>
          <t/>
        </is>
      </c>
    </row>
    <row r="627">
      <c r="A627" s="9" t="inlineStr">
        <is>
          <t>157836-52</t>
        </is>
      </c>
      <c r="B627" s="10" t="inlineStr">
        <is>
          <t>Translate Now</t>
        </is>
      </c>
      <c r="C627" s="11" t="inlineStr">
        <is>
          <t/>
        </is>
      </c>
      <c r="D627" s="12" t="inlineStr">
        <is>
          <t>Provider of technical translation services for businesses. The company integrates modern translation technology with human translators to service the world's corporate enterprises.</t>
        </is>
      </c>
      <c r="E627" s="13" t="inlineStr">
        <is>
          <t>Other Commercial Services</t>
        </is>
      </c>
      <c r="F627" s="14" t="inlineStr">
        <is>
          <t>San Francisco, CA</t>
        </is>
      </c>
      <c r="G627" s="15" t="inlineStr">
        <is>
          <t>Privately Held (backing)</t>
        </is>
      </c>
      <c r="H627" s="16" t="inlineStr">
        <is>
          <t>Angel-Backed</t>
        </is>
      </c>
      <c r="I627" s="17" t="inlineStr">
        <is>
          <t/>
        </is>
      </c>
      <c r="J627" s="18" t="inlineStr">
        <is>
          <t>www.translatenow.com</t>
        </is>
      </c>
      <c r="K627" s="19" t="inlineStr">
        <is>
          <t>info@translatenow.com</t>
        </is>
      </c>
      <c r="L627" s="20" t="inlineStr">
        <is>
          <t>+1 (415) 634-8888</t>
        </is>
      </c>
      <c r="M627" s="21" t="inlineStr">
        <is>
          <t>Matt Arney</t>
        </is>
      </c>
      <c r="N627" s="22" t="inlineStr">
        <is>
          <t>Founder &amp; Chief Executive Officer</t>
        </is>
      </c>
      <c r="O627" s="23" t="inlineStr">
        <is>
          <t>matt@translatenow.com</t>
        </is>
      </c>
      <c r="P627" s="24" t="inlineStr">
        <is>
          <t>+1 (415) 634-8888</t>
        </is>
      </c>
      <c r="Q627" s="25" t="n">
        <v>2016.0</v>
      </c>
      <c r="R627" s="113">
        <f>HYPERLINK("https://my.pitchbook.com?c=157836-52", "View company online")</f>
      </c>
    </row>
    <row r="628">
      <c r="A628" s="27" t="inlineStr">
        <is>
          <t>171480-34</t>
        </is>
      </c>
      <c r="B628" s="28" t="inlineStr">
        <is>
          <t>TransferTravel.com</t>
        </is>
      </c>
      <c r="C628" s="86">
        <f>HYPERLINK("https://my.pitchbook.com?rrp=171480-34&amp;type=c", "This Company's information is not available to download. Need this Company? Request availability")</f>
      </c>
      <c r="D628" s="30" t="inlineStr">
        <is>
          <t/>
        </is>
      </c>
      <c r="E628" s="31" t="inlineStr">
        <is>
          <t/>
        </is>
      </c>
      <c r="F628" s="32" t="inlineStr">
        <is>
          <t/>
        </is>
      </c>
      <c r="G628" s="33" t="inlineStr">
        <is>
          <t/>
        </is>
      </c>
      <c r="H628" s="34" t="inlineStr">
        <is>
          <t/>
        </is>
      </c>
      <c r="I628" s="35" t="inlineStr">
        <is>
          <t/>
        </is>
      </c>
      <c r="J628" s="36" t="inlineStr">
        <is>
          <t/>
        </is>
      </c>
      <c r="K628" s="37" t="inlineStr">
        <is>
          <t/>
        </is>
      </c>
      <c r="L628" s="38" t="inlineStr">
        <is>
          <t/>
        </is>
      </c>
      <c r="M628" s="39" t="inlineStr">
        <is>
          <t/>
        </is>
      </c>
      <c r="N628" s="40" t="inlineStr">
        <is>
          <t/>
        </is>
      </c>
      <c r="O628" s="41" t="inlineStr">
        <is>
          <t/>
        </is>
      </c>
      <c r="P628" s="42" t="inlineStr">
        <is>
          <t/>
        </is>
      </c>
      <c r="Q628" s="43" t="inlineStr">
        <is>
          <t/>
        </is>
      </c>
      <c r="R628" s="44" t="inlineStr">
        <is>
          <t/>
        </is>
      </c>
    </row>
    <row r="629">
      <c r="A629" s="9" t="inlineStr">
        <is>
          <t>119394-82</t>
        </is>
      </c>
      <c r="B629" s="10" t="inlineStr">
        <is>
          <t>Transcend Lighting</t>
        </is>
      </c>
      <c r="C629" s="11" t="inlineStr">
        <is>
          <t>10001</t>
        </is>
      </c>
      <c r="D629" s="12" t="inlineStr">
        <is>
          <t>Manufacturer of energy saving light emitting diode lights. The company designs and manufactures energy efficient light fixtures for farmers. It manufactures products such as TL-D200, TL-RL20.</t>
        </is>
      </c>
      <c r="E629" s="13" t="inlineStr">
        <is>
          <t>Electronics (B2C)</t>
        </is>
      </c>
      <c r="F629" s="14" t="inlineStr">
        <is>
          <t>New York, NY</t>
        </is>
      </c>
      <c r="G629" s="15" t="inlineStr">
        <is>
          <t>Privately Held (backing)</t>
        </is>
      </c>
      <c r="H629" s="16" t="inlineStr">
        <is>
          <t>Accelerator/Incubator Backed</t>
        </is>
      </c>
      <c r="I629" s="17" t="inlineStr">
        <is>
          <t>Y Combinator</t>
        </is>
      </c>
      <c r="J629" s="18" t="inlineStr">
        <is>
          <t>www.transcendlighting.com</t>
        </is>
      </c>
      <c r="K629" s="19" t="inlineStr">
        <is>
          <t>info@transcendlighting.com</t>
        </is>
      </c>
      <c r="L629" s="20" t="inlineStr">
        <is>
          <t/>
        </is>
      </c>
      <c r="M629" s="21" t="inlineStr">
        <is>
          <t>Brian Bennett</t>
        </is>
      </c>
      <c r="N629" s="22" t="inlineStr">
        <is>
          <t>Founder &amp; President</t>
        </is>
      </c>
      <c r="O629" s="23" t="inlineStr">
        <is>
          <t>bbennett@transcendlighting.com</t>
        </is>
      </c>
      <c r="P629" s="24" t="inlineStr">
        <is>
          <t/>
        </is>
      </c>
      <c r="Q629" s="25" t="n">
        <v>2012.0</v>
      </c>
      <c r="R629" s="113">
        <f>HYPERLINK("https://my.pitchbook.com?c=119394-82", "View company online")</f>
      </c>
    </row>
    <row r="630">
      <c r="A630" s="27" t="inlineStr">
        <is>
          <t>148192-84</t>
        </is>
      </c>
      <c r="B630" s="28" t="inlineStr">
        <is>
          <t>Trans*H4CK</t>
        </is>
      </c>
      <c r="C630" s="29" t="inlineStr">
        <is>
          <t/>
        </is>
      </c>
      <c r="D630" s="30" t="inlineStr">
        <is>
          <t>Provider of annual hackathon and speaker series for the transgender people. The company develops technology for the transgender people to empower them economically, improve access to social services, promote gender safety and community sustainability.</t>
        </is>
      </c>
      <c r="E630" s="31" t="inlineStr">
        <is>
          <t>Other Services (B2C Non-Financial)</t>
        </is>
      </c>
      <c r="F630" s="32" t="inlineStr">
        <is>
          <t>Oakland, CA</t>
        </is>
      </c>
      <c r="G630" s="33" t="inlineStr">
        <is>
          <t>Privately Held (backing)</t>
        </is>
      </c>
      <c r="H630" s="34" t="inlineStr">
        <is>
          <t>Angel-Backed</t>
        </is>
      </c>
      <c r="I630" s="35" t="inlineStr">
        <is>
          <t>Kapor Center for Social Impact, Marc Andreessen</t>
        </is>
      </c>
      <c r="J630" s="36" t="inlineStr">
        <is>
          <t>www.transhack.org</t>
        </is>
      </c>
      <c r="K630" s="37" t="inlineStr">
        <is>
          <t>hello@transhack.org</t>
        </is>
      </c>
      <c r="L630" s="38" t="inlineStr">
        <is>
          <t/>
        </is>
      </c>
      <c r="M630" s="39" t="inlineStr">
        <is>
          <t>Kortney Ziegler</t>
        </is>
      </c>
      <c r="N630" s="40" t="inlineStr">
        <is>
          <t>Founder</t>
        </is>
      </c>
      <c r="O630" s="41" t="inlineStr">
        <is>
          <t>kortney@transhack.org</t>
        </is>
      </c>
      <c r="P630" s="42" t="inlineStr">
        <is>
          <t/>
        </is>
      </c>
      <c r="Q630" s="43" t="inlineStr">
        <is>
          <t/>
        </is>
      </c>
      <c r="R630" s="114">
        <f>HYPERLINK("https://my.pitchbook.com?c=148192-84", "View company online")</f>
      </c>
    </row>
    <row r="631">
      <c r="A631" s="9" t="inlineStr">
        <is>
          <t>56356-75</t>
        </is>
      </c>
      <c r="B631" s="10" t="inlineStr">
        <is>
          <t>Tran Ventures</t>
        </is>
      </c>
      <c r="C631" s="11" t="inlineStr">
        <is>
          <t>92126</t>
        </is>
      </c>
      <c r="D631" s="12" t="inlineStr">
        <is>
          <t>The company is currently operating in Stealth mode.</t>
        </is>
      </c>
      <c r="E631" s="13" t="inlineStr">
        <is>
          <t>Other Business Products and Services</t>
        </is>
      </c>
      <c r="F631" s="14" t="inlineStr">
        <is>
          <t>San Diego, CA</t>
        </is>
      </c>
      <c r="G631" s="15" t="inlineStr">
        <is>
          <t>Privately Held (backing)</t>
        </is>
      </c>
      <c r="H631" s="16" t="inlineStr">
        <is>
          <t>Angel-Backed</t>
        </is>
      </c>
      <c r="I631" s="17" t="inlineStr">
        <is>
          <t/>
        </is>
      </c>
      <c r="J631" s="18" t="inlineStr">
        <is>
          <t/>
        </is>
      </c>
      <c r="K631" s="19" t="inlineStr">
        <is>
          <t/>
        </is>
      </c>
      <c r="L631" s="20" t="inlineStr">
        <is>
          <t>+1 (858) 204-0620</t>
        </is>
      </c>
      <c r="M631" s="21" t="inlineStr">
        <is>
          <t>Nicole Nicks</t>
        </is>
      </c>
      <c r="N631" s="22" t="inlineStr">
        <is>
          <t>Manager &amp; Treasurer</t>
        </is>
      </c>
      <c r="O631" s="23" t="inlineStr">
        <is>
          <t/>
        </is>
      </c>
      <c r="P631" s="24" t="inlineStr">
        <is>
          <t>+1 (858) 204-0620</t>
        </is>
      </c>
      <c r="Q631" s="25" t="n">
        <v>2013.0</v>
      </c>
      <c r="R631" s="113">
        <f>HYPERLINK("https://my.pitchbook.com?c=56356-75", "View company online")</f>
      </c>
    </row>
    <row r="632">
      <c r="A632" s="27" t="inlineStr">
        <is>
          <t>93106-90</t>
        </is>
      </c>
      <c r="B632" s="28" t="inlineStr">
        <is>
          <t>TraktoPRO</t>
        </is>
      </c>
      <c r="C632" s="29" t="inlineStr">
        <is>
          <t>94085</t>
        </is>
      </c>
      <c r="D632" s="30" t="inlineStr">
        <is>
          <t>Provider of a calculation platform. The company's software calculates the price for a project or service and send a business proposal right from a smartphone.</t>
        </is>
      </c>
      <c r="E632" s="31" t="inlineStr">
        <is>
          <t>Application Software</t>
        </is>
      </c>
      <c r="F632" s="32" t="inlineStr">
        <is>
          <t>Sunnyvale, CA</t>
        </is>
      </c>
      <c r="G632" s="33" t="inlineStr">
        <is>
          <t>Privately Held (backing)</t>
        </is>
      </c>
      <c r="H632" s="34" t="inlineStr">
        <is>
          <t>Accelerator/Incubator Backed</t>
        </is>
      </c>
      <c r="I632" s="35" t="inlineStr">
        <is>
          <t>Abril Plug And Play, SEED - Startups and Entrepreneurship Ecosystem Development, Start-Up Chile</t>
        </is>
      </c>
      <c r="J632" s="36" t="inlineStr">
        <is>
          <t>www.traktopro.com</t>
        </is>
      </c>
      <c r="K632" s="37" t="inlineStr">
        <is>
          <t>contato@traktopro.com</t>
        </is>
      </c>
      <c r="L632" s="38" t="inlineStr">
        <is>
          <t>+1 (408) 594-8459</t>
        </is>
      </c>
      <c r="M632" s="39" t="inlineStr">
        <is>
          <t>Paulo Tenorio</t>
        </is>
      </c>
      <c r="N632" s="40" t="inlineStr">
        <is>
          <t>Chief Executive Officer &amp; Co-Founder</t>
        </is>
      </c>
      <c r="O632" s="41" t="inlineStr">
        <is>
          <t>paulo@traktopro.com</t>
        </is>
      </c>
      <c r="P632" s="42" t="inlineStr">
        <is>
          <t>+1 (408) 594-8459</t>
        </is>
      </c>
      <c r="Q632" s="43" t="n">
        <v>2013.0</v>
      </c>
      <c r="R632" s="114">
        <f>HYPERLINK("https://my.pitchbook.com?c=93106-90", "View company online")</f>
      </c>
    </row>
    <row r="633">
      <c r="A633" s="9" t="inlineStr">
        <is>
          <t>168300-91</t>
        </is>
      </c>
      <c r="B633" s="10" t="inlineStr">
        <is>
          <t>Trakkx.com</t>
        </is>
      </c>
      <c r="C633" s="11" t="inlineStr">
        <is>
          <t>92008</t>
        </is>
      </c>
      <c r="D633" s="12" t="inlineStr">
        <is>
          <t>Provider of undisclosed products and services.</t>
        </is>
      </c>
      <c r="E633" s="13" t="inlineStr">
        <is>
          <t>Other Business Products and Services</t>
        </is>
      </c>
      <c r="F633" s="14" t="inlineStr">
        <is>
          <t>Carlsbad, CA</t>
        </is>
      </c>
      <c r="G633" s="15" t="inlineStr">
        <is>
          <t>Privately Held (backing)</t>
        </is>
      </c>
      <c r="H633" s="16" t="inlineStr">
        <is>
          <t>Angel-Backed</t>
        </is>
      </c>
      <c r="I633" s="17" t="inlineStr">
        <is>
          <t/>
        </is>
      </c>
      <c r="J633" s="18" t="inlineStr">
        <is>
          <t>www.trakkx.com</t>
        </is>
      </c>
      <c r="K633" s="19" t="inlineStr">
        <is>
          <t/>
        </is>
      </c>
      <c r="L633" s="20" t="inlineStr">
        <is>
          <t/>
        </is>
      </c>
      <c r="M633" s="21" t="inlineStr">
        <is>
          <t>Johnny Lozito</t>
        </is>
      </c>
      <c r="N633" s="22" t="inlineStr">
        <is>
          <t>Chief Executive Officer &amp; Board Member</t>
        </is>
      </c>
      <c r="O633" s="23" t="inlineStr">
        <is>
          <t>johnny.lozito@trakkx.com</t>
        </is>
      </c>
      <c r="P633" s="24" t="inlineStr">
        <is>
          <t/>
        </is>
      </c>
      <c r="Q633" s="25" t="n">
        <v>2012.0</v>
      </c>
      <c r="R633" s="113">
        <f>HYPERLINK("https://my.pitchbook.com?c=168300-91", "View company online")</f>
      </c>
    </row>
    <row r="634">
      <c r="A634" s="27" t="inlineStr">
        <is>
          <t>119556-10</t>
        </is>
      </c>
      <c r="B634" s="28" t="inlineStr">
        <is>
          <t>Trajectory Solutions</t>
        </is>
      </c>
      <c r="C634" s="29" t="inlineStr">
        <is>
          <t/>
        </is>
      </c>
      <c r="D634" s="30" t="inlineStr">
        <is>
          <t>Developer of platform for transportation companies. The company develops a platform that provides the commercial passenger transportation industry with a technology that brings passengers, drivers, operators and business partners together on a single connected platform.</t>
        </is>
      </c>
      <c r="E634" s="31" t="inlineStr">
        <is>
          <t>Social/Platform Software</t>
        </is>
      </c>
      <c r="F634" s="32" t="inlineStr">
        <is>
          <t>San Francisco, CA</t>
        </is>
      </c>
      <c r="G634" s="33" t="inlineStr">
        <is>
          <t>Privately Held (backing)</t>
        </is>
      </c>
      <c r="H634" s="34" t="inlineStr">
        <is>
          <t>Angel-Backed</t>
        </is>
      </c>
      <c r="I634" s="35" t="inlineStr">
        <is>
          <t>Kenneth Branson</t>
        </is>
      </c>
      <c r="J634" s="36" t="inlineStr">
        <is>
          <t>www.getarrive.co</t>
        </is>
      </c>
      <c r="K634" s="37" t="inlineStr">
        <is>
          <t>gsummerlin@getarrive.co</t>
        </is>
      </c>
      <c r="L634" s="38" t="inlineStr">
        <is>
          <t/>
        </is>
      </c>
      <c r="M634" s="39" t="inlineStr">
        <is>
          <t>Greg Summerlin</t>
        </is>
      </c>
      <c r="N634" s="40" t="inlineStr">
        <is>
          <t>Co-Founder, CEO &amp; Board Member</t>
        </is>
      </c>
      <c r="O634" s="41" t="inlineStr">
        <is>
          <t>gsummerlin@getarrive.co</t>
        </is>
      </c>
      <c r="P634" s="42" t="inlineStr">
        <is>
          <t/>
        </is>
      </c>
      <c r="Q634" s="43" t="n">
        <v>2014.0</v>
      </c>
      <c r="R634" s="114">
        <f>HYPERLINK("https://my.pitchbook.com?c=119556-10", "View company online")</f>
      </c>
    </row>
    <row r="635">
      <c r="A635" s="9" t="inlineStr">
        <is>
          <t>90959-05</t>
        </is>
      </c>
      <c r="B635" s="10" t="inlineStr">
        <is>
          <t>TraitWare</t>
        </is>
      </c>
      <c r="C635" s="11" t="inlineStr">
        <is>
          <t>95959</t>
        </is>
      </c>
      <c r="D635" s="12" t="inlineStr">
        <is>
          <t>Developer of a smartphone and tablet security technology designed to verify user identity without passwords or PINs. The company's software authenticates the identity of an end user and certain "digital personality traits" on their smartphone or tablet device in real time, in-transaction enabling users to prevent identity theft and transaction fraud by integrating with websites and applications, all while enhancing the user experience.</t>
        </is>
      </c>
      <c r="E635" s="13" t="inlineStr">
        <is>
          <t>Application Software</t>
        </is>
      </c>
      <c r="F635" s="14" t="inlineStr">
        <is>
          <t>Nevada City, CA</t>
        </is>
      </c>
      <c r="G635" s="15" t="inlineStr">
        <is>
          <t>Privately Held (backing)</t>
        </is>
      </c>
      <c r="H635" s="16" t="inlineStr">
        <is>
          <t>Angel-Backed</t>
        </is>
      </c>
      <c r="I635" s="17" t="inlineStr">
        <is>
          <t>John Racine</t>
        </is>
      </c>
      <c r="J635" s="18" t="inlineStr">
        <is>
          <t>www.traitware.com</t>
        </is>
      </c>
      <c r="K635" s="19" t="inlineStr">
        <is>
          <t/>
        </is>
      </c>
      <c r="L635" s="20" t="inlineStr">
        <is>
          <t>+1 (530) 264-7661</t>
        </is>
      </c>
      <c r="M635" s="21" t="inlineStr">
        <is>
          <t>Steven Hickerson</t>
        </is>
      </c>
      <c r="N635" s="22" t="inlineStr">
        <is>
          <t>Co-Founder, Chief Financial Officer &amp; Board Member</t>
        </is>
      </c>
      <c r="O635" s="23" t="inlineStr">
        <is>
          <t>steve.hickerson@traitware.com</t>
        </is>
      </c>
      <c r="P635" s="24" t="inlineStr">
        <is>
          <t>+1 (530) 264-7661</t>
        </is>
      </c>
      <c r="Q635" s="25" t="n">
        <v>2008.0</v>
      </c>
      <c r="R635" s="113">
        <f>HYPERLINK("https://my.pitchbook.com?c=90959-05", "View company online")</f>
      </c>
    </row>
    <row r="636">
      <c r="A636" s="27" t="inlineStr">
        <is>
          <t>130352-50</t>
        </is>
      </c>
      <c r="B636" s="28" t="inlineStr">
        <is>
          <t>Trainersvault</t>
        </is>
      </c>
      <c r="C636" s="29" t="inlineStr">
        <is>
          <t/>
        </is>
      </c>
      <c r="D636" s="30" t="inlineStr">
        <is>
          <t>Provider of an online platform for connecting people with personal trainers. The company's platform helps users in appointment bookings, customer referrals and online payments for their personal trainers and fitness person.</t>
        </is>
      </c>
      <c r="E636" s="31" t="inlineStr">
        <is>
          <t>Social/Platform Software</t>
        </is>
      </c>
      <c r="F636" s="32" t="inlineStr">
        <is>
          <t>Los Angeles, CA</t>
        </is>
      </c>
      <c r="G636" s="33" t="inlineStr">
        <is>
          <t>Privately Held (backing)</t>
        </is>
      </c>
      <c r="H636" s="34" t="inlineStr">
        <is>
          <t>Accelerator/Incubator Backed</t>
        </is>
      </c>
      <c r="I636" s="35" t="inlineStr">
        <is>
          <t>SOSV</t>
        </is>
      </c>
      <c r="J636" s="36" t="inlineStr">
        <is>
          <t>www.trainersvault.com</t>
        </is>
      </c>
      <c r="K636" s="37" t="inlineStr">
        <is>
          <t/>
        </is>
      </c>
      <c r="L636" s="38" t="inlineStr">
        <is>
          <t/>
        </is>
      </c>
      <c r="M636" s="39" t="inlineStr">
        <is>
          <t>Cortney Woodruff</t>
        </is>
      </c>
      <c r="N636" s="40" t="inlineStr">
        <is>
          <t>Co-Founder &amp; Chief Executive Officer</t>
        </is>
      </c>
      <c r="O636" s="41" t="inlineStr">
        <is>
          <t>cwoodruff@trainersvault.com</t>
        </is>
      </c>
      <c r="P636" s="42" t="inlineStr">
        <is>
          <t/>
        </is>
      </c>
      <c r="Q636" s="43" t="n">
        <v>2011.0</v>
      </c>
      <c r="R636" s="114">
        <f>HYPERLINK("https://my.pitchbook.com?c=130352-50", "View company online")</f>
      </c>
    </row>
    <row r="637">
      <c r="A637" s="9" t="inlineStr">
        <is>
          <t>159353-29</t>
        </is>
      </c>
      <c r="B637" s="10" t="inlineStr">
        <is>
          <t>Trainerbotics</t>
        </is>
      </c>
      <c r="C637" s="11" t="inlineStr">
        <is>
          <t/>
        </is>
      </c>
      <c r="D637" s="12" t="inlineStr">
        <is>
          <t>Developer of an app enabled robot for playing ping pong. The company specializes in developing a table-tennis-training machine, that can be programmed via smartphone to place balls at specific areas and give them certain spins.</t>
        </is>
      </c>
      <c r="E637" s="13" t="inlineStr">
        <is>
          <t>Electronics (B2C)</t>
        </is>
      </c>
      <c r="F637" s="14" t="inlineStr">
        <is>
          <t>San Francisco, CA</t>
        </is>
      </c>
      <c r="G637" s="15" t="inlineStr">
        <is>
          <t>Privately Held (backing)</t>
        </is>
      </c>
      <c r="H637" s="16" t="inlineStr">
        <is>
          <t>Accelerator/Incubator Backed</t>
        </is>
      </c>
      <c r="I637" s="17" t="inlineStr">
        <is>
          <t>SOSV</t>
        </is>
      </c>
      <c r="J637" s="18" t="inlineStr">
        <is>
          <t>www.trainerbot.com</t>
        </is>
      </c>
      <c r="K637" s="19" t="inlineStr">
        <is>
          <t/>
        </is>
      </c>
      <c r="L637" s="20" t="inlineStr">
        <is>
          <t/>
        </is>
      </c>
      <c r="M637" s="21" t="inlineStr">
        <is>
          <t>Alexander Chen</t>
        </is>
      </c>
      <c r="N637" s="22" t="inlineStr">
        <is>
          <t>Co-Founder</t>
        </is>
      </c>
      <c r="O637" s="23" t="inlineStr">
        <is>
          <t>alex@trainerbot.com</t>
        </is>
      </c>
      <c r="P637" s="24" t="inlineStr">
        <is>
          <t/>
        </is>
      </c>
      <c r="Q637" s="25" t="n">
        <v>2016.0</v>
      </c>
      <c r="R637" s="113">
        <f>HYPERLINK("https://my.pitchbook.com?c=159353-29", "View company online")</f>
      </c>
    </row>
    <row r="638">
      <c r="A638" s="27" t="inlineStr">
        <is>
          <t>162771-13</t>
        </is>
      </c>
      <c r="B638" s="28" t="inlineStr">
        <is>
          <t>Trademark Brewing</t>
        </is>
      </c>
      <c r="C638" s="29" t="inlineStr">
        <is>
          <t>90035</t>
        </is>
      </c>
      <c r="D638" s="30" t="inlineStr">
        <is>
          <t>Owner and operator of a beer brewing company. The company offers flavored crafted beer made from local ingredients in the Los Angeles area.</t>
        </is>
      </c>
      <c r="E638" s="31" t="inlineStr">
        <is>
          <t>Beverages</t>
        </is>
      </c>
      <c r="F638" s="32" t="inlineStr">
        <is>
          <t>Los Angeles, CA</t>
        </is>
      </c>
      <c r="G638" s="33" t="inlineStr">
        <is>
          <t>Privately Held (backing)</t>
        </is>
      </c>
      <c r="H638" s="34" t="inlineStr">
        <is>
          <t>Angel-Backed</t>
        </is>
      </c>
      <c r="I638" s="35" t="inlineStr">
        <is>
          <t/>
        </is>
      </c>
      <c r="J638" s="36" t="inlineStr">
        <is>
          <t>www.trademarkbrewing.com</t>
        </is>
      </c>
      <c r="K638" s="37" t="inlineStr">
        <is>
          <t/>
        </is>
      </c>
      <c r="L638" s="38" t="inlineStr">
        <is>
          <t/>
        </is>
      </c>
      <c r="M638" s="39" t="inlineStr">
        <is>
          <t>Sterling Franken-Steffen</t>
        </is>
      </c>
      <c r="N638" s="40" t="inlineStr">
        <is>
          <t>Founder &amp; Board Member</t>
        </is>
      </c>
      <c r="O638" s="41" t="inlineStr">
        <is>
          <t>sterling@trademarkbrewing.com</t>
        </is>
      </c>
      <c r="P638" s="42" t="inlineStr">
        <is>
          <t/>
        </is>
      </c>
      <c r="Q638" s="43" t="n">
        <v>2013.0</v>
      </c>
      <c r="R638" s="114">
        <f>HYPERLINK("https://my.pitchbook.com?c=162771-13", "View company online")</f>
      </c>
    </row>
    <row r="639">
      <c r="A639" s="9" t="inlineStr">
        <is>
          <t>65955-97</t>
        </is>
      </c>
      <c r="B639" s="10" t="inlineStr">
        <is>
          <t>TradeHill</t>
        </is>
      </c>
      <c r="C639" s="11" t="inlineStr">
        <is>
          <t>94105</t>
        </is>
      </c>
      <c r="D639" s="12" t="inlineStr">
        <is>
          <t>Provider of an online currency exchange platform for investors, businesses, and governments. The company provides an online currency exchange platform for bitcoin and ripple transactions.</t>
        </is>
      </c>
      <c r="E639" s="13" t="inlineStr">
        <is>
          <t>Financial Software</t>
        </is>
      </c>
      <c r="F639" s="14" t="inlineStr">
        <is>
          <t>San Francisco, CA</t>
        </is>
      </c>
      <c r="G639" s="15" t="inlineStr">
        <is>
          <t>Privately Held (backing)</t>
        </is>
      </c>
      <c r="H639" s="16" t="inlineStr">
        <is>
          <t>Angel-Backed</t>
        </is>
      </c>
      <c r="I639" s="17" t="inlineStr">
        <is>
          <t>500 Startups, Digital Currency Group, Individual Investor, Parker Thompson, Vet-Tech Accelerator</t>
        </is>
      </c>
      <c r="J639" s="18" t="inlineStr">
        <is>
          <t/>
        </is>
      </c>
      <c r="K639" s="19" t="inlineStr">
        <is>
          <t/>
        </is>
      </c>
      <c r="L639" s="20" t="inlineStr">
        <is>
          <t/>
        </is>
      </c>
      <c r="M639" s="21" t="inlineStr">
        <is>
          <t>Jered Kenna</t>
        </is>
      </c>
      <c r="N639" s="22" t="inlineStr">
        <is>
          <t>Chief Executive Officer &amp; Co-Founder</t>
        </is>
      </c>
      <c r="O639" s="23" t="inlineStr">
        <is>
          <t>jered@tradehill.com</t>
        </is>
      </c>
      <c r="P639" s="24" t="inlineStr">
        <is>
          <t/>
        </is>
      </c>
      <c r="Q639" s="25" t="n">
        <v>2011.0</v>
      </c>
      <c r="R639" s="113">
        <f>HYPERLINK("https://my.pitchbook.com?c=65955-97", "View company online")</f>
      </c>
    </row>
    <row r="640">
      <c r="A640" s="27" t="inlineStr">
        <is>
          <t>90851-50</t>
        </is>
      </c>
      <c r="B640" s="28" t="inlineStr">
        <is>
          <t>TradeGig</t>
        </is>
      </c>
      <c r="C640" s="29" t="inlineStr">
        <is>
          <t/>
        </is>
      </c>
      <c r="D640" s="30" t="inlineStr">
        <is>
          <t>Provider of a location-based online marketplace for trading, buying, and selling personal services. The company's platform emphasizes on social networking, trading tools and web-based self-services to help users manage each buying, selling and trading transaction.</t>
        </is>
      </c>
      <c r="E640" s="31" t="inlineStr">
        <is>
          <t>Social/Platform Software</t>
        </is>
      </c>
      <c r="F640" s="32" t="inlineStr">
        <is>
          <t>San Francisco, CA</t>
        </is>
      </c>
      <c r="G640" s="33" t="inlineStr">
        <is>
          <t>Privately Held (backing)</t>
        </is>
      </c>
      <c r="H640" s="34" t="inlineStr">
        <is>
          <t>Accelerator/Incubator Backed</t>
        </is>
      </c>
      <c r="I640" s="35" t="inlineStr">
        <is>
          <t>Start-Up Chile</t>
        </is>
      </c>
      <c r="J640" s="36" t="inlineStr">
        <is>
          <t>www.tradegig.com</t>
        </is>
      </c>
      <c r="K640" s="37" t="inlineStr">
        <is>
          <t>support@tradegig.com</t>
        </is>
      </c>
      <c r="L640" s="38" t="inlineStr">
        <is>
          <t/>
        </is>
      </c>
      <c r="M640" s="39" t="inlineStr">
        <is>
          <t>Fabio Cantoni</t>
        </is>
      </c>
      <c r="N640" s="40" t="inlineStr">
        <is>
          <t>Co-Founder</t>
        </is>
      </c>
      <c r="O640" s="41" t="inlineStr">
        <is>
          <t>fabio@tradegig.com</t>
        </is>
      </c>
      <c r="P640" s="42" t="inlineStr">
        <is>
          <t/>
        </is>
      </c>
      <c r="Q640" s="43" t="n">
        <v>2012.0</v>
      </c>
      <c r="R640" s="114">
        <f>HYPERLINK("https://my.pitchbook.com?c=90851-50", "View company online")</f>
      </c>
    </row>
    <row r="641">
      <c r="A641" s="9" t="inlineStr">
        <is>
          <t>113299-21</t>
        </is>
      </c>
      <c r="B641" s="10" t="inlineStr">
        <is>
          <t>Trade Capital Funding</t>
        </is>
      </c>
      <c r="C641" s="85">
        <f>HYPERLINK("https://my.pitchbook.com?rrp=113299-21&amp;type=c", "This Company's information is not available to download. Need this Company? Request availability")</f>
      </c>
      <c r="D641" s="12" t="inlineStr">
        <is>
          <t/>
        </is>
      </c>
      <c r="E641" s="13" t="inlineStr">
        <is>
          <t/>
        </is>
      </c>
      <c r="F641" s="14" t="inlineStr">
        <is>
          <t/>
        </is>
      </c>
      <c r="G641" s="15" t="inlineStr">
        <is>
          <t/>
        </is>
      </c>
      <c r="H641" s="16" t="inlineStr">
        <is>
          <t/>
        </is>
      </c>
      <c r="I641" s="17" t="inlineStr">
        <is>
          <t/>
        </is>
      </c>
      <c r="J641" s="18" t="inlineStr">
        <is>
          <t/>
        </is>
      </c>
      <c r="K641" s="19" t="inlineStr">
        <is>
          <t/>
        </is>
      </c>
      <c r="L641" s="20" t="inlineStr">
        <is>
          <t/>
        </is>
      </c>
      <c r="M641" s="21" t="inlineStr">
        <is>
          <t/>
        </is>
      </c>
      <c r="N641" s="22" t="inlineStr">
        <is>
          <t/>
        </is>
      </c>
      <c r="O641" s="23" t="inlineStr">
        <is>
          <t/>
        </is>
      </c>
      <c r="P641" s="24" t="inlineStr">
        <is>
          <t/>
        </is>
      </c>
      <c r="Q641" s="25" t="inlineStr">
        <is>
          <t/>
        </is>
      </c>
      <c r="R641" s="26" t="inlineStr">
        <is>
          <t/>
        </is>
      </c>
    </row>
    <row r="642">
      <c r="A642" s="27" t="inlineStr">
        <is>
          <t>103228-48</t>
        </is>
      </c>
      <c r="B642" s="28" t="inlineStr">
        <is>
          <t>Trade as One</t>
        </is>
      </c>
      <c r="C642" s="29" t="inlineStr">
        <is>
          <t>94306</t>
        </is>
      </c>
      <c r="D642" s="30" t="inlineStr">
        <is>
          <t>Provider of organically sourced products at doorstep. The company provides employment to small producers and deliver gourmet and healthy foods.</t>
        </is>
      </c>
      <c r="E642" s="31" t="inlineStr">
        <is>
          <t>Food Products</t>
        </is>
      </c>
      <c r="F642" s="32" t="inlineStr">
        <is>
          <t>Palo Alto, CA</t>
        </is>
      </c>
      <c r="G642" s="33" t="inlineStr">
        <is>
          <t>Privately Held (backing)</t>
        </is>
      </c>
      <c r="H642" s="34" t="inlineStr">
        <is>
          <t>Angel-Backed</t>
        </is>
      </c>
      <c r="I642" s="35" t="inlineStr">
        <is>
          <t>David Gardner, Jeremy Almond, Kim Tan, Leo Perry, Robert Nelson</t>
        </is>
      </c>
      <c r="J642" s="36" t="inlineStr">
        <is>
          <t>www.tradeasone.com</t>
        </is>
      </c>
      <c r="K642" s="37" t="inlineStr">
        <is>
          <t>info@tradeasone.com</t>
        </is>
      </c>
      <c r="L642" s="38" t="inlineStr">
        <is>
          <t>+1 (831) 429-1900</t>
        </is>
      </c>
      <c r="M642" s="39" t="inlineStr">
        <is>
          <t/>
        </is>
      </c>
      <c r="N642" s="40" t="inlineStr">
        <is>
          <t/>
        </is>
      </c>
      <c r="O642" s="41" t="inlineStr">
        <is>
          <t/>
        </is>
      </c>
      <c r="P642" s="42" t="inlineStr">
        <is>
          <t/>
        </is>
      </c>
      <c r="Q642" s="43" t="n">
        <v>2006.0</v>
      </c>
      <c r="R642" s="114">
        <f>HYPERLINK("https://my.pitchbook.com?c=103228-48", "View company online")</f>
      </c>
    </row>
    <row r="643">
      <c r="A643" s="9" t="inlineStr">
        <is>
          <t>169822-09</t>
        </is>
      </c>
      <c r="B643" s="10" t="inlineStr">
        <is>
          <t>TrackNet</t>
        </is>
      </c>
      <c r="C643" s="11" t="inlineStr">
        <is>
          <t/>
        </is>
      </c>
      <c r="D643" s="12" t="inlineStr">
        <is>
          <t>Provider of LoRaWAN IoT services intended to give unparalleled scalability to enable exponentially growing LPWAN deployments. The company's service including sensors, gateways, and applications with optimized user experience for targeted LPWAN and IoT applications, enabling consumers and industry to make it easy for them to use and for low power usage.</t>
        </is>
      </c>
      <c r="E643" s="13" t="inlineStr">
        <is>
          <t>Wireless Service Providers</t>
        </is>
      </c>
      <c r="F643" s="14" t="inlineStr">
        <is>
          <t>Rapperswil, Switzerland</t>
        </is>
      </c>
      <c r="G643" s="15" t="inlineStr">
        <is>
          <t>Privately Held (backing)</t>
        </is>
      </c>
      <c r="H643" s="16" t="inlineStr">
        <is>
          <t>Angel-Backed</t>
        </is>
      </c>
      <c r="I643" s="17" t="inlineStr">
        <is>
          <t>Gemtek Corporation, Minol-ZENNER Group</t>
        </is>
      </c>
      <c r="J643" s="18" t="inlineStr">
        <is>
          <t>www.tracknet.io</t>
        </is>
      </c>
      <c r="K643" s="19" t="inlineStr">
        <is>
          <t>hardy@tracknet.io</t>
        </is>
      </c>
      <c r="L643" s="20" t="inlineStr">
        <is>
          <t/>
        </is>
      </c>
      <c r="M643" s="21" t="inlineStr">
        <is>
          <t>Hardy Schmidbauer</t>
        </is>
      </c>
      <c r="N643" s="22" t="inlineStr">
        <is>
          <t>Co-Founder &amp; Chief Executive Officer</t>
        </is>
      </c>
      <c r="O643" s="23" t="inlineStr">
        <is>
          <t>hardy@tracknet.io</t>
        </is>
      </c>
      <c r="P643" s="24" t="inlineStr">
        <is>
          <t>(650) 215 0982</t>
        </is>
      </c>
      <c r="Q643" s="25" t="inlineStr">
        <is>
          <t/>
        </is>
      </c>
      <c r="R643" s="113">
        <f>HYPERLINK("https://my.pitchbook.com?c=169822-09", "View company online")</f>
      </c>
    </row>
    <row r="644">
      <c r="A644" s="27" t="inlineStr">
        <is>
          <t>133098-85</t>
        </is>
      </c>
      <c r="B644" s="28" t="inlineStr">
        <is>
          <t>Track Technologies</t>
        </is>
      </c>
      <c r="C644" s="29" t="inlineStr">
        <is>
          <t>93105</t>
        </is>
      </c>
      <c r="D644" s="30" t="inlineStr">
        <is>
          <t>Provider of a tax filing and tax management platform for self employed professionals. The company offers a Web-based platform which uses artificial intelligence and machine learning to estimate, withhold and pay self-employment taxes on time.</t>
        </is>
      </c>
      <c r="E644" s="31" t="inlineStr">
        <is>
          <t>Business/Productivity Software</t>
        </is>
      </c>
      <c r="F644" s="32" t="inlineStr">
        <is>
          <t>Santa Barbara, CA</t>
        </is>
      </c>
      <c r="G644" s="33" t="inlineStr">
        <is>
          <t>Privately Held (backing)</t>
        </is>
      </c>
      <c r="H644" s="34" t="inlineStr">
        <is>
          <t>Accelerator/Incubator Backed</t>
        </is>
      </c>
      <c r="I644" s="35" t="inlineStr">
        <is>
          <t>500 Startups, Ynext Incubator</t>
        </is>
      </c>
      <c r="J644" s="36" t="inlineStr">
        <is>
          <t>www.track.tax</t>
        </is>
      </c>
      <c r="K644" s="37" t="inlineStr">
        <is>
          <t>hello@iusetrack.com</t>
        </is>
      </c>
      <c r="L644" s="38" t="inlineStr">
        <is>
          <t>+1 (650) 223-5610</t>
        </is>
      </c>
      <c r="M644" s="39" t="inlineStr">
        <is>
          <t>Christopher Van Vleit</t>
        </is>
      </c>
      <c r="N644" s="40" t="inlineStr">
        <is>
          <t>Co-Founder &amp; Chief Executive Officer</t>
        </is>
      </c>
      <c r="O644" s="41" t="inlineStr">
        <is>
          <t>christopher@iusetrack.com</t>
        </is>
      </c>
      <c r="P644" s="42" t="inlineStr">
        <is>
          <t>+1 (650) 223-5610</t>
        </is>
      </c>
      <c r="Q644" s="43" t="n">
        <v>2015.0</v>
      </c>
      <c r="R644" s="114">
        <f>HYPERLINK("https://my.pitchbook.com?c=133098-85", "View company online")</f>
      </c>
    </row>
    <row r="645">
      <c r="A645" s="9" t="inlineStr">
        <is>
          <t>159201-01</t>
        </is>
      </c>
      <c r="B645" s="10" t="inlineStr">
        <is>
          <t>TraceAir Technologies</t>
        </is>
      </c>
      <c r="C645" s="11" t="inlineStr">
        <is>
          <t>94041</t>
        </is>
      </c>
      <c r="D645" s="12" t="inlineStr">
        <is>
          <t>Developer of a cloud based platform for construction companies. The company allows construction companies to connect the reality of the construction site to the planned virtual design by means of visual and intuitive map-based platform interface to control quality and costs of construction.</t>
        </is>
      </c>
      <c r="E645" s="13" t="inlineStr">
        <is>
          <t>Construction and Engineering</t>
        </is>
      </c>
      <c r="F645" s="14" t="inlineStr">
        <is>
          <t>Mountain View, CA</t>
        </is>
      </c>
      <c r="G645" s="15" t="inlineStr">
        <is>
          <t>Privately Held (backing)</t>
        </is>
      </c>
      <c r="H645" s="16" t="inlineStr">
        <is>
          <t>Accelerator/Incubator Backed</t>
        </is>
      </c>
      <c r="I645" s="17" t="inlineStr">
        <is>
          <t>500 Startups</t>
        </is>
      </c>
      <c r="J645" s="18" t="inlineStr">
        <is>
          <t>www.traceair.net</t>
        </is>
      </c>
      <c r="K645" s="19" t="inlineStr">
        <is>
          <t>info@traceair.net</t>
        </is>
      </c>
      <c r="L645" s="20" t="inlineStr">
        <is>
          <t>+1 (206) 973-9958</t>
        </is>
      </c>
      <c r="M645" s="21" t="inlineStr">
        <is>
          <t>Dmitry Korolev</t>
        </is>
      </c>
      <c r="N645" s="22" t="inlineStr">
        <is>
          <t>Founder and Chief Executive Officer</t>
        </is>
      </c>
      <c r="O645" s="23" t="inlineStr">
        <is>
          <t>dk@traceair.net</t>
        </is>
      </c>
      <c r="P645" s="24" t="inlineStr">
        <is>
          <t>+1 (206) 973-9958</t>
        </is>
      </c>
      <c r="Q645" s="25" t="n">
        <v>2015.0</v>
      </c>
      <c r="R645" s="113">
        <f>HYPERLINK("https://my.pitchbook.com?c=159201-01", "View company online")</f>
      </c>
    </row>
    <row r="646">
      <c r="A646" s="27" t="inlineStr">
        <is>
          <t>94394-53</t>
        </is>
      </c>
      <c r="B646" s="28" t="inlineStr">
        <is>
          <t>Tower59</t>
        </is>
      </c>
      <c r="C646" s="29" t="inlineStr">
        <is>
          <t>94107</t>
        </is>
      </c>
      <c r="D646" s="30" t="inlineStr">
        <is>
          <t>Provider of financial services. The company offers professional financial services such as company valuations to early- and mid-stage companies.</t>
        </is>
      </c>
      <c r="E646" s="31" t="inlineStr">
        <is>
          <t>Other Financial Services</t>
        </is>
      </c>
      <c r="F646" s="32" t="inlineStr">
        <is>
          <t>San Francisco, CA</t>
        </is>
      </c>
      <c r="G646" s="33" t="inlineStr">
        <is>
          <t>Privately Held (backing)</t>
        </is>
      </c>
      <c r="H646" s="34" t="inlineStr">
        <is>
          <t>Angel-Backed</t>
        </is>
      </c>
      <c r="I646" s="35" t="inlineStr">
        <is>
          <t/>
        </is>
      </c>
      <c r="J646" s="36" t="inlineStr">
        <is>
          <t>www.tower59.com</t>
        </is>
      </c>
      <c r="K646" s="37" t="inlineStr">
        <is>
          <t>info@tower59.com</t>
        </is>
      </c>
      <c r="L646" s="38" t="inlineStr">
        <is>
          <t>+1 (415) 963-9673</t>
        </is>
      </c>
      <c r="M646" s="39" t="inlineStr">
        <is>
          <t>Scott Lockhart</t>
        </is>
      </c>
      <c r="N646" s="40" t="inlineStr">
        <is>
          <t>Co-Founder</t>
        </is>
      </c>
      <c r="O646" s="41" t="inlineStr">
        <is>
          <t>scott@tower59.com</t>
        </is>
      </c>
      <c r="P646" s="42" t="inlineStr">
        <is>
          <t>+1 (415) 963-9673</t>
        </is>
      </c>
      <c r="Q646" s="43" t="n">
        <v>2012.0</v>
      </c>
      <c r="R646" s="114">
        <f>HYPERLINK("https://my.pitchbook.com?c=94394-53", "View company online")</f>
      </c>
    </row>
    <row r="647">
      <c r="A647" s="9" t="inlineStr">
        <is>
          <t>90954-82</t>
        </is>
      </c>
      <c r="B647" s="10" t="inlineStr">
        <is>
          <t>Tower Paddle Boards</t>
        </is>
      </c>
      <c r="C647" s="11" t="inlineStr">
        <is>
          <t>92109</t>
        </is>
      </c>
      <c r="D647" s="12" t="inlineStr">
        <is>
          <t>Manufacturer of a stand up paddle board. The company manufactures, designs and sells stand up paddle boards, carbon fiber and wooden SUP paddles, flat-water paddle boarding accessories, stand up paddle surfing gear and SUP surfing boards.</t>
        </is>
      </c>
      <c r="E647" s="13" t="inlineStr">
        <is>
          <t>Internet Retail</t>
        </is>
      </c>
      <c r="F647" s="14" t="inlineStr">
        <is>
          <t>San Diego, CA</t>
        </is>
      </c>
      <c r="G647" s="15" t="inlineStr">
        <is>
          <t>Privately Held (backing)</t>
        </is>
      </c>
      <c r="H647" s="16" t="inlineStr">
        <is>
          <t>Angel-Backed</t>
        </is>
      </c>
      <c r="I647" s="17" t="inlineStr">
        <is>
          <t>Mark Cuban</t>
        </is>
      </c>
      <c r="J647" s="18" t="inlineStr">
        <is>
          <t>www.towerpaddleboards.com</t>
        </is>
      </c>
      <c r="K647" s="19" t="inlineStr">
        <is>
          <t>info@towerpaddleboards.com</t>
        </is>
      </c>
      <c r="L647" s="20" t="inlineStr">
        <is>
          <t>+1 (866) 622-4477</t>
        </is>
      </c>
      <c r="M647" s="21" t="inlineStr">
        <is>
          <t>Stephan Aarstol</t>
        </is>
      </c>
      <c r="N647" s="22" t="inlineStr">
        <is>
          <t>Founder &amp; Chief Executive Officer</t>
        </is>
      </c>
      <c r="O647" s="23" t="inlineStr">
        <is>
          <t>stephan@towerpaddleboards.com</t>
        </is>
      </c>
      <c r="P647" s="24" t="inlineStr">
        <is>
          <t>+1 (866) 622-4477</t>
        </is>
      </c>
      <c r="Q647" s="25" t="n">
        <v>2011.0</v>
      </c>
      <c r="R647" s="113">
        <f>HYPERLINK("https://my.pitchbook.com?c=90954-82", "View company online")</f>
      </c>
    </row>
    <row r="648">
      <c r="A648" s="27" t="inlineStr">
        <is>
          <t>169425-82</t>
        </is>
      </c>
      <c r="B648" s="28" t="inlineStr">
        <is>
          <t>TourUs</t>
        </is>
      </c>
      <c r="C648" s="29" t="inlineStr">
        <is>
          <t/>
        </is>
      </c>
      <c r="D648" s="30" t="inlineStr">
        <is>
          <t>Provider of a real-time gaming application. The company provides an interactive gaming application for the travelers.</t>
        </is>
      </c>
      <c r="E648" s="31" t="inlineStr">
        <is>
          <t>Application Software</t>
        </is>
      </c>
      <c r="F648" s="32" t="inlineStr">
        <is>
          <t>San Francisco, CA</t>
        </is>
      </c>
      <c r="G648" s="33" t="inlineStr">
        <is>
          <t>Privately Held (backing)</t>
        </is>
      </c>
      <c r="H648" s="34" t="inlineStr">
        <is>
          <t>Accelerator/Incubator Backed</t>
        </is>
      </c>
      <c r="I648" s="35" t="inlineStr">
        <is>
          <t>Catapult Ideas</t>
        </is>
      </c>
      <c r="J648" s="36" t="inlineStr">
        <is>
          <t/>
        </is>
      </c>
      <c r="K648" s="37" t="inlineStr">
        <is>
          <t/>
        </is>
      </c>
      <c r="L648" s="38" t="inlineStr">
        <is>
          <t/>
        </is>
      </c>
      <c r="M648" s="39" t="inlineStr">
        <is>
          <t/>
        </is>
      </c>
      <c r="N648" s="40" t="inlineStr">
        <is>
          <t/>
        </is>
      </c>
      <c r="O648" s="41" t="inlineStr">
        <is>
          <t/>
        </is>
      </c>
      <c r="P648" s="42" t="inlineStr">
        <is>
          <t/>
        </is>
      </c>
      <c r="Q648" s="43" t="n">
        <v>2015.0</v>
      </c>
      <c r="R648" s="114">
        <f>HYPERLINK("https://my.pitchbook.com?c=169425-82", "View company online")</f>
      </c>
    </row>
    <row r="649">
      <c r="A649" s="9" t="inlineStr">
        <is>
          <t>94238-74</t>
        </is>
      </c>
      <c r="B649" s="10" t="inlineStr">
        <is>
          <t>TourNative</t>
        </is>
      </c>
      <c r="C649" s="11" t="inlineStr">
        <is>
          <t/>
        </is>
      </c>
      <c r="D649" s="12" t="inlineStr">
        <is>
          <t>Provider of web platform for tourists. The company online marketplace to connect travelers and local guides to share travel experiences.</t>
        </is>
      </c>
      <c r="E649" s="13" t="inlineStr">
        <is>
          <t>Information Services (B2C)</t>
        </is>
      </c>
      <c r="F649" s="14" t="inlineStr">
        <is>
          <t>Mountain View, CA</t>
        </is>
      </c>
      <c r="G649" s="15" t="inlineStr">
        <is>
          <t>Privately Held (backing)</t>
        </is>
      </c>
      <c r="H649" s="16" t="inlineStr">
        <is>
          <t>Accelerator/Incubator Backed</t>
        </is>
      </c>
      <c r="I649" s="17" t="inlineStr">
        <is>
          <t>Start-Up Chile</t>
        </is>
      </c>
      <c r="J649" s="18" t="inlineStr">
        <is>
          <t>www.tournative.com</t>
        </is>
      </c>
      <c r="K649" s="19" t="inlineStr">
        <is>
          <t>info@tournative.com</t>
        </is>
      </c>
      <c r="L649" s="20" t="inlineStr">
        <is>
          <t/>
        </is>
      </c>
      <c r="M649" s="21" t="inlineStr">
        <is>
          <t>Quynh Pham</t>
        </is>
      </c>
      <c r="N649" s="22" t="inlineStr">
        <is>
          <t>Co-founder &amp; Chief Executive Officer</t>
        </is>
      </c>
      <c r="O649" s="23" t="inlineStr">
        <is>
          <t/>
        </is>
      </c>
      <c r="P649" s="24" t="inlineStr">
        <is>
          <t/>
        </is>
      </c>
      <c r="Q649" s="25" t="n">
        <v>2013.0</v>
      </c>
      <c r="R649" s="113">
        <f>HYPERLINK("https://my.pitchbook.com?c=94238-74", "View company online")</f>
      </c>
    </row>
    <row r="650">
      <c r="A650" s="27" t="inlineStr">
        <is>
          <t>60251-05</t>
        </is>
      </c>
      <c r="B650" s="28" t="inlineStr">
        <is>
          <t>Tourjive</t>
        </is>
      </c>
      <c r="C650" s="29" t="inlineStr">
        <is>
          <t>90404</t>
        </is>
      </c>
      <c r="D650" s="30" t="inlineStr">
        <is>
          <t>Developer of a software for the analysis of music. The company offers an in-depth analysis of the live music and touring business.</t>
        </is>
      </c>
      <c r="E650" s="31" t="inlineStr">
        <is>
          <t>Social/Platform Software</t>
        </is>
      </c>
      <c r="F650" s="32" t="inlineStr">
        <is>
          <t>Santa Monica, CA</t>
        </is>
      </c>
      <c r="G650" s="33" t="inlineStr">
        <is>
          <t>Privately Held (backing)</t>
        </is>
      </c>
      <c r="H650" s="34" t="inlineStr">
        <is>
          <t>Angel-Backed</t>
        </is>
      </c>
      <c r="I650" s="35" t="inlineStr">
        <is>
          <t>Startup Next</t>
        </is>
      </c>
      <c r="J650" s="36" t="inlineStr">
        <is>
          <t>www.tourjive.com</t>
        </is>
      </c>
      <c r="K650" s="37" t="inlineStr">
        <is>
          <t>team@tourjive.com</t>
        </is>
      </c>
      <c r="L650" s="38" t="inlineStr">
        <is>
          <t/>
        </is>
      </c>
      <c r="M650" s="39" t="inlineStr">
        <is>
          <t>Matt Baca</t>
        </is>
      </c>
      <c r="N650" s="40" t="inlineStr">
        <is>
          <t>Co-Founder</t>
        </is>
      </c>
      <c r="O650" s="41" t="inlineStr">
        <is>
          <t/>
        </is>
      </c>
      <c r="P650" s="42" t="inlineStr">
        <is>
          <t/>
        </is>
      </c>
      <c r="Q650" s="43" t="n">
        <v>2013.0</v>
      </c>
      <c r="R650" s="114">
        <f>HYPERLINK("https://my.pitchbook.com?c=60251-05", "View company online")</f>
      </c>
    </row>
    <row r="651">
      <c r="A651" s="9" t="inlineStr">
        <is>
          <t>117820-54</t>
        </is>
      </c>
      <c r="B651" s="10" t="inlineStr">
        <is>
          <t>TOURING APP</t>
        </is>
      </c>
      <c r="C651" s="85">
        <f>HYPERLINK("https://my.pitchbook.com?rrp=117820-54&amp;type=c", "This Company's information is not available to download. Need this Company? Request availability")</f>
      </c>
      <c r="D651" s="12" t="inlineStr">
        <is>
          <t/>
        </is>
      </c>
      <c r="E651" s="13" t="inlineStr">
        <is>
          <t/>
        </is>
      </c>
      <c r="F651" s="14" t="inlineStr">
        <is>
          <t/>
        </is>
      </c>
      <c r="G651" s="15" t="inlineStr">
        <is>
          <t/>
        </is>
      </c>
      <c r="H651" s="16" t="inlineStr">
        <is>
          <t/>
        </is>
      </c>
      <c r="I651" s="17" t="inlineStr">
        <is>
          <t/>
        </is>
      </c>
      <c r="J651" s="18" t="inlineStr">
        <is>
          <t/>
        </is>
      </c>
      <c r="K651" s="19" t="inlineStr">
        <is>
          <t/>
        </is>
      </c>
      <c r="L651" s="20" t="inlineStr">
        <is>
          <t/>
        </is>
      </c>
      <c r="M651" s="21" t="inlineStr">
        <is>
          <t/>
        </is>
      </c>
      <c r="N651" s="22" t="inlineStr">
        <is>
          <t/>
        </is>
      </c>
      <c r="O651" s="23" t="inlineStr">
        <is>
          <t/>
        </is>
      </c>
      <c r="P651" s="24" t="inlineStr">
        <is>
          <t/>
        </is>
      </c>
      <c r="Q651" s="25" t="inlineStr">
        <is>
          <t/>
        </is>
      </c>
      <c r="R651" s="26" t="inlineStr">
        <is>
          <t/>
        </is>
      </c>
    </row>
    <row r="652">
      <c r="A652" s="27" t="inlineStr">
        <is>
          <t>90954-28</t>
        </is>
      </c>
      <c r="B652" s="28" t="inlineStr">
        <is>
          <t>Tour Engine</t>
        </is>
      </c>
      <c r="C652" s="29" t="inlineStr">
        <is>
          <t>92120</t>
        </is>
      </c>
      <c r="D652" s="30" t="inlineStr">
        <is>
          <t>Developer of an engine designs. The company is developing and testing the design of a internal combustion engine and split-cycle engine.</t>
        </is>
      </c>
      <c r="E652" s="31" t="inlineStr">
        <is>
          <t>Industrial Supplies and Parts</t>
        </is>
      </c>
      <c r="F652" s="32" t="inlineStr">
        <is>
          <t>San Diego, CA</t>
        </is>
      </c>
      <c r="G652" s="33" t="inlineStr">
        <is>
          <t>Privately Held (backing)</t>
        </is>
      </c>
      <c r="H652" s="34" t="inlineStr">
        <is>
          <t>Angel-Backed</t>
        </is>
      </c>
      <c r="I652" s="35" t="inlineStr">
        <is>
          <t>Arpa-E, California Energy Commission's Energy Innovations Small Grant (EISG), Irwin Jacobs, Israeli Ministry of Energy and Water Resources, Israeli Ministry of National Infrastructures, Joan Jacobs</t>
        </is>
      </c>
      <c r="J652" s="36" t="inlineStr">
        <is>
          <t>tourengine.com</t>
        </is>
      </c>
      <c r="K652" s="37" t="inlineStr">
        <is>
          <t/>
        </is>
      </c>
      <c r="L652" s="38" t="inlineStr">
        <is>
          <t>+1 (619) 920-1623</t>
        </is>
      </c>
      <c r="M652" s="39" t="inlineStr">
        <is>
          <t>Benjamin Tour</t>
        </is>
      </c>
      <c r="N652" s="40" t="inlineStr">
        <is>
          <t>President &amp; Secretary</t>
        </is>
      </c>
      <c r="O652" s="41" t="inlineStr">
        <is>
          <t/>
        </is>
      </c>
      <c r="P652" s="42" t="inlineStr">
        <is>
          <t>+1 (619) 920-1623</t>
        </is>
      </c>
      <c r="Q652" s="43" t="n">
        <v>2007.0</v>
      </c>
      <c r="R652" s="114">
        <f>HYPERLINK("https://my.pitchbook.com?c=90954-28", "View company online")</f>
      </c>
    </row>
    <row r="653">
      <c r="A653" s="9" t="inlineStr">
        <is>
          <t>156306-34</t>
        </is>
      </c>
      <c r="B653" s="10" t="inlineStr">
        <is>
          <t>Toughbuilt Industries</t>
        </is>
      </c>
      <c r="C653" s="11" t="inlineStr">
        <is>
          <t>91203</t>
        </is>
      </c>
      <c r="D653" s="12" t="inlineStr">
        <is>
          <t>Manufacturer of regular accessories for contractors, technicians, electricians and business organizations. The company specializes in providing bags, clip-tech tool belts, laptop bags, knee pads and saw horses.</t>
        </is>
      </c>
      <c r="E653" s="13" t="inlineStr">
        <is>
          <t>Accessories</t>
        </is>
      </c>
      <c r="F653" s="14" t="inlineStr">
        <is>
          <t>Glendale, CA</t>
        </is>
      </c>
      <c r="G653" s="15" t="inlineStr">
        <is>
          <t>Privately Held (backing)</t>
        </is>
      </c>
      <c r="H653" s="16" t="inlineStr">
        <is>
          <t>Angel-Backed</t>
        </is>
      </c>
      <c r="I653" s="17" t="inlineStr">
        <is>
          <t/>
        </is>
      </c>
      <c r="J653" s="18" t="inlineStr">
        <is>
          <t>www.toughbuilt.com</t>
        </is>
      </c>
      <c r="K653" s="19" t="inlineStr">
        <is>
          <t/>
        </is>
      </c>
      <c r="L653" s="20" t="inlineStr">
        <is>
          <t>+1 (800) 288-4695</t>
        </is>
      </c>
      <c r="M653" s="21" t="inlineStr">
        <is>
          <t>Manu Ohri</t>
        </is>
      </c>
      <c r="N653" s="22" t="inlineStr">
        <is>
          <t>Chief Financial Officer &amp; Board Member</t>
        </is>
      </c>
      <c r="O653" s="23" t="inlineStr">
        <is>
          <t>manu.ohri@toughbuilt.com</t>
        </is>
      </c>
      <c r="P653" s="24" t="inlineStr">
        <is>
          <t>+1 (800) 288-4695</t>
        </is>
      </c>
      <c r="Q653" s="25" t="n">
        <v>2012.0</v>
      </c>
      <c r="R653" s="113">
        <f>HYPERLINK("https://my.pitchbook.com?c=156306-34", "View company online")</f>
      </c>
    </row>
    <row r="654">
      <c r="A654" s="27" t="inlineStr">
        <is>
          <t>120229-75</t>
        </is>
      </c>
      <c r="B654" s="28" t="inlineStr">
        <is>
          <t>Touchmoon</t>
        </is>
      </c>
      <c r="C654" s="86">
        <f>HYPERLINK("https://my.pitchbook.com?rrp=120229-75&amp;type=c", "This Company's information is not available to download. Need this Company? Request availability")</f>
      </c>
      <c r="D654" s="30" t="inlineStr">
        <is>
          <t/>
        </is>
      </c>
      <c r="E654" s="31" t="inlineStr">
        <is>
          <t/>
        </is>
      </c>
      <c r="F654" s="32" t="inlineStr">
        <is>
          <t/>
        </is>
      </c>
      <c r="G654" s="33" t="inlineStr">
        <is>
          <t/>
        </is>
      </c>
      <c r="H654" s="34" t="inlineStr">
        <is>
          <t/>
        </is>
      </c>
      <c r="I654" s="35" t="inlineStr">
        <is>
          <t/>
        </is>
      </c>
      <c r="J654" s="36" t="inlineStr">
        <is>
          <t/>
        </is>
      </c>
      <c r="K654" s="37" t="inlineStr">
        <is>
          <t/>
        </is>
      </c>
      <c r="L654" s="38" t="inlineStr">
        <is>
          <t/>
        </is>
      </c>
      <c r="M654" s="39" t="inlineStr">
        <is>
          <t/>
        </is>
      </c>
      <c r="N654" s="40" t="inlineStr">
        <is>
          <t/>
        </is>
      </c>
      <c r="O654" s="41" t="inlineStr">
        <is>
          <t/>
        </is>
      </c>
      <c r="P654" s="42" t="inlineStr">
        <is>
          <t/>
        </is>
      </c>
      <c r="Q654" s="43" t="inlineStr">
        <is>
          <t/>
        </is>
      </c>
      <c r="R654" s="44" t="inlineStr">
        <is>
          <t/>
        </is>
      </c>
    </row>
    <row r="655">
      <c r="A655" s="9" t="inlineStr">
        <is>
          <t>126697-24</t>
        </is>
      </c>
      <c r="B655" s="10" t="inlineStr">
        <is>
          <t>Touch Coffee &amp; Beverages</t>
        </is>
      </c>
      <c r="C655" s="11" t="inlineStr">
        <is>
          <t>91746</t>
        </is>
      </c>
      <c r="D655" s="12" t="inlineStr">
        <is>
          <t>Manufacturer of a coffee brewing machine. The company manufactures and markets a coffee brewing machine and accessories needed in the process of coffee brewing.</t>
        </is>
      </c>
      <c r="E655" s="13" t="inlineStr">
        <is>
          <t>Household Appliances</t>
        </is>
      </c>
      <c r="F655" s="14" t="inlineStr">
        <is>
          <t>Industry, CA</t>
        </is>
      </c>
      <c r="G655" s="15" t="inlineStr">
        <is>
          <t>Privately Held (backing)</t>
        </is>
      </c>
      <c r="H655" s="16" t="inlineStr">
        <is>
          <t>Angel-Backed</t>
        </is>
      </c>
      <c r="I655" s="17" t="inlineStr">
        <is>
          <t/>
        </is>
      </c>
      <c r="J655" s="18" t="inlineStr">
        <is>
          <t>www.touchbeverages.com</t>
        </is>
      </c>
      <c r="K655" s="19" t="inlineStr">
        <is>
          <t>info@touchbeverages.com</t>
        </is>
      </c>
      <c r="L655" s="20" t="inlineStr">
        <is>
          <t/>
        </is>
      </c>
      <c r="M655" s="21" t="inlineStr">
        <is>
          <t>Samuel Kim</t>
        </is>
      </c>
      <c r="N655" s="22" t="inlineStr">
        <is>
          <t>Manager &amp; Chief Executive Officer</t>
        </is>
      </c>
      <c r="O655" s="23" t="inlineStr">
        <is>
          <t/>
        </is>
      </c>
      <c r="P655" s="24" t="inlineStr">
        <is>
          <t/>
        </is>
      </c>
      <c r="Q655" s="25" t="n">
        <v>2013.0</v>
      </c>
      <c r="R655" s="113">
        <f>HYPERLINK("https://my.pitchbook.com?c=126697-24", "View company online")</f>
      </c>
    </row>
    <row r="656">
      <c r="A656" s="27" t="inlineStr">
        <is>
          <t>95254-03</t>
        </is>
      </c>
      <c r="B656" s="28" t="inlineStr">
        <is>
          <t>Totus Power</t>
        </is>
      </c>
      <c r="C656" s="29" t="inlineStr">
        <is>
          <t/>
        </is>
      </c>
      <c r="D656" s="30" t="inlineStr">
        <is>
          <t>Developer of battery packs for low cost schools. The company develops portable battery packs by reusing lithium ion (Li-Ion) batteries from electric vehicles (EVs) and thereby enables a technology-based learning at low cost schools in developing countries.</t>
        </is>
      </c>
      <c r="E656" s="31" t="inlineStr">
        <is>
          <t>Electronics (B2C)</t>
        </is>
      </c>
      <c r="F656" s="32" t="inlineStr">
        <is>
          <t>San Francisco, CA</t>
        </is>
      </c>
      <c r="G656" s="33" t="inlineStr">
        <is>
          <t>Privately Held (backing)</t>
        </is>
      </c>
      <c r="H656" s="34" t="inlineStr">
        <is>
          <t>Accelerator/Incubator Backed</t>
        </is>
      </c>
      <c r="I656" s="35" t="inlineStr">
        <is>
          <t>Impact Engine, Singularity University, Start-Up Chile</t>
        </is>
      </c>
      <c r="J656" s="36" t="inlineStr">
        <is>
          <t>www.totuspower.com</t>
        </is>
      </c>
      <c r="K656" s="37" t="inlineStr">
        <is>
          <t>info@totuspower.com</t>
        </is>
      </c>
      <c r="L656" s="38" t="inlineStr">
        <is>
          <t/>
        </is>
      </c>
      <c r="M656" s="39" t="inlineStr">
        <is>
          <t>Siva Rajendran</t>
        </is>
      </c>
      <c r="N656" s="40" t="inlineStr">
        <is>
          <t>Founder &amp; Chief Executive Officer</t>
        </is>
      </c>
      <c r="O656" s="41" t="inlineStr">
        <is>
          <t/>
        </is>
      </c>
      <c r="P656" s="42" t="inlineStr">
        <is>
          <t/>
        </is>
      </c>
      <c r="Q656" s="43" t="n">
        <v>2013.0</v>
      </c>
      <c r="R656" s="114">
        <f>HYPERLINK("https://my.pitchbook.com?c=95254-03", "View company online")</f>
      </c>
    </row>
    <row r="657">
      <c r="A657" s="9" t="inlineStr">
        <is>
          <t>133097-86</t>
        </is>
      </c>
      <c r="B657" s="10" t="inlineStr">
        <is>
          <t>Totum</t>
        </is>
      </c>
      <c r="C657" s="11" t="inlineStr">
        <is>
          <t>90211</t>
        </is>
      </c>
      <c r="D657" s="12" t="inlineStr">
        <is>
          <t>Provider of a wealth management platform. The company offers an investment and wealth management platform which takes into account human capital factors such as geography, industry, health, family and balance sheet for its portfolio recommendation.</t>
        </is>
      </c>
      <c r="E657" s="13" t="inlineStr">
        <is>
          <t>Social/Platform Software</t>
        </is>
      </c>
      <c r="F657" s="14" t="inlineStr">
        <is>
          <t>Beverly Hills, CA</t>
        </is>
      </c>
      <c r="G657" s="15" t="inlineStr">
        <is>
          <t>Privately Held (backing)</t>
        </is>
      </c>
      <c r="H657" s="16" t="inlineStr">
        <is>
          <t>Accelerator/Incubator Backed</t>
        </is>
      </c>
      <c r="I657" s="17" t="inlineStr">
        <is>
          <t>Ynext Incubator</t>
        </is>
      </c>
      <c r="J657" s="18" t="inlineStr">
        <is>
          <t>www.totumwealth.com</t>
        </is>
      </c>
      <c r="K657" s="19" t="inlineStr">
        <is>
          <t>totum@totumwealth.com</t>
        </is>
      </c>
      <c r="L657" s="20" t="inlineStr">
        <is>
          <t/>
        </is>
      </c>
      <c r="M657" s="21" t="inlineStr">
        <is>
          <t>Min Zhang</t>
        </is>
      </c>
      <c r="N657" s="22" t="inlineStr">
        <is>
          <t>Co-Founder &amp; Chief Executive Officer</t>
        </is>
      </c>
      <c r="O657" s="23" t="inlineStr">
        <is>
          <t>min.zhang@totumwealth.com</t>
        </is>
      </c>
      <c r="P657" s="24" t="inlineStr">
        <is>
          <t/>
        </is>
      </c>
      <c r="Q657" s="25" t="n">
        <v>2015.0</v>
      </c>
      <c r="R657" s="113">
        <f>HYPERLINK("https://my.pitchbook.com?c=133097-86", "View company online")</f>
      </c>
    </row>
    <row r="658">
      <c r="A658" s="27" t="inlineStr">
        <is>
          <t>176981-86</t>
        </is>
      </c>
      <c r="B658" s="28" t="inlineStr">
        <is>
          <t>Totokan</t>
        </is>
      </c>
      <c r="C658" s="86">
        <f>HYPERLINK("https://my.pitchbook.com?rrp=176981-86&amp;type=c", "This Company's information is not available to download. Need this Company? Request availability")</f>
      </c>
      <c r="D658" s="30" t="inlineStr">
        <is>
          <t/>
        </is>
      </c>
      <c r="E658" s="31" t="inlineStr">
        <is>
          <t/>
        </is>
      </c>
      <c r="F658" s="32" t="inlineStr">
        <is>
          <t/>
        </is>
      </c>
      <c r="G658" s="33" t="inlineStr">
        <is>
          <t/>
        </is>
      </c>
      <c r="H658" s="34" t="inlineStr">
        <is>
          <t/>
        </is>
      </c>
      <c r="I658" s="35" t="inlineStr">
        <is>
          <t/>
        </is>
      </c>
      <c r="J658" s="36" t="inlineStr">
        <is>
          <t/>
        </is>
      </c>
      <c r="K658" s="37" t="inlineStr">
        <is>
          <t/>
        </is>
      </c>
      <c r="L658" s="38" t="inlineStr">
        <is>
          <t/>
        </is>
      </c>
      <c r="M658" s="39" t="inlineStr">
        <is>
          <t/>
        </is>
      </c>
      <c r="N658" s="40" t="inlineStr">
        <is>
          <t/>
        </is>
      </c>
      <c r="O658" s="41" t="inlineStr">
        <is>
          <t/>
        </is>
      </c>
      <c r="P658" s="42" t="inlineStr">
        <is>
          <t/>
        </is>
      </c>
      <c r="Q658" s="43" t="inlineStr">
        <is>
          <t/>
        </is>
      </c>
      <c r="R658" s="44" t="inlineStr">
        <is>
          <t/>
        </is>
      </c>
    </row>
    <row r="659">
      <c r="A659" s="9" t="inlineStr">
        <is>
          <t>65162-44</t>
        </is>
      </c>
      <c r="B659" s="10" t="inlineStr">
        <is>
          <t>TotallyDot</t>
        </is>
      </c>
      <c r="C659" s="11" t="inlineStr">
        <is>
          <t>90401</t>
        </is>
      </c>
      <c r="D659" s="12" t="inlineStr">
        <is>
          <t>Developer of an online platform that helps users to manage their social media updates and news. The company also allows users to create a board to show all updates, news, photos, videos, marketing campaigns of new products.</t>
        </is>
      </c>
      <c r="E659" s="13" t="inlineStr">
        <is>
          <t>Other Commercial Services</t>
        </is>
      </c>
      <c r="F659" s="14" t="inlineStr">
        <is>
          <t>Santa Monica, CA</t>
        </is>
      </c>
      <c r="G659" s="15" t="inlineStr">
        <is>
          <t>Privately Held (backing)</t>
        </is>
      </c>
      <c r="H659" s="16" t="inlineStr">
        <is>
          <t>Angel-Backed</t>
        </is>
      </c>
      <c r="I659" s="17" t="inlineStr">
        <is>
          <t>Arjan de Raaf, Bay Area Holding, Bogusia Riebandt, Cezary Wlodarczyk, Digital Content Holding, Individual Investor</t>
        </is>
      </c>
      <c r="J659" s="18" t="inlineStr">
        <is>
          <t>www.totallydot.com</t>
        </is>
      </c>
      <c r="K659" s="19" t="inlineStr">
        <is>
          <t/>
        </is>
      </c>
      <c r="L659" s="20" t="inlineStr">
        <is>
          <t/>
        </is>
      </c>
      <c r="M659" s="21" t="inlineStr">
        <is>
          <t>Arjan Raaf</t>
        </is>
      </c>
      <c r="N659" s="22" t="inlineStr">
        <is>
          <t>Chief Executive Officer</t>
        </is>
      </c>
      <c r="O659" s="23" t="inlineStr">
        <is>
          <t>arjan@fffavs.com</t>
        </is>
      </c>
      <c r="P659" s="24" t="inlineStr">
        <is>
          <t/>
        </is>
      </c>
      <c r="Q659" s="25" t="n">
        <v>2011.0</v>
      </c>
      <c r="R659" s="113">
        <f>HYPERLINK("https://my.pitchbook.com?c=65162-44", "View company online")</f>
      </c>
    </row>
    <row r="660">
      <c r="A660" s="27" t="inlineStr">
        <is>
          <t>95253-04</t>
        </is>
      </c>
      <c r="B660" s="28" t="inlineStr">
        <is>
          <t>Total Communicator Solutions</t>
        </is>
      </c>
      <c r="C660" s="29" t="inlineStr">
        <is>
          <t>92106</t>
        </is>
      </c>
      <c r="D660" s="30" t="inlineStr">
        <is>
          <t>Developer of a communication tool for marketers and sellers to communicate with customers. The company has developed a communication platform, a scalable PaaS (Platform as a Service) that integrates with multiple devices, system and sensors to help marketers, event sponsors, stadium managers, city managers to analyze customer behavior and conduct marketing campaigns and other activities to get customer acquisition.</t>
        </is>
      </c>
      <c r="E660" s="31" t="inlineStr">
        <is>
          <t>Automation/Workflow Software</t>
        </is>
      </c>
      <c r="F660" s="32" t="inlineStr">
        <is>
          <t>San Diego, CA</t>
        </is>
      </c>
      <c r="G660" s="33" t="inlineStr">
        <is>
          <t>Privately Held (backing)</t>
        </is>
      </c>
      <c r="H660" s="34" t="inlineStr">
        <is>
          <t>Angel-Backed</t>
        </is>
      </c>
      <c r="I660" s="35" t="inlineStr">
        <is>
          <t>Individual Investor</t>
        </is>
      </c>
      <c r="J660" s="36" t="inlineStr">
        <is>
          <t>www.sparkcompass.com</t>
        </is>
      </c>
      <c r="K660" s="37" t="inlineStr">
        <is>
          <t>info@sparkcompass.com</t>
        </is>
      </c>
      <c r="L660" s="38" t="inlineStr">
        <is>
          <t>+1 (619) 615-4237</t>
        </is>
      </c>
      <c r="M660" s="39" t="inlineStr">
        <is>
          <t>Bernt Bjontegard</t>
        </is>
      </c>
      <c r="N660" s="40" t="inlineStr">
        <is>
          <t>Founder, President &amp; Director</t>
        </is>
      </c>
      <c r="O660" s="41" t="inlineStr">
        <is>
          <t>berntb@sparkcompass.com</t>
        </is>
      </c>
      <c r="P660" s="42" t="inlineStr">
        <is>
          <t>+1 (619) 615-4237</t>
        </is>
      </c>
      <c r="Q660" s="43" t="n">
        <v>2012.0</v>
      </c>
      <c r="R660" s="114">
        <f>HYPERLINK("https://my.pitchbook.com?c=95253-04", "View company online")</f>
      </c>
    </row>
    <row r="661">
      <c r="A661" s="9" t="inlineStr">
        <is>
          <t>99093-70</t>
        </is>
      </c>
      <c r="B661" s="10" t="inlineStr">
        <is>
          <t>toSense</t>
        </is>
      </c>
      <c r="C661" s="11" t="inlineStr">
        <is>
          <t>92121</t>
        </is>
      </c>
      <c r="D661" s="12" t="inlineStr">
        <is>
          <t>Developer of a wearable health parameter monitoring system. The company develops a system which enables monitoring of thoracic impedance, heart rate, respiration rate, skin temperature and posture for report patient monitoring.</t>
        </is>
      </c>
      <c r="E661" s="13" t="inlineStr">
        <is>
          <t>Electronics (B2C)</t>
        </is>
      </c>
      <c r="F661" s="14" t="inlineStr">
        <is>
          <t>San Diego, CA</t>
        </is>
      </c>
      <c r="G661" s="15" t="inlineStr">
        <is>
          <t>Privately Held (backing)</t>
        </is>
      </c>
      <c r="H661" s="16" t="inlineStr">
        <is>
          <t>Accelerator/Incubator Backed</t>
        </is>
      </c>
      <c r="I661" s="17" t="inlineStr">
        <is>
          <t>EvoNexus</t>
        </is>
      </c>
      <c r="J661" s="18" t="inlineStr">
        <is>
          <t>www.tosense.com</t>
        </is>
      </c>
      <c r="K661" s="19" t="inlineStr">
        <is>
          <t>info@tosense.com</t>
        </is>
      </c>
      <c r="L661" s="20" t="inlineStr">
        <is>
          <t>+1 (866) 584-5884</t>
        </is>
      </c>
      <c r="M661" s="21" t="inlineStr">
        <is>
          <t>Marshal Dhillon</t>
        </is>
      </c>
      <c r="N661" s="22" t="inlineStr">
        <is>
          <t>Co-Founder &amp; Vice President of Research &amp; Engineering</t>
        </is>
      </c>
      <c r="O661" s="23" t="inlineStr">
        <is>
          <t>marshal.dhillon@tosense.com</t>
        </is>
      </c>
      <c r="P661" s="24" t="inlineStr">
        <is>
          <t>+1 (866) 584-5884</t>
        </is>
      </c>
      <c r="Q661" s="25" t="n">
        <v>2014.0</v>
      </c>
      <c r="R661" s="113">
        <f>HYPERLINK("https://my.pitchbook.com?c=99093-70", "View company online")</f>
      </c>
    </row>
    <row r="662">
      <c r="A662" s="27" t="inlineStr">
        <is>
          <t>119879-38</t>
        </is>
      </c>
      <c r="B662" s="28" t="inlineStr">
        <is>
          <t>Tosca Cafe</t>
        </is>
      </c>
      <c r="C662" s="29" t="inlineStr">
        <is>
          <t>94133</t>
        </is>
      </c>
      <c r="D662" s="30" t="inlineStr">
        <is>
          <t>Operator of a cafe and eatery. The company helps in brewing coffee and serves other food products.</t>
        </is>
      </c>
      <c r="E662" s="31" t="inlineStr">
        <is>
          <t>Other Restaurants, Hotels and Leisure</t>
        </is>
      </c>
      <c r="F662" s="32" t="inlineStr">
        <is>
          <t>San Francisco, CA</t>
        </is>
      </c>
      <c r="G662" s="33" t="inlineStr">
        <is>
          <t>Privately Held (backing)</t>
        </is>
      </c>
      <c r="H662" s="34" t="inlineStr">
        <is>
          <t>Angel-Backed</t>
        </is>
      </c>
      <c r="I662" s="35" t="inlineStr">
        <is>
          <t>Zachary Nelson</t>
        </is>
      </c>
      <c r="J662" s="36" t="inlineStr">
        <is>
          <t>www.toscacafesf.com</t>
        </is>
      </c>
      <c r="K662" s="37" t="inlineStr">
        <is>
          <t>info@toscacafesf.com</t>
        </is>
      </c>
      <c r="L662" s="38" t="inlineStr">
        <is>
          <t>+1 (415) 986-9651</t>
        </is>
      </c>
      <c r="M662" s="39" t="inlineStr">
        <is>
          <t/>
        </is>
      </c>
      <c r="N662" s="40" t="inlineStr">
        <is>
          <t/>
        </is>
      </c>
      <c r="O662" s="41" t="inlineStr">
        <is>
          <t/>
        </is>
      </c>
      <c r="P662" s="42" t="inlineStr">
        <is>
          <t/>
        </is>
      </c>
      <c r="Q662" s="43" t="inlineStr">
        <is>
          <t/>
        </is>
      </c>
      <c r="R662" s="114">
        <f>HYPERLINK("https://my.pitchbook.com?c=119879-38", "View company online")</f>
      </c>
    </row>
    <row r="663">
      <c r="A663" s="9" t="inlineStr">
        <is>
          <t>171385-57</t>
        </is>
      </c>
      <c r="B663" s="10" t="inlineStr">
        <is>
          <t>Torrey Pines Research</t>
        </is>
      </c>
      <c r="C663" s="85">
        <f>HYPERLINK("https://my.pitchbook.com?rrp=171385-57&amp;type=c", "This Company's information is not available to download. Need this Company? Request availability")</f>
      </c>
      <c r="D663" s="12" t="inlineStr">
        <is>
          <t/>
        </is>
      </c>
      <c r="E663" s="13" t="inlineStr">
        <is>
          <t/>
        </is>
      </c>
      <c r="F663" s="14" t="inlineStr">
        <is>
          <t/>
        </is>
      </c>
      <c r="G663" s="15" t="inlineStr">
        <is>
          <t/>
        </is>
      </c>
      <c r="H663" s="16" t="inlineStr">
        <is>
          <t/>
        </is>
      </c>
      <c r="I663" s="17" t="inlineStr">
        <is>
          <t/>
        </is>
      </c>
      <c r="J663" s="18" t="inlineStr">
        <is>
          <t/>
        </is>
      </c>
      <c r="K663" s="19" t="inlineStr">
        <is>
          <t/>
        </is>
      </c>
      <c r="L663" s="20" t="inlineStr">
        <is>
          <t/>
        </is>
      </c>
      <c r="M663" s="21" t="inlineStr">
        <is>
          <t/>
        </is>
      </c>
      <c r="N663" s="22" t="inlineStr">
        <is>
          <t/>
        </is>
      </c>
      <c r="O663" s="23" t="inlineStr">
        <is>
          <t/>
        </is>
      </c>
      <c r="P663" s="24" t="inlineStr">
        <is>
          <t/>
        </is>
      </c>
      <c r="Q663" s="25" t="inlineStr">
        <is>
          <t/>
        </is>
      </c>
      <c r="R663" s="26" t="inlineStr">
        <is>
          <t/>
        </is>
      </c>
    </row>
    <row r="664">
      <c r="A664" s="27" t="inlineStr">
        <is>
          <t>114138-37</t>
        </is>
      </c>
      <c r="B664" s="28" t="inlineStr">
        <is>
          <t>Torex USA</t>
        </is>
      </c>
      <c r="C664" s="29" t="inlineStr">
        <is>
          <t>92618</t>
        </is>
      </c>
      <c r="D664" s="30" t="inlineStr">
        <is>
          <t>Manufacturer of power integrated circuits. The company manufactures integrated circuits for digital music players, game units, digital cameras, laptop computers, and smart phones.</t>
        </is>
      </c>
      <c r="E664" s="31" t="inlineStr">
        <is>
          <t>Other Commercial Products</t>
        </is>
      </c>
      <c r="F664" s="32" t="inlineStr">
        <is>
          <t>Irvine, CA</t>
        </is>
      </c>
      <c r="G664" s="33" t="inlineStr">
        <is>
          <t>Privately Held (backing)</t>
        </is>
      </c>
      <c r="H664" s="34" t="inlineStr">
        <is>
          <t>Angel-Backed</t>
        </is>
      </c>
      <c r="I664" s="35" t="inlineStr">
        <is>
          <t/>
        </is>
      </c>
      <c r="J664" s="36" t="inlineStr">
        <is>
          <t/>
        </is>
      </c>
      <c r="K664" s="37" t="inlineStr">
        <is>
          <t/>
        </is>
      </c>
      <c r="L664" s="38" t="inlineStr">
        <is>
          <t>+1 (949) 262-2022</t>
        </is>
      </c>
      <c r="M664" s="39" t="inlineStr">
        <is>
          <t>Tomoharu Yamamoto</t>
        </is>
      </c>
      <c r="N664" s="40" t="inlineStr">
        <is>
          <t>Chief Operating Officer &amp; Board Member</t>
        </is>
      </c>
      <c r="O664" s="41" t="inlineStr">
        <is>
          <t/>
        </is>
      </c>
      <c r="P664" s="42" t="inlineStr">
        <is>
          <t>+1 (949) 262-2022</t>
        </is>
      </c>
      <c r="Q664" s="43" t="n">
        <v>2002.0</v>
      </c>
      <c r="R664" s="114">
        <f>HYPERLINK("https://my.pitchbook.com?c=114138-37", "View company online")</f>
      </c>
    </row>
    <row r="665">
      <c r="A665" s="9" t="inlineStr">
        <is>
          <t>179694-46</t>
        </is>
      </c>
      <c r="B665" s="10" t="inlineStr">
        <is>
          <t>Topology Eyewear</t>
        </is>
      </c>
      <c r="C665" s="85">
        <f>HYPERLINK("https://my.pitchbook.com?rrp=179694-46&amp;type=c", "This Company's information is not available to download. Need this Company? Request availability")</f>
      </c>
      <c r="D665" s="12" t="inlineStr">
        <is>
          <t/>
        </is>
      </c>
      <c r="E665" s="13" t="inlineStr">
        <is>
          <t/>
        </is>
      </c>
      <c r="F665" s="14" t="inlineStr">
        <is>
          <t/>
        </is>
      </c>
      <c r="G665" s="15" t="inlineStr">
        <is>
          <t/>
        </is>
      </c>
      <c r="H665" s="16" t="inlineStr">
        <is>
          <t/>
        </is>
      </c>
      <c r="I665" s="17" t="inlineStr">
        <is>
          <t/>
        </is>
      </c>
      <c r="J665" s="18" t="inlineStr">
        <is>
          <t/>
        </is>
      </c>
      <c r="K665" s="19" t="inlineStr">
        <is>
          <t/>
        </is>
      </c>
      <c r="L665" s="20" t="inlineStr">
        <is>
          <t/>
        </is>
      </c>
      <c r="M665" s="21" t="inlineStr">
        <is>
          <t/>
        </is>
      </c>
      <c r="N665" s="22" t="inlineStr">
        <is>
          <t/>
        </is>
      </c>
      <c r="O665" s="23" t="inlineStr">
        <is>
          <t/>
        </is>
      </c>
      <c r="P665" s="24" t="inlineStr">
        <is>
          <t/>
        </is>
      </c>
      <c r="Q665" s="25" t="inlineStr">
        <is>
          <t/>
        </is>
      </c>
      <c r="R665" s="26" t="inlineStr">
        <is>
          <t/>
        </is>
      </c>
    </row>
    <row r="666">
      <c r="A666" s="27" t="inlineStr">
        <is>
          <t>172860-40</t>
        </is>
      </c>
      <c r="B666" s="28" t="inlineStr">
        <is>
          <t>Top Broker Network</t>
        </is>
      </c>
      <c r="C666" s="86">
        <f>HYPERLINK("https://my.pitchbook.com?rrp=172860-40&amp;type=c", "This Company's information is not available to download. Need this Company? Request availability")</f>
      </c>
      <c r="D666" s="30" t="inlineStr">
        <is>
          <t/>
        </is>
      </c>
      <c r="E666" s="31" t="inlineStr">
        <is>
          <t/>
        </is>
      </c>
      <c r="F666" s="32" t="inlineStr">
        <is>
          <t/>
        </is>
      </c>
      <c r="G666" s="33" t="inlineStr">
        <is>
          <t/>
        </is>
      </c>
      <c r="H666" s="34" t="inlineStr">
        <is>
          <t/>
        </is>
      </c>
      <c r="I666" s="35" t="inlineStr">
        <is>
          <t/>
        </is>
      </c>
      <c r="J666" s="36" t="inlineStr">
        <is>
          <t/>
        </is>
      </c>
      <c r="K666" s="37" t="inlineStr">
        <is>
          <t/>
        </is>
      </c>
      <c r="L666" s="38" t="inlineStr">
        <is>
          <t/>
        </is>
      </c>
      <c r="M666" s="39" t="inlineStr">
        <is>
          <t/>
        </is>
      </c>
      <c r="N666" s="40" t="inlineStr">
        <is>
          <t/>
        </is>
      </c>
      <c r="O666" s="41" t="inlineStr">
        <is>
          <t/>
        </is>
      </c>
      <c r="P666" s="42" t="inlineStr">
        <is>
          <t/>
        </is>
      </c>
      <c r="Q666" s="43" t="inlineStr">
        <is>
          <t/>
        </is>
      </c>
      <c r="R666" s="44" t="inlineStr">
        <is>
          <t/>
        </is>
      </c>
    </row>
    <row r="667">
      <c r="A667" s="9" t="inlineStr">
        <is>
          <t>88325-65</t>
        </is>
      </c>
      <c r="B667" s="10" t="inlineStr">
        <is>
          <t>Top Agent Network</t>
        </is>
      </c>
      <c r="C667" s="85">
        <f>HYPERLINK("https://my.pitchbook.com?rrp=88325-65&amp;type=c", "This Company's information is not available to download. Need this Company? Request availability")</f>
      </c>
      <c r="D667" s="12" t="inlineStr">
        <is>
          <t/>
        </is>
      </c>
      <c r="E667" s="13" t="inlineStr">
        <is>
          <t/>
        </is>
      </c>
      <c r="F667" s="14" t="inlineStr">
        <is>
          <t/>
        </is>
      </c>
      <c r="G667" s="15" t="inlineStr">
        <is>
          <t/>
        </is>
      </c>
      <c r="H667" s="16" t="inlineStr">
        <is>
          <t/>
        </is>
      </c>
      <c r="I667" s="17" t="inlineStr">
        <is>
          <t/>
        </is>
      </c>
      <c r="J667" s="18" t="inlineStr">
        <is>
          <t/>
        </is>
      </c>
      <c r="K667" s="19" t="inlineStr">
        <is>
          <t/>
        </is>
      </c>
      <c r="L667" s="20" t="inlineStr">
        <is>
          <t/>
        </is>
      </c>
      <c r="M667" s="21" t="inlineStr">
        <is>
          <t/>
        </is>
      </c>
      <c r="N667" s="22" t="inlineStr">
        <is>
          <t/>
        </is>
      </c>
      <c r="O667" s="23" t="inlineStr">
        <is>
          <t/>
        </is>
      </c>
      <c r="P667" s="24" t="inlineStr">
        <is>
          <t/>
        </is>
      </c>
      <c r="Q667" s="25" t="inlineStr">
        <is>
          <t/>
        </is>
      </c>
      <c r="R667" s="26" t="inlineStr">
        <is>
          <t/>
        </is>
      </c>
    </row>
    <row r="668">
      <c r="A668" s="27" t="inlineStr">
        <is>
          <t>177231-43</t>
        </is>
      </c>
      <c r="B668" s="28" t="inlineStr">
        <is>
          <t>Top Agent Connection</t>
        </is>
      </c>
      <c r="C668" s="86">
        <f>HYPERLINK("https://my.pitchbook.com?rrp=177231-43&amp;type=c", "This Company's information is not available to download. Need this Company? Request availability")</f>
      </c>
      <c r="D668" s="30" t="inlineStr">
        <is>
          <t/>
        </is>
      </c>
      <c r="E668" s="31" t="inlineStr">
        <is>
          <t/>
        </is>
      </c>
      <c r="F668" s="32" t="inlineStr">
        <is>
          <t/>
        </is>
      </c>
      <c r="G668" s="33" t="inlineStr">
        <is>
          <t/>
        </is>
      </c>
      <c r="H668" s="34" t="inlineStr">
        <is>
          <t/>
        </is>
      </c>
      <c r="I668" s="35" t="inlineStr">
        <is>
          <t/>
        </is>
      </c>
      <c r="J668" s="36" t="inlineStr">
        <is>
          <t/>
        </is>
      </c>
      <c r="K668" s="37" t="inlineStr">
        <is>
          <t/>
        </is>
      </c>
      <c r="L668" s="38" t="inlineStr">
        <is>
          <t/>
        </is>
      </c>
      <c r="M668" s="39" t="inlineStr">
        <is>
          <t/>
        </is>
      </c>
      <c r="N668" s="40" t="inlineStr">
        <is>
          <t/>
        </is>
      </c>
      <c r="O668" s="41" t="inlineStr">
        <is>
          <t/>
        </is>
      </c>
      <c r="P668" s="42" t="inlineStr">
        <is>
          <t/>
        </is>
      </c>
      <c r="Q668" s="43" t="inlineStr">
        <is>
          <t/>
        </is>
      </c>
      <c r="R668" s="44" t="inlineStr">
        <is>
          <t/>
        </is>
      </c>
    </row>
    <row r="669">
      <c r="A669" s="9" t="inlineStr">
        <is>
          <t>161179-84</t>
        </is>
      </c>
      <c r="B669" s="10" t="inlineStr">
        <is>
          <t>Toot App</t>
        </is>
      </c>
      <c r="C669" s="11" t="inlineStr">
        <is>
          <t>90401</t>
        </is>
      </c>
      <c r="D669" s="12" t="inlineStr">
        <is>
          <t>Developer of an application to connect students to tutors. The company designs and develops an online learning tool where students can connect with their teachers through a virtual learning platform for the purpose online education.</t>
        </is>
      </c>
      <c r="E669" s="13" t="inlineStr">
        <is>
          <t>Application Software</t>
        </is>
      </c>
      <c r="F669" s="14" t="inlineStr">
        <is>
          <t>Santa Monica, CA</t>
        </is>
      </c>
      <c r="G669" s="15" t="inlineStr">
        <is>
          <t>Privately Held (backing)</t>
        </is>
      </c>
      <c r="H669" s="16" t="inlineStr">
        <is>
          <t>Angel-Backed</t>
        </is>
      </c>
      <c r="I669" s="17" t="inlineStr">
        <is>
          <t>Artia Moghbel, August Getty, Chuck Pacheco, Daniel Broukhim, Katherine Gaffney, Kimberly Salzer, Michael Broukhim, Nats Getty, Panoramic Venture Partners, Tobey Maguire</t>
        </is>
      </c>
      <c r="J669" s="18" t="inlineStr">
        <is>
          <t>www.tootapp.com</t>
        </is>
      </c>
      <c r="K669" s="19" t="inlineStr">
        <is>
          <t/>
        </is>
      </c>
      <c r="L669" s="20" t="inlineStr">
        <is>
          <t/>
        </is>
      </c>
      <c r="M669" s="21" t="inlineStr">
        <is>
          <t>Brian Waxham</t>
        </is>
      </c>
      <c r="N669" s="22" t="inlineStr">
        <is>
          <t>Co-Founder &amp; Chief Product Officer</t>
        </is>
      </c>
      <c r="O669" s="23" t="inlineStr">
        <is>
          <t/>
        </is>
      </c>
      <c r="P669" s="24" t="inlineStr">
        <is>
          <t/>
        </is>
      </c>
      <c r="Q669" s="25" t="n">
        <v>2014.0</v>
      </c>
      <c r="R669" s="113">
        <f>HYPERLINK("https://my.pitchbook.com?c=161179-84", "View company online")</f>
      </c>
    </row>
    <row r="670">
      <c r="A670" s="27" t="inlineStr">
        <is>
          <t>173364-22</t>
        </is>
      </c>
      <c r="B670" s="28" t="inlineStr">
        <is>
          <t>Tooreen Dancer</t>
        </is>
      </c>
      <c r="C670" s="29" t="inlineStr">
        <is>
          <t>91367</t>
        </is>
      </c>
      <c r="D670" s="30" t="inlineStr">
        <is>
          <t>The company is currently operating in Stealth mode.</t>
        </is>
      </c>
      <c r="E670" s="31" t="inlineStr">
        <is>
          <t>Other Business Products and Services</t>
        </is>
      </c>
      <c r="F670" s="32" t="inlineStr">
        <is>
          <t>Woodland Hills, CA</t>
        </is>
      </c>
      <c r="G670" s="33" t="inlineStr">
        <is>
          <t>Privately Held (backing)</t>
        </is>
      </c>
      <c r="H670" s="34" t="inlineStr">
        <is>
          <t>Angel-Backed</t>
        </is>
      </c>
      <c r="I670" s="35" t="inlineStr">
        <is>
          <t/>
        </is>
      </c>
      <c r="J670" s="36" t="inlineStr">
        <is>
          <t/>
        </is>
      </c>
      <c r="K670" s="37" t="inlineStr">
        <is>
          <t/>
        </is>
      </c>
      <c r="L670" s="38" t="inlineStr">
        <is>
          <t>+1 (310) 850-4724</t>
        </is>
      </c>
      <c r="M670" s="39" t="inlineStr">
        <is>
          <t>Gary Fenton</t>
        </is>
      </c>
      <c r="N670" s="40" t="inlineStr">
        <is>
          <t>Managing Partner</t>
        </is>
      </c>
      <c r="O670" s="41" t="inlineStr">
        <is>
          <t/>
        </is>
      </c>
      <c r="P670" s="42" t="inlineStr">
        <is>
          <t>+1 (310) 850-4724</t>
        </is>
      </c>
      <c r="Q670" s="43" t="n">
        <v>2017.0</v>
      </c>
      <c r="R670" s="114">
        <f>HYPERLINK("https://my.pitchbook.com?c=173364-22", "View company online")</f>
      </c>
    </row>
    <row r="671">
      <c r="A671" s="9" t="inlineStr">
        <is>
          <t>156925-63</t>
        </is>
      </c>
      <c r="B671" s="10" t="inlineStr">
        <is>
          <t>Toolow</t>
        </is>
      </c>
      <c r="C671" s="11" t="inlineStr">
        <is>
          <t>94801</t>
        </is>
      </c>
      <c r="D671" s="12" t="inlineStr">
        <is>
          <t>Provider of a mobile platform to find real time lowest price for hair cuts and hair styling services. The company specializes in providing a reverse auction technology platform where users can find real time lowest price for hair cuts and hair styling services.</t>
        </is>
      </c>
      <c r="E671" s="13" t="inlineStr">
        <is>
          <t>Application Software</t>
        </is>
      </c>
      <c r="F671" s="14" t="inlineStr">
        <is>
          <t>Richmond, CA</t>
        </is>
      </c>
      <c r="G671" s="15" t="inlineStr">
        <is>
          <t>Privately Held (backing)</t>
        </is>
      </c>
      <c r="H671" s="16" t="inlineStr">
        <is>
          <t>Angel-Backed</t>
        </is>
      </c>
      <c r="I671" s="17" t="inlineStr">
        <is>
          <t/>
        </is>
      </c>
      <c r="J671" s="18" t="inlineStr">
        <is>
          <t>www.toolow.com</t>
        </is>
      </c>
      <c r="K671" s="19" t="inlineStr">
        <is>
          <t/>
        </is>
      </c>
      <c r="L671" s="20" t="inlineStr">
        <is>
          <t>+1 (408) 694-2361</t>
        </is>
      </c>
      <c r="M671" s="21" t="inlineStr">
        <is>
          <t>Kiet Nguyen</t>
        </is>
      </c>
      <c r="N671" s="22" t="inlineStr">
        <is>
          <t>Co-Founder, Chief Executive Officer &amp; Board Member</t>
        </is>
      </c>
      <c r="O671" s="23" t="inlineStr">
        <is>
          <t>kiet@toolow.com</t>
        </is>
      </c>
      <c r="P671" s="24" t="inlineStr">
        <is>
          <t>+1 (408) 694-2361</t>
        </is>
      </c>
      <c r="Q671" s="25" t="n">
        <v>2015.0</v>
      </c>
      <c r="R671" s="113">
        <f>HYPERLINK("https://my.pitchbook.com?c=156925-63", "View company online")</f>
      </c>
    </row>
    <row r="672">
      <c r="A672" s="27" t="inlineStr">
        <is>
          <t>169761-16</t>
        </is>
      </c>
      <c r="B672" s="28" t="inlineStr">
        <is>
          <t>ToolBox Genomics</t>
        </is>
      </c>
      <c r="C672" s="29" t="inlineStr">
        <is>
          <t>94115</t>
        </is>
      </c>
      <c r="D672" s="30" t="inlineStr">
        <is>
          <t>Provider of gene-based food and lifestyle recommendations designed to build a healthier life. The company's food and lifestyle recommendations based on DNA enables the individuals to reduce risk of chronic conditions.</t>
        </is>
      </c>
      <c r="E672" s="31" t="inlineStr">
        <is>
          <t>Other Services (B2C Non-Financial)</t>
        </is>
      </c>
      <c r="F672" s="32" t="inlineStr">
        <is>
          <t>San Francisco, CA</t>
        </is>
      </c>
      <c r="G672" s="33" t="inlineStr">
        <is>
          <t>Privately Held (backing)</t>
        </is>
      </c>
      <c r="H672" s="34" t="inlineStr">
        <is>
          <t>Angel-Backed</t>
        </is>
      </c>
      <c r="I672" s="35" t="inlineStr">
        <is>
          <t/>
        </is>
      </c>
      <c r="J672" s="36" t="inlineStr">
        <is>
          <t>www.toolboxgenomics.com</t>
        </is>
      </c>
      <c r="K672" s="37" t="inlineStr">
        <is>
          <t>info@toolboxgenomics.com</t>
        </is>
      </c>
      <c r="L672" s="38" t="inlineStr">
        <is>
          <t>+1 (415) 269-0666</t>
        </is>
      </c>
      <c r="M672" s="39" t="inlineStr">
        <is>
          <t>Didier Perez</t>
        </is>
      </c>
      <c r="N672" s="40" t="inlineStr">
        <is>
          <t>Chief Executive Officer</t>
        </is>
      </c>
      <c r="O672" s="41" t="inlineStr">
        <is>
          <t/>
        </is>
      </c>
      <c r="P672" s="42" t="inlineStr">
        <is>
          <t>+1 (415) 269-0666</t>
        </is>
      </c>
      <c r="Q672" s="43" t="n">
        <v>2016.0</v>
      </c>
      <c r="R672" s="114">
        <f>HYPERLINK("https://my.pitchbook.com?c=169761-16", "View company online")</f>
      </c>
    </row>
    <row r="673">
      <c r="A673" s="9" t="inlineStr">
        <is>
          <t>160966-36</t>
        </is>
      </c>
      <c r="B673" s="10" t="inlineStr">
        <is>
          <t>Took That</t>
        </is>
      </c>
      <c r="C673" s="11" t="inlineStr">
        <is>
          <t>95367</t>
        </is>
      </c>
      <c r="D673" s="12" t="inlineStr">
        <is>
          <t>Developer of an mobile application for sharing photos.The company's application allows users to upload, view and download digital photos and compress video images into downloadable media.</t>
        </is>
      </c>
      <c r="E673" s="13" t="inlineStr">
        <is>
          <t>Social/Platform Software</t>
        </is>
      </c>
      <c r="F673" s="14" t="inlineStr">
        <is>
          <t>Riverbank, CA</t>
        </is>
      </c>
      <c r="G673" s="15" t="inlineStr">
        <is>
          <t>Privately Held (backing)</t>
        </is>
      </c>
      <c r="H673" s="16" t="inlineStr">
        <is>
          <t>Angel-Backed</t>
        </is>
      </c>
      <c r="I673" s="17" t="inlineStr">
        <is>
          <t/>
        </is>
      </c>
      <c r="J673" s="18" t="inlineStr">
        <is>
          <t>www.tookthat.com</t>
        </is>
      </c>
      <c r="K673" s="19" t="inlineStr">
        <is>
          <t>tookthatapp@gmail.com</t>
        </is>
      </c>
      <c r="L673" s="20" t="inlineStr">
        <is>
          <t>+1 (209) 924-4990</t>
        </is>
      </c>
      <c r="M673" s="21" t="inlineStr">
        <is>
          <t>Carlos Villapdua</t>
        </is>
      </c>
      <c r="N673" s="22" t="inlineStr">
        <is>
          <t>Board Member &amp; Executive</t>
        </is>
      </c>
      <c r="O673" s="23" t="inlineStr">
        <is>
          <t>villapdua.carlos@tookthat.com</t>
        </is>
      </c>
      <c r="P673" s="24" t="inlineStr">
        <is>
          <t>+1 (209) 924-4990</t>
        </is>
      </c>
      <c r="Q673" s="25" t="n">
        <v>2015.0</v>
      </c>
      <c r="R673" s="113">
        <f>HYPERLINK("https://my.pitchbook.com?c=160966-36", "View company online")</f>
      </c>
    </row>
    <row r="674">
      <c r="A674" s="27" t="inlineStr">
        <is>
          <t>170839-27</t>
        </is>
      </c>
      <c r="B674" s="28" t="inlineStr">
        <is>
          <t>ToobPlus</t>
        </is>
      </c>
      <c r="C674" s="29" t="inlineStr">
        <is>
          <t/>
        </is>
      </c>
      <c r="D674" s="30" t="inlineStr">
        <is>
          <t>Provider of a digital membership service intended to increase revenue of businesses. The company's digital membership service, Flutter has a tablet touch interface at the counter which gives point accumulated coupons on revisiting the store, enabling store owners to increase their revenue stream.</t>
        </is>
      </c>
      <c r="E674" s="31" t="inlineStr">
        <is>
          <t>Business/Productivity Software</t>
        </is>
      </c>
      <c r="F674" s="32" t="inlineStr">
        <is>
          <t>Seoul, South Korea</t>
        </is>
      </c>
      <c r="G674" s="33" t="inlineStr">
        <is>
          <t>Privately Held (backing)</t>
        </is>
      </c>
      <c r="H674" s="34" t="inlineStr">
        <is>
          <t>Accelerator/Incubator Backed</t>
        </is>
      </c>
      <c r="I674" s="35" t="inlineStr">
        <is>
          <t>KIC Europe</t>
        </is>
      </c>
      <c r="J674" s="36" t="inlineStr">
        <is>
          <t>www.toobplus.com</t>
        </is>
      </c>
      <c r="K674" s="37" t="inlineStr">
        <is>
          <t>cxo@toobplus.com</t>
        </is>
      </c>
      <c r="L674" s="38" t="inlineStr">
        <is>
          <t/>
        </is>
      </c>
      <c r="M674" s="39" t="inlineStr">
        <is>
          <t>Wonseok Jang</t>
        </is>
      </c>
      <c r="N674" s="40" t="inlineStr">
        <is>
          <t>Chief Executive Officer &amp; Founder</t>
        </is>
      </c>
      <c r="O674" s="41" t="inlineStr">
        <is>
          <t>wsjang@toobplus.com</t>
        </is>
      </c>
      <c r="P674" s="42" t="inlineStr">
        <is>
          <t/>
        </is>
      </c>
      <c r="Q674" s="43" t="n">
        <v>2013.0</v>
      </c>
      <c r="R674" s="114">
        <f>HYPERLINK("https://my.pitchbook.com?c=170839-27", "View company online")</f>
      </c>
    </row>
    <row r="675">
      <c r="A675" s="9" t="inlineStr">
        <is>
          <t>117890-20</t>
        </is>
      </c>
      <c r="B675" s="10" t="inlineStr">
        <is>
          <t>Tonkean</t>
        </is>
      </c>
      <c r="C675" s="11" t="inlineStr">
        <is>
          <t/>
        </is>
      </c>
      <c r="D675" s="12" t="inlineStr">
        <is>
          <t>Developer of a business intelligence software platform designed to manage the real progress and ongoing status of the project. The company's business intelligence software platform automatically gathers the real progress and ongoing status of the projects and thereby enables managers and leaders to find the problems in the organization which prevents the organization from achieving its goals and make appropriate decisions.</t>
        </is>
      </c>
      <c r="E675" s="13" t="inlineStr">
        <is>
          <t>Social/Platform Software</t>
        </is>
      </c>
      <c r="F675" s="14" t="inlineStr">
        <is>
          <t>Tel Aviv, Israel</t>
        </is>
      </c>
      <c r="G675" s="15" t="inlineStr">
        <is>
          <t>Privately Held (backing)</t>
        </is>
      </c>
      <c r="H675" s="16" t="inlineStr">
        <is>
          <t>Angel-Backed</t>
        </is>
      </c>
      <c r="I675" s="17" t="inlineStr">
        <is>
          <t>Kevin Mahaffey, Microsoft Accelerator</t>
        </is>
      </c>
      <c r="J675" s="18" t="inlineStr">
        <is>
          <t>www.tonkean.com</t>
        </is>
      </c>
      <c r="K675" s="19" t="inlineStr">
        <is>
          <t>hello@tonkean.com</t>
        </is>
      </c>
      <c r="L675" s="20" t="inlineStr">
        <is>
          <t/>
        </is>
      </c>
      <c r="M675" s="21" t="inlineStr">
        <is>
          <t>Sagi Eliyahu</t>
        </is>
      </c>
      <c r="N675" s="22" t="inlineStr">
        <is>
          <t>Co-Founder, Chief Executive Officer &amp; Board Member</t>
        </is>
      </c>
      <c r="O675" s="23" t="inlineStr">
        <is>
          <t>sagi@tonkean.com</t>
        </is>
      </c>
      <c r="P675" s="24" t="inlineStr">
        <is>
          <t/>
        </is>
      </c>
      <c r="Q675" s="25" t="n">
        <v>2015.0</v>
      </c>
      <c r="R675" s="113">
        <f>HYPERLINK("https://my.pitchbook.com?c=117890-20", "View company online")</f>
      </c>
    </row>
    <row r="676">
      <c r="A676" s="27" t="inlineStr">
        <is>
          <t>94387-87</t>
        </is>
      </c>
      <c r="B676" s="28" t="inlineStr">
        <is>
          <t>ToneDen</t>
        </is>
      </c>
      <c r="C676" s="29" t="inlineStr">
        <is>
          <t>94704</t>
        </is>
      </c>
      <c r="D676" s="30" t="inlineStr">
        <is>
          <t>Developer of a connecting platform between artists and fans. The company connects artists directly to their fans online and helps artists to get their music heard and get connected to the music industry.</t>
        </is>
      </c>
      <c r="E676" s="31" t="inlineStr">
        <is>
          <t>Social/Platform Software</t>
        </is>
      </c>
      <c r="F676" s="32" t="inlineStr">
        <is>
          <t>Berkeley, CA</t>
        </is>
      </c>
      <c r="G676" s="33" t="inlineStr">
        <is>
          <t>Privately Held (backing)</t>
        </is>
      </c>
      <c r="H676" s="34" t="inlineStr">
        <is>
          <t>Accelerator/Incubator Backed</t>
        </is>
      </c>
      <c r="I676" s="35" t="inlineStr">
        <is>
          <t>StartX, Third Wave Digital</t>
        </is>
      </c>
      <c r="J676" s="36" t="inlineStr">
        <is>
          <t>www.toneden.io</t>
        </is>
      </c>
      <c r="K676" s="37" t="inlineStr">
        <is>
          <t>team@toneden.io</t>
        </is>
      </c>
      <c r="L676" s="38" t="inlineStr">
        <is>
          <t/>
        </is>
      </c>
      <c r="M676" s="39" t="inlineStr">
        <is>
          <t/>
        </is>
      </c>
      <c r="N676" s="40" t="inlineStr">
        <is>
          <t/>
        </is>
      </c>
      <c r="O676" s="41" t="inlineStr">
        <is>
          <t/>
        </is>
      </c>
      <c r="P676" s="42" t="inlineStr">
        <is>
          <t/>
        </is>
      </c>
      <c r="Q676" s="43" t="n">
        <v>2014.0</v>
      </c>
      <c r="R676" s="114">
        <f>HYPERLINK("https://my.pitchbook.com?c=94387-87", "View company online")</f>
      </c>
    </row>
    <row r="677">
      <c r="A677" s="9" t="inlineStr">
        <is>
          <t>103226-41</t>
        </is>
      </c>
      <c r="B677" s="10" t="inlineStr">
        <is>
          <t>Tomobox</t>
        </is>
      </c>
      <c r="C677" s="11" t="inlineStr">
        <is>
          <t/>
        </is>
      </c>
      <c r="D677" s="12" t="inlineStr">
        <is>
          <t>Developer of a cloud based service platform designed to provide real time insights in mobile messaging applications. The company's cloud based service platform utilizes machine learning, bots and big data to createa bridge betweenadvertisers and messaging platforms bringing young users and leading brands closer together providing for a highly targeted audience for brands.</t>
        </is>
      </c>
      <c r="E677" s="13" t="inlineStr">
        <is>
          <t>Media and Information Services (B2B)</t>
        </is>
      </c>
      <c r="F677" s="14" t="inlineStr">
        <is>
          <t>Tel Aviv, Israel</t>
        </is>
      </c>
      <c r="G677" s="15" t="inlineStr">
        <is>
          <t>Privately Held (backing)</t>
        </is>
      </c>
      <c r="H677" s="16" t="inlineStr">
        <is>
          <t>Accelerator/Incubator Backed</t>
        </is>
      </c>
      <c r="I677" s="17" t="inlineStr">
        <is>
          <t>Connetic Ventures, Founders Group (angel group), Nielsen Innovate, The Junction</t>
        </is>
      </c>
      <c r="J677" s="18" t="inlineStr">
        <is>
          <t>www.tomobox.co</t>
        </is>
      </c>
      <c r="K677" s="19" t="inlineStr">
        <is>
          <t>info@tomobox.co</t>
        </is>
      </c>
      <c r="L677" s="20" t="inlineStr">
        <is>
          <t/>
        </is>
      </c>
      <c r="M677" s="21" t="inlineStr">
        <is>
          <t>David Shoham Sachs</t>
        </is>
      </c>
      <c r="N677" s="22" t="inlineStr">
        <is>
          <t>Co-Founder &amp; Chief Executive Officer</t>
        </is>
      </c>
      <c r="O677" s="23" t="inlineStr">
        <is>
          <t>davids@tomobox.co</t>
        </is>
      </c>
      <c r="P677" s="24" t="inlineStr">
        <is>
          <t/>
        </is>
      </c>
      <c r="Q677" s="25" t="n">
        <v>2014.0</v>
      </c>
      <c r="R677" s="113">
        <f>HYPERLINK("https://my.pitchbook.com?c=103226-41", "View company online")</f>
      </c>
    </row>
    <row r="678">
      <c r="A678" s="27" t="inlineStr">
        <is>
          <t>166950-73</t>
        </is>
      </c>
      <c r="B678" s="28" t="inlineStr">
        <is>
          <t>Tombo</t>
        </is>
      </c>
      <c r="C678" s="29" t="inlineStr">
        <is>
          <t>94107</t>
        </is>
      </c>
      <c r="D678" s="30" t="inlineStr">
        <is>
          <t>Provider of a mobile Web application development platform. The company specializes in providing a platform for mobileand Web application and browser development.</t>
        </is>
      </c>
      <c r="E678" s="31" t="inlineStr">
        <is>
          <t>Application Software</t>
        </is>
      </c>
      <c r="F678" s="32" t="inlineStr">
        <is>
          <t>San Francisco, CA</t>
        </is>
      </c>
      <c r="G678" s="33" t="inlineStr">
        <is>
          <t>Privately Held (backing)</t>
        </is>
      </c>
      <c r="H678" s="34" t="inlineStr">
        <is>
          <t>Accelerator/Incubator Backed</t>
        </is>
      </c>
      <c r="I678" s="35" t="inlineStr">
        <is>
          <t>StartX</t>
        </is>
      </c>
      <c r="J678" s="36" t="inlineStr">
        <is>
          <t>tombo.io</t>
        </is>
      </c>
      <c r="K678" s="37" t="inlineStr">
        <is>
          <t/>
        </is>
      </c>
      <c r="L678" s="38" t="inlineStr">
        <is>
          <t/>
        </is>
      </c>
      <c r="M678" s="39" t="inlineStr">
        <is>
          <t>Takuao Kihira</t>
        </is>
      </c>
      <c r="N678" s="40" t="inlineStr">
        <is>
          <t>Chief Executive Officer</t>
        </is>
      </c>
      <c r="O678" s="41" t="inlineStr">
        <is>
          <t>tkihira@tombo.io</t>
        </is>
      </c>
      <c r="P678" s="42" t="inlineStr">
        <is>
          <t/>
        </is>
      </c>
      <c r="Q678" s="43" t="n">
        <v>2014.0</v>
      </c>
      <c r="R678" s="114">
        <f>HYPERLINK("https://my.pitchbook.com?c=166950-73", "View company online")</f>
      </c>
    </row>
    <row r="679">
      <c r="A679" s="9" t="inlineStr">
        <is>
          <t>113584-51</t>
        </is>
      </c>
      <c r="B679" s="10" t="inlineStr">
        <is>
          <t>Toky</t>
        </is>
      </c>
      <c r="C679" s="11" t="inlineStr">
        <is>
          <t>06700</t>
        </is>
      </c>
      <c r="D679" s="12" t="inlineStr">
        <is>
          <t>Developer of a mobile application designed to receive calls from website, social profiles and telephones. The company's mobile application offers social authentication and contextual calling to improve the response time enables businesses to communicate with its customers on the web browser using WebRTC and it offers a click to call button widget to capture website visitors.</t>
        </is>
      </c>
      <c r="E679" s="13" t="inlineStr">
        <is>
          <t>Application Software</t>
        </is>
      </c>
      <c r="F679" s="14" t="inlineStr">
        <is>
          <t>Mexico City, Mexico</t>
        </is>
      </c>
      <c r="G679" s="15" t="inlineStr">
        <is>
          <t>Privately Held (backing)</t>
        </is>
      </c>
      <c r="H679" s="16" t="inlineStr">
        <is>
          <t>Accelerator/Incubator Backed</t>
        </is>
      </c>
      <c r="I679" s="17" t="inlineStr">
        <is>
          <t>Wayra Mexico</t>
        </is>
      </c>
      <c r="J679" s="18" t="inlineStr">
        <is>
          <t>www.toky.co</t>
        </is>
      </c>
      <c r="K679" s="19" t="inlineStr">
        <is>
          <t>info@toky.co</t>
        </is>
      </c>
      <c r="L679" s="20" t="inlineStr">
        <is>
          <t>+52 (01)55 8525 0122</t>
        </is>
      </c>
      <c r="M679" s="21" t="inlineStr">
        <is>
          <t>Carlos Ruiz Díaz</t>
        </is>
      </c>
      <c r="N679" s="22" t="inlineStr">
        <is>
          <t>Co-Founder &amp; Chief Executive Officer</t>
        </is>
      </c>
      <c r="O679" s="23" t="inlineStr">
        <is>
          <t>carlos@toky.co</t>
        </is>
      </c>
      <c r="P679" s="24" t="inlineStr">
        <is>
          <t>+52 (01)55 8525 0122</t>
        </is>
      </c>
      <c r="Q679" s="25" t="n">
        <v>2014.0</v>
      </c>
      <c r="R679" s="113">
        <f>HYPERLINK("https://my.pitchbook.com?c=113584-51", "View company online")</f>
      </c>
    </row>
    <row r="680">
      <c r="A680" s="27" t="inlineStr">
        <is>
          <t>118855-81</t>
        </is>
      </c>
      <c r="B680" s="28" t="inlineStr">
        <is>
          <t>Tokenly</t>
        </is>
      </c>
      <c r="C680" s="29" t="inlineStr">
        <is>
          <t>94558</t>
        </is>
      </c>
      <c r="D680" s="30" t="inlineStr">
        <is>
          <t>Provider of cryptographic tokens created to help companies implement blockchain features and functionality. The company's cryptographic and bit-coin based tokens which can be gifted and traded digitally in place of actual currency enabling companies to ensure transaction fraud prevention.</t>
        </is>
      </c>
      <c r="E680" s="31" t="inlineStr">
        <is>
          <t>Other Financial Services</t>
        </is>
      </c>
      <c r="F680" s="32" t="inlineStr">
        <is>
          <t>Napa, CA</t>
        </is>
      </c>
      <c r="G680" s="33" t="inlineStr">
        <is>
          <t>Privately Held (backing)</t>
        </is>
      </c>
      <c r="H680" s="34" t="inlineStr">
        <is>
          <t>Angel-Backed</t>
        </is>
      </c>
      <c r="I680" s="35" t="inlineStr">
        <is>
          <t/>
        </is>
      </c>
      <c r="J680" s="36" t="inlineStr">
        <is>
          <t>www.tokenly.com</t>
        </is>
      </c>
      <c r="K680" s="37" t="inlineStr">
        <is>
          <t>team@tokenly.com</t>
        </is>
      </c>
      <c r="L680" s="38" t="inlineStr">
        <is>
          <t>+1 (707) 258-2515</t>
        </is>
      </c>
      <c r="M680" s="39" t="inlineStr">
        <is>
          <t>Adam Levine</t>
        </is>
      </c>
      <c r="N680" s="40" t="inlineStr">
        <is>
          <t>Co-Founder, Chief Executive Officer &amp; Board Member</t>
        </is>
      </c>
      <c r="O680" s="41" t="inlineStr">
        <is>
          <t>adam@tokenly.com</t>
        </is>
      </c>
      <c r="P680" s="42" t="inlineStr">
        <is>
          <t>+1 (707) 258-2515</t>
        </is>
      </c>
      <c r="Q680" s="43" t="n">
        <v>2015.0</v>
      </c>
      <c r="R680" s="114">
        <f>HYPERLINK("https://my.pitchbook.com?c=118855-81", "View company online")</f>
      </c>
    </row>
    <row r="681">
      <c r="A681" s="9" t="inlineStr">
        <is>
          <t>157416-85</t>
        </is>
      </c>
      <c r="B681" s="10" t="inlineStr">
        <is>
          <t>Token Transit</t>
        </is>
      </c>
      <c r="C681" s="11" t="inlineStr">
        <is>
          <t>94110</t>
        </is>
      </c>
      <c r="D681" s="12" t="inlineStr">
        <is>
          <t>Provider of a mobile ticket booking application intended to help riders pay for transit via a mobile application. The company's mobile ticket booking application helps the users to pay for transit through credit card and use bus passes with their smart phone enabling them easily pay for public transit so that they can most efficiently reach their destination.</t>
        </is>
      </c>
      <c r="E681" s="13" t="inlineStr">
        <is>
          <t>Application Software</t>
        </is>
      </c>
      <c r="F681" s="14" t="inlineStr">
        <is>
          <t>San Francisco, CA</t>
        </is>
      </c>
      <c r="G681" s="15" t="inlineStr">
        <is>
          <t>Privately Held (backing)</t>
        </is>
      </c>
      <c r="H681" s="16" t="inlineStr">
        <is>
          <t>Accelerator/Incubator Backed</t>
        </is>
      </c>
      <c r="I681" s="17" t="inlineStr">
        <is>
          <t>Y Combinator</t>
        </is>
      </c>
      <c r="J681" s="18" t="inlineStr">
        <is>
          <t>www.tokentransit.com</t>
        </is>
      </c>
      <c r="K681" s="19" t="inlineStr">
        <is>
          <t>info@tokentransit.com</t>
        </is>
      </c>
      <c r="L681" s="20" t="inlineStr">
        <is>
          <t/>
        </is>
      </c>
      <c r="M681" s="21" t="inlineStr">
        <is>
          <t>Morgan Conbere</t>
        </is>
      </c>
      <c r="N681" s="22" t="inlineStr">
        <is>
          <t>Co-Founder &amp; Chief Executive Officer</t>
        </is>
      </c>
      <c r="O681" s="23" t="inlineStr">
        <is>
          <t>morgan@tokentransit.com</t>
        </is>
      </c>
      <c r="P681" s="24" t="inlineStr">
        <is>
          <t/>
        </is>
      </c>
      <c r="Q681" s="25" t="n">
        <v>2015.0</v>
      </c>
      <c r="R681" s="113">
        <f>HYPERLINK("https://my.pitchbook.com?c=157416-85", "View company online")</f>
      </c>
    </row>
    <row r="682">
      <c r="A682" s="27" t="inlineStr">
        <is>
          <t>100119-52</t>
        </is>
      </c>
      <c r="B682" s="28" t="inlineStr">
        <is>
          <t>Toggle</t>
        </is>
      </c>
      <c r="C682" s="29" t="inlineStr">
        <is>
          <t/>
        </is>
      </c>
      <c r="D682" s="30" t="inlineStr">
        <is>
          <t>Manufacturer of Wi-Fi-enabled dongle. The company provides custom dongles that stream content and host other applications side-by-side and the dongle plugs into a television’s HDMI port and allows users to stream content from cloud accounts.</t>
        </is>
      </c>
      <c r="E682" s="31" t="inlineStr">
        <is>
          <t>Electronics (B2C)</t>
        </is>
      </c>
      <c r="F682" s="32" t="inlineStr">
        <is>
          <t>Los Angeles, CA</t>
        </is>
      </c>
      <c r="G682" s="33" t="inlineStr">
        <is>
          <t>Privately Held (backing)</t>
        </is>
      </c>
      <c r="H682" s="34" t="inlineStr">
        <is>
          <t>Accelerator/Incubator Backed</t>
        </is>
      </c>
      <c r="I682" s="35" t="inlineStr">
        <is>
          <t>Media Camp</t>
        </is>
      </c>
      <c r="J682" s="36" t="inlineStr">
        <is>
          <t>www.toggletv.com</t>
        </is>
      </c>
      <c r="K682" s="37" t="inlineStr">
        <is>
          <t/>
        </is>
      </c>
      <c r="L682" s="38" t="inlineStr">
        <is>
          <t/>
        </is>
      </c>
      <c r="M682" s="39" t="inlineStr">
        <is>
          <t>Adam Johnson</t>
        </is>
      </c>
      <c r="N682" s="40" t="inlineStr">
        <is>
          <t>Chief Executive Officer &amp; Co-Founder</t>
        </is>
      </c>
      <c r="O682" s="41" t="inlineStr">
        <is>
          <t>adam@toggletv.com</t>
        </is>
      </c>
      <c r="P682" s="42" t="inlineStr">
        <is>
          <t/>
        </is>
      </c>
      <c r="Q682" s="43" t="n">
        <v>2014.0</v>
      </c>
      <c r="R682" s="114">
        <f>HYPERLINK("https://my.pitchbook.com?c=100119-52", "View company online")</f>
      </c>
    </row>
    <row r="683">
      <c r="A683" s="9" t="inlineStr">
        <is>
          <t>170862-58</t>
        </is>
      </c>
      <c r="B683" s="10" t="inlineStr">
        <is>
          <t>Togg</t>
        </is>
      </c>
      <c r="C683" s="11" t="inlineStr">
        <is>
          <t/>
        </is>
      </c>
      <c r="D683" s="12" t="inlineStr">
        <is>
          <t>Provider of a platform intended to build smart home for their clients. The company offers a sensor powered AI-based platform that helps real estate developers to build smart home by using existing technologies enabling the builders get profit from the growing demand for home automation.</t>
        </is>
      </c>
      <c r="E683" s="13" t="inlineStr">
        <is>
          <t>Social/Platform Software</t>
        </is>
      </c>
      <c r="F683" s="14" t="inlineStr">
        <is>
          <t>Palo Alto, CA</t>
        </is>
      </c>
      <c r="G683" s="15" t="inlineStr">
        <is>
          <t>Privately Held (backing)</t>
        </is>
      </c>
      <c r="H683" s="16" t="inlineStr">
        <is>
          <t>Accelerator/Incubator Backed</t>
        </is>
      </c>
      <c r="I683" s="17" t="inlineStr">
        <is>
          <t>Unshackled Ventures</t>
        </is>
      </c>
      <c r="J683" s="18" t="inlineStr">
        <is>
          <t>www.togg.co</t>
        </is>
      </c>
      <c r="K683" s="19" t="inlineStr">
        <is>
          <t/>
        </is>
      </c>
      <c r="L683" s="20" t="inlineStr">
        <is>
          <t>+1 (925) 594-3533</t>
        </is>
      </c>
      <c r="M683" s="21" t="inlineStr">
        <is>
          <t>Yoitsu Kamijo</t>
        </is>
      </c>
      <c r="N683" s="22" t="inlineStr">
        <is>
          <t>Co-Founder &amp; Head of Engineering</t>
        </is>
      </c>
      <c r="O683" s="23" t="inlineStr">
        <is>
          <t>ykamijo@togg.co</t>
        </is>
      </c>
      <c r="P683" s="24" t="inlineStr">
        <is>
          <t>+1 (925) 594-3533</t>
        </is>
      </c>
      <c r="Q683" s="25" t="n">
        <v>2016.0</v>
      </c>
      <c r="R683" s="113">
        <f>HYPERLINK("https://my.pitchbook.com?c=170862-58", "View company online")</f>
      </c>
    </row>
    <row r="684">
      <c r="A684" s="27" t="inlineStr">
        <is>
          <t>103226-32</t>
        </is>
      </c>
      <c r="B684" s="28" t="inlineStr">
        <is>
          <t>Togally</t>
        </is>
      </c>
      <c r="C684" s="29" t="inlineStr">
        <is>
          <t>92120</t>
        </is>
      </c>
      <c r="D684" s="30" t="inlineStr">
        <is>
          <t>Developer of a photographer booking platform. The company develops an online platform that enables users to find and book professional photographers.</t>
        </is>
      </c>
      <c r="E684" s="31" t="inlineStr">
        <is>
          <t>Application Software</t>
        </is>
      </c>
      <c r="F684" s="32" t="inlineStr">
        <is>
          <t>San Diego, CA</t>
        </is>
      </c>
      <c r="G684" s="33" t="inlineStr">
        <is>
          <t>Privately Held (backing)</t>
        </is>
      </c>
      <c r="H684" s="34" t="inlineStr">
        <is>
          <t>Accelerator/Incubator Backed</t>
        </is>
      </c>
      <c r="I684" s="35" t="inlineStr">
        <is>
          <t>Connect Springboard San Diego, Keiretsu Forum, Mike Markovitz</t>
        </is>
      </c>
      <c r="J684" s="36" t="inlineStr">
        <is>
          <t>www.togally.com</t>
        </is>
      </c>
      <c r="K684" s="37" t="inlineStr">
        <is>
          <t>email@togally.com</t>
        </is>
      </c>
      <c r="L684" s="38" t="inlineStr">
        <is>
          <t>+1 (888) 881-0398</t>
        </is>
      </c>
      <c r="M684" s="39" t="inlineStr">
        <is>
          <t>Derek Brown</t>
        </is>
      </c>
      <c r="N684" s="40" t="inlineStr">
        <is>
          <t>Co-Founder &amp; Chief Financial Officer</t>
        </is>
      </c>
      <c r="O684" s="41" t="inlineStr">
        <is>
          <t/>
        </is>
      </c>
      <c r="P684" s="42" t="inlineStr">
        <is>
          <t>+1 (888) 881-0398</t>
        </is>
      </c>
      <c r="Q684" s="43" t="n">
        <v>2013.0</v>
      </c>
      <c r="R684" s="114">
        <f>HYPERLINK("https://my.pitchbook.com?c=103226-32", "View company online")</f>
      </c>
    </row>
    <row r="685">
      <c r="A685" s="9" t="inlineStr">
        <is>
          <t>121369-60</t>
        </is>
      </c>
      <c r="B685" s="10" t="inlineStr">
        <is>
          <t>Toga</t>
        </is>
      </c>
      <c r="C685" s="85">
        <f>HYPERLINK("https://my.pitchbook.com?rrp=121369-60&amp;type=c", "This Company's information is not available to download. Need this Company? Request availability")</f>
      </c>
      <c r="D685" s="12" t="inlineStr">
        <is>
          <t/>
        </is>
      </c>
      <c r="E685" s="13" t="inlineStr">
        <is>
          <t/>
        </is>
      </c>
      <c r="F685" s="14" t="inlineStr">
        <is>
          <t/>
        </is>
      </c>
      <c r="G685" s="15" t="inlineStr">
        <is>
          <t/>
        </is>
      </c>
      <c r="H685" s="16" t="inlineStr">
        <is>
          <t/>
        </is>
      </c>
      <c r="I685" s="17" t="inlineStr">
        <is>
          <t/>
        </is>
      </c>
      <c r="J685" s="18" t="inlineStr">
        <is>
          <t/>
        </is>
      </c>
      <c r="K685" s="19" t="inlineStr">
        <is>
          <t/>
        </is>
      </c>
      <c r="L685" s="20" t="inlineStr">
        <is>
          <t/>
        </is>
      </c>
      <c r="M685" s="21" t="inlineStr">
        <is>
          <t/>
        </is>
      </c>
      <c r="N685" s="22" t="inlineStr">
        <is>
          <t/>
        </is>
      </c>
      <c r="O685" s="23" t="inlineStr">
        <is>
          <t/>
        </is>
      </c>
      <c r="P685" s="24" t="inlineStr">
        <is>
          <t/>
        </is>
      </c>
      <c r="Q685" s="25" t="inlineStr">
        <is>
          <t/>
        </is>
      </c>
      <c r="R685" s="26" t="inlineStr">
        <is>
          <t/>
        </is>
      </c>
    </row>
    <row r="686">
      <c r="A686" s="27" t="inlineStr">
        <is>
          <t>148713-76</t>
        </is>
      </c>
      <c r="B686" s="28" t="inlineStr">
        <is>
          <t>To The Stars</t>
        </is>
      </c>
      <c r="C686" s="29" t="inlineStr">
        <is>
          <t>92024</t>
        </is>
      </c>
      <c r="D686" s="30" t="inlineStr">
        <is>
          <t>Operator of an independent production company. The company is engaged into investment, management and creative development of films, music and arts using creative business strategies.</t>
        </is>
      </c>
      <c r="E686" s="31" t="inlineStr">
        <is>
          <t>Media and Information Services (B2B)</t>
        </is>
      </c>
      <c r="F686" s="32" t="inlineStr">
        <is>
          <t>Encinitas, CA</t>
        </is>
      </c>
      <c r="G686" s="33" t="inlineStr">
        <is>
          <t>Privately Held (backing)</t>
        </is>
      </c>
      <c r="H686" s="34" t="inlineStr">
        <is>
          <t>Angel-Backed</t>
        </is>
      </c>
      <c r="I686" s="35" t="inlineStr">
        <is>
          <t>Really Likeable People</t>
        </is>
      </c>
      <c r="J686" s="36" t="inlineStr">
        <is>
          <t>www.tothestars.media</t>
        </is>
      </c>
      <c r="K686" s="37" t="inlineStr">
        <is>
          <t/>
        </is>
      </c>
      <c r="L686" s="38" t="inlineStr">
        <is>
          <t/>
        </is>
      </c>
      <c r="M686" s="39" t="inlineStr">
        <is>
          <t>Thomas Matthew DeLonge</t>
        </is>
      </c>
      <c r="N686" s="40" t="inlineStr">
        <is>
          <t>Founder</t>
        </is>
      </c>
      <c r="O686" s="41" t="inlineStr">
        <is>
          <t/>
        </is>
      </c>
      <c r="P686" s="42" t="inlineStr">
        <is>
          <t/>
        </is>
      </c>
      <c r="Q686" s="43" t="n">
        <v>2011.0</v>
      </c>
      <c r="R686" s="114">
        <f>HYPERLINK("https://my.pitchbook.com?c=148713-76", "View company online")</f>
      </c>
    </row>
    <row r="687">
      <c r="A687" s="9" t="inlineStr">
        <is>
          <t>56961-64</t>
        </is>
      </c>
      <c r="B687" s="10" t="inlineStr">
        <is>
          <t>TixTrack</t>
        </is>
      </c>
      <c r="C687" s="11" t="inlineStr">
        <is>
          <t>90405</t>
        </is>
      </c>
      <c r="D687" s="12" t="inlineStr">
        <is>
          <t>Provider of software as a service to venues, promoters and teams in the sports and entertainment industry. The company offers web-based software tools which allow their clients to track ticket inventory, optimize ticket pricing and ticket sales and understand ticket demand.</t>
        </is>
      </c>
      <c r="E687" s="13" t="inlineStr">
        <is>
          <t>Application Software</t>
        </is>
      </c>
      <c r="F687" s="14" t="inlineStr">
        <is>
          <t>Santa Monica, CA</t>
        </is>
      </c>
      <c r="G687" s="15" t="inlineStr">
        <is>
          <t>Privately Held (backing)</t>
        </is>
      </c>
      <c r="H687" s="16" t="inlineStr">
        <is>
          <t>Angel-Backed</t>
        </is>
      </c>
      <c r="I687" s="17" t="inlineStr">
        <is>
          <t/>
        </is>
      </c>
      <c r="J687" s="18" t="inlineStr">
        <is>
          <t>www.tixtrack.com</t>
        </is>
      </c>
      <c r="K687" s="19" t="inlineStr">
        <is>
          <t/>
        </is>
      </c>
      <c r="L687" s="20" t="inlineStr">
        <is>
          <t>+1 (626) 825-9345</t>
        </is>
      </c>
      <c r="M687" s="21" t="inlineStr">
        <is>
          <t>Steven Sunshine</t>
        </is>
      </c>
      <c r="N687" s="22" t="inlineStr">
        <is>
          <t>Chief Executive Officer, President &amp; Co-Founder</t>
        </is>
      </c>
      <c r="O687" s="23" t="inlineStr">
        <is>
          <t/>
        </is>
      </c>
      <c r="P687" s="24" t="inlineStr">
        <is>
          <t>+1 (818) 207-9420</t>
        </is>
      </c>
      <c r="Q687" s="25" t="inlineStr">
        <is>
          <t/>
        </is>
      </c>
      <c r="R687" s="113">
        <f>HYPERLINK("https://my.pitchbook.com?c=56961-64", "View company online")</f>
      </c>
    </row>
    <row r="688">
      <c r="A688" s="27" t="inlineStr">
        <is>
          <t>92954-44</t>
        </is>
      </c>
      <c r="B688" s="28" t="inlineStr">
        <is>
          <t>TixAlert</t>
        </is>
      </c>
      <c r="C688" s="29" t="inlineStr">
        <is>
          <t>92109</t>
        </is>
      </c>
      <c r="D688" s="30" t="inlineStr">
        <is>
          <t>Developer of an application software for alerts and notification. The company develops an application software which helps users with alerts and notification for car parking and allows to see parking zones and the rules for parking zones.</t>
        </is>
      </c>
      <c r="E688" s="31" t="inlineStr">
        <is>
          <t>Application Software</t>
        </is>
      </c>
      <c r="F688" s="32" t="inlineStr">
        <is>
          <t>San Diego, CA</t>
        </is>
      </c>
      <c r="G688" s="33" t="inlineStr">
        <is>
          <t>Privately Held (backing)</t>
        </is>
      </c>
      <c r="H688" s="34" t="inlineStr">
        <is>
          <t>Angel-Backed</t>
        </is>
      </c>
      <c r="I688" s="35" t="inlineStr">
        <is>
          <t>Roberto Rende</t>
        </is>
      </c>
      <c r="J688" s="36" t="inlineStr">
        <is>
          <t>www.tixalert.mobi</t>
        </is>
      </c>
      <c r="K688" s="37" t="inlineStr">
        <is>
          <t>captdcamp@gmail.com</t>
        </is>
      </c>
      <c r="L688" s="38" t="inlineStr">
        <is>
          <t/>
        </is>
      </c>
      <c r="M688" s="39" t="inlineStr">
        <is>
          <t>Douglas Campbell</t>
        </is>
      </c>
      <c r="N688" s="40" t="inlineStr">
        <is>
          <t>Co-Founder &amp; Chief Financial Officer</t>
        </is>
      </c>
      <c r="O688" s="41" t="inlineStr">
        <is>
          <t/>
        </is>
      </c>
      <c r="P688" s="42" t="inlineStr">
        <is>
          <t/>
        </is>
      </c>
      <c r="Q688" s="43" t="n">
        <v>2012.0</v>
      </c>
      <c r="R688" s="114">
        <f>HYPERLINK("https://my.pitchbook.com?c=92954-44", "View company online")</f>
      </c>
    </row>
    <row r="689">
      <c r="A689" s="9" t="inlineStr">
        <is>
          <t>95460-13</t>
        </is>
      </c>
      <c r="B689" s="10" t="inlineStr">
        <is>
          <t>Tivix</t>
        </is>
      </c>
      <c r="C689" s="11" t="inlineStr">
        <is>
          <t>94115</t>
        </is>
      </c>
      <c r="D689" s="12" t="inlineStr">
        <is>
          <t>Provider of consulting and development services to global brands and local startups. The company offers a suite of social media applications to businesses for marketing and advertising purposes.</t>
        </is>
      </c>
      <c r="E689" s="13" t="inlineStr">
        <is>
          <t>Media and Information Services (B2B)</t>
        </is>
      </c>
      <c r="F689" s="14" t="inlineStr">
        <is>
          <t>San Francisco, CA</t>
        </is>
      </c>
      <c r="G689" s="15" t="inlineStr">
        <is>
          <t>Privately Held (backing)</t>
        </is>
      </c>
      <c r="H689" s="16" t="inlineStr">
        <is>
          <t>Angel-Backed</t>
        </is>
      </c>
      <c r="I689" s="17" t="inlineStr">
        <is>
          <t/>
        </is>
      </c>
      <c r="J689" s="18" t="inlineStr">
        <is>
          <t>www.tivix.com</t>
        </is>
      </c>
      <c r="K689" s="19" t="inlineStr">
        <is>
          <t>connect@tivix.com</t>
        </is>
      </c>
      <c r="L689" s="20" t="inlineStr">
        <is>
          <t>+1 (415) 680-1299</t>
        </is>
      </c>
      <c r="M689" s="21" t="inlineStr">
        <is>
          <t>Bret Waters</t>
        </is>
      </c>
      <c r="N689" s="22" t="inlineStr">
        <is>
          <t>Chief Executive Officer</t>
        </is>
      </c>
      <c r="O689" s="23" t="inlineStr">
        <is>
          <t>bret@tivix.com</t>
        </is>
      </c>
      <c r="P689" s="24" t="inlineStr">
        <is>
          <t>+1 (415) 680-1299</t>
        </is>
      </c>
      <c r="Q689" s="25" t="n">
        <v>2008.0</v>
      </c>
      <c r="R689" s="113">
        <f>HYPERLINK("https://my.pitchbook.com?c=95460-13", "View company online")</f>
      </c>
    </row>
    <row r="690">
      <c r="A690" s="27" t="inlineStr">
        <is>
          <t>180775-45</t>
        </is>
      </c>
      <c r="B690" s="28" t="inlineStr">
        <is>
          <t>Tivic Health Systems</t>
        </is>
      </c>
      <c r="C690" s="86">
        <f>HYPERLINK("https://my.pitchbook.com?rrp=180775-45&amp;type=c", "This Company's information is not available to download. Need this Company? Request availability")</f>
      </c>
      <c r="D690" s="30" t="inlineStr">
        <is>
          <t/>
        </is>
      </c>
      <c r="E690" s="31" t="inlineStr">
        <is>
          <t/>
        </is>
      </c>
      <c r="F690" s="32" t="inlineStr">
        <is>
          <t/>
        </is>
      </c>
      <c r="G690" s="33" t="inlineStr">
        <is>
          <t/>
        </is>
      </c>
      <c r="H690" s="34" t="inlineStr">
        <is>
          <t/>
        </is>
      </c>
      <c r="I690" s="35" t="inlineStr">
        <is>
          <t/>
        </is>
      </c>
      <c r="J690" s="36" t="inlineStr">
        <is>
          <t/>
        </is>
      </c>
      <c r="K690" s="37" t="inlineStr">
        <is>
          <t/>
        </is>
      </c>
      <c r="L690" s="38" t="inlineStr">
        <is>
          <t/>
        </is>
      </c>
      <c r="M690" s="39" t="inlineStr">
        <is>
          <t/>
        </is>
      </c>
      <c r="N690" s="40" t="inlineStr">
        <is>
          <t/>
        </is>
      </c>
      <c r="O690" s="41" t="inlineStr">
        <is>
          <t/>
        </is>
      </c>
      <c r="P690" s="42" t="inlineStr">
        <is>
          <t/>
        </is>
      </c>
      <c r="Q690" s="43" t="inlineStr">
        <is>
          <t/>
        </is>
      </c>
      <c r="R690" s="44" t="inlineStr">
        <is>
          <t/>
        </is>
      </c>
    </row>
    <row r="691">
      <c r="A691" s="9" t="inlineStr">
        <is>
          <t>131357-98</t>
        </is>
      </c>
      <c r="B691" s="10" t="inlineStr">
        <is>
          <t>Titanium Falcon</t>
        </is>
      </c>
      <c r="C691" s="11" t="inlineStr">
        <is>
          <t>94040</t>
        </is>
      </c>
      <c r="D691" s="12" t="inlineStr">
        <is>
          <t>Developer of a motion-based controlling device designed to control gesture recognition in smart devices. The company's motion-based controlling device is a 9-axis motion controller for the digital universe including mobile VR/AR, smart phones, tablets and smart homes, enabling users to control apps, navigate and play games with VR/AR headsets by moving a finger in the air.</t>
        </is>
      </c>
      <c r="E691" s="13" t="inlineStr">
        <is>
          <t>Electronics (B2C)</t>
        </is>
      </c>
      <c r="F691" s="14" t="inlineStr">
        <is>
          <t>Mountain View, CA</t>
        </is>
      </c>
      <c r="G691" s="15" t="inlineStr">
        <is>
          <t>Privately Held (backing)</t>
        </is>
      </c>
      <c r="H691" s="16" t="inlineStr">
        <is>
          <t>Angel-Backed</t>
        </is>
      </c>
      <c r="I691" s="17" t="inlineStr">
        <is>
          <t>Plug and Play Tech Center</t>
        </is>
      </c>
      <c r="J691" s="18" t="inlineStr">
        <is>
          <t>www.titaniumfalcon.com</t>
        </is>
      </c>
      <c r="K691" s="19" t="inlineStr">
        <is>
          <t>info@t-falcon.com</t>
        </is>
      </c>
      <c r="L691" s="20" t="inlineStr">
        <is>
          <t>+1 (408) 524-1600 x6751</t>
        </is>
      </c>
      <c r="M691" s="21" t="inlineStr">
        <is>
          <t>Huijuan Guo</t>
        </is>
      </c>
      <c r="N691" s="22" t="inlineStr">
        <is>
          <t>Co-Founder &amp; Chief Executive Officer</t>
        </is>
      </c>
      <c r="O691" s="23" t="inlineStr">
        <is>
          <t>juan@t-falcon.com</t>
        </is>
      </c>
      <c r="P691" s="24" t="inlineStr">
        <is>
          <t>+1 (602) 689-6958</t>
        </is>
      </c>
      <c r="Q691" s="25" t="n">
        <v>2014.0</v>
      </c>
      <c r="R691" s="113">
        <f>HYPERLINK("https://my.pitchbook.com?c=131357-98", "View company online")</f>
      </c>
    </row>
    <row r="692">
      <c r="A692" s="27" t="inlineStr">
        <is>
          <t>99213-40</t>
        </is>
      </c>
      <c r="B692" s="28" t="inlineStr">
        <is>
          <t>Titan Oil Recovery</t>
        </is>
      </c>
      <c r="C692" s="29" t="inlineStr">
        <is>
          <t>90212</t>
        </is>
      </c>
      <c r="D692" s="30" t="inlineStr">
        <is>
          <t>Provider of oil recovery services. The company's technology applies the proprietary Titan Process, state-of-the-art organic oil recovery method for extracting oil from existing oil fields.</t>
        </is>
      </c>
      <c r="E692" s="31" t="inlineStr">
        <is>
          <t>Other Commercial Services</t>
        </is>
      </c>
      <c r="F692" s="32" t="inlineStr">
        <is>
          <t>Beverly Hills, CA</t>
        </is>
      </c>
      <c r="G692" s="33" t="inlineStr">
        <is>
          <t>Privately Held (backing)</t>
        </is>
      </c>
      <c r="H692" s="34" t="inlineStr">
        <is>
          <t>Accelerator/Incubator Backed</t>
        </is>
      </c>
      <c r="I692" s="35" t="inlineStr">
        <is>
          <t>Houston Technology Center</t>
        </is>
      </c>
      <c r="J692" s="36" t="inlineStr">
        <is>
          <t>www.titanoilrecovery.com</t>
        </is>
      </c>
      <c r="K692" s="37" t="inlineStr">
        <is>
          <t>info@titanoilrecovery.com</t>
        </is>
      </c>
      <c r="L692" s="38" t="inlineStr">
        <is>
          <t>+1 (310) 281-0015</t>
        </is>
      </c>
      <c r="M692" s="39" t="inlineStr">
        <is>
          <t>Brian Marcotte</t>
        </is>
      </c>
      <c r="N692" s="40" t="inlineStr">
        <is>
          <t>Chief Executive Officer &amp; Board Member</t>
        </is>
      </c>
      <c r="O692" s="41" t="inlineStr">
        <is>
          <t>bmarcotte@titanoilrecovery.com</t>
        </is>
      </c>
      <c r="P692" s="42" t="inlineStr">
        <is>
          <t>+1 (281) 364-6980</t>
        </is>
      </c>
      <c r="Q692" s="43" t="n">
        <v>2001.0</v>
      </c>
      <c r="R692" s="114">
        <f>HYPERLINK("https://my.pitchbook.com?c=99213-40", "View company online")</f>
      </c>
    </row>
    <row r="693">
      <c r="A693" s="9" t="inlineStr">
        <is>
          <t>166262-86</t>
        </is>
      </c>
      <c r="B693" s="10" t="inlineStr">
        <is>
          <t>Tipsy Elves</t>
        </is>
      </c>
      <c r="C693" s="11" t="inlineStr">
        <is>
          <t>92101</t>
        </is>
      </c>
      <c r="D693" s="12" t="inlineStr">
        <is>
          <t>Owner and operator of a holiday-themed apparel company. The company sells its holiday sweaters and other holiday-themed items through its website and other online vendors</t>
        </is>
      </c>
      <c r="E693" s="13" t="inlineStr">
        <is>
          <t>Clothing</t>
        </is>
      </c>
      <c r="F693" s="14" t="inlineStr">
        <is>
          <t>San Diego, CA</t>
        </is>
      </c>
      <c r="G693" s="15" t="inlineStr">
        <is>
          <t>Privately Held (backing)</t>
        </is>
      </c>
      <c r="H693" s="16" t="inlineStr">
        <is>
          <t>Angel-Backed</t>
        </is>
      </c>
      <c r="I693" s="17" t="inlineStr">
        <is>
          <t>Robert Herjavec</t>
        </is>
      </c>
      <c r="J693" s="18" t="inlineStr">
        <is>
          <t>www.tipsyelves.com</t>
        </is>
      </c>
      <c r="K693" s="19" t="inlineStr">
        <is>
          <t>info@tipsyelves.com</t>
        </is>
      </c>
      <c r="L693" s="20" t="inlineStr">
        <is>
          <t>+1 (877) 578-0702</t>
        </is>
      </c>
      <c r="M693" s="21" t="inlineStr">
        <is>
          <t>Evan Mendelsohn</t>
        </is>
      </c>
      <c r="N693" s="22" t="inlineStr">
        <is>
          <t>Co-Founder &amp; Co-Owner</t>
        </is>
      </c>
      <c r="O693" s="23" t="inlineStr">
        <is>
          <t>evan@tipsyelves.com</t>
        </is>
      </c>
      <c r="P693" s="24" t="inlineStr">
        <is>
          <t>+1 (877) 578-0702</t>
        </is>
      </c>
      <c r="Q693" s="25" t="n">
        <v>2011.0</v>
      </c>
      <c r="R693" s="113">
        <f>HYPERLINK("https://my.pitchbook.com?c=166262-86", "View company online")</f>
      </c>
    </row>
    <row r="694">
      <c r="A694" s="27" t="inlineStr">
        <is>
          <t>92937-52</t>
        </is>
      </c>
      <c r="B694" s="28" t="inlineStr">
        <is>
          <t>Tip Network</t>
        </is>
      </c>
      <c r="C694" s="29" t="inlineStr">
        <is>
          <t>92101</t>
        </is>
      </c>
      <c r="D694" s="30" t="inlineStr">
        <is>
          <t>Developer of a platform to help restaurants track, manage and distribute tips digitally to employees. The company provides services for restaurants and their staff to track and report the day-to-day activities.</t>
        </is>
      </c>
      <c r="E694" s="31" t="inlineStr">
        <is>
          <t>Other Software</t>
        </is>
      </c>
      <c r="F694" s="32" t="inlineStr">
        <is>
          <t>San Diego, CA</t>
        </is>
      </c>
      <c r="G694" s="33" t="inlineStr">
        <is>
          <t>Privately Held (backing)</t>
        </is>
      </c>
      <c r="H694" s="34" t="inlineStr">
        <is>
          <t>Accelerator/Incubator Backed</t>
        </is>
      </c>
      <c r="I694" s="35" t="inlineStr">
        <is>
          <t>Chris Sang, Plug and Play Tech Center</t>
        </is>
      </c>
      <c r="J694" s="36" t="inlineStr">
        <is>
          <t>www.tipnetwork.com</t>
        </is>
      </c>
      <c r="K694" s="37" t="inlineStr">
        <is>
          <t>sales@tipnetwork.com</t>
        </is>
      </c>
      <c r="L694" s="38" t="inlineStr">
        <is>
          <t>+1 (415) 857-1746</t>
        </is>
      </c>
      <c r="M694" s="39" t="inlineStr">
        <is>
          <t>Gregory Crisci</t>
        </is>
      </c>
      <c r="N694" s="40" t="inlineStr">
        <is>
          <t>Founder, Chief Executive Officer, Chief Product Officer &amp; Board Member</t>
        </is>
      </c>
      <c r="O694" s="41" t="inlineStr">
        <is>
          <t>greg@tipnetwork.com</t>
        </is>
      </c>
      <c r="P694" s="42" t="inlineStr">
        <is>
          <t>+1 (415) 857-1746</t>
        </is>
      </c>
      <c r="Q694" s="43" t="n">
        <v>2012.0</v>
      </c>
      <c r="R694" s="114">
        <f>HYPERLINK("https://my.pitchbook.com?c=92937-52", "View company online")</f>
      </c>
    </row>
    <row r="695">
      <c r="A695" s="9" t="inlineStr">
        <is>
          <t>84779-47</t>
        </is>
      </c>
      <c r="B695" s="10" t="inlineStr">
        <is>
          <t>Tinyview</t>
        </is>
      </c>
      <c r="C695" s="11" t="inlineStr">
        <is>
          <t>94085</t>
        </is>
      </c>
      <c r="D695" s="12" t="inlineStr">
        <is>
          <t>Developer of a mobile and web-based application to enable social discovery of applications, games, music and books. The company provides a platform which enables users to redeem unused gift cards, credit card points, and frequent flyer miles for digital goods such as games, music, books, movies, and TV shows. Its application, Bitcovery, enables its users to find movies, books and songs of their choices.</t>
        </is>
      </c>
      <c r="E695" s="13" t="inlineStr">
        <is>
          <t>Movies, Music and Entertainment</t>
        </is>
      </c>
      <c r="F695" s="14" t="inlineStr">
        <is>
          <t>Sunnyvale, CA</t>
        </is>
      </c>
      <c r="G695" s="15" t="inlineStr">
        <is>
          <t>Privately Held (backing)</t>
        </is>
      </c>
      <c r="H695" s="16" t="inlineStr">
        <is>
          <t>Accelerator/Incubator Backed</t>
        </is>
      </c>
      <c r="I695" s="17" t="inlineStr">
        <is>
          <t>Bobby Yazdani, Individual Investor, Plug and Play Tech Center, Signatures Capital, Tandem Capital</t>
        </is>
      </c>
      <c r="J695" s="18" t="inlineStr">
        <is>
          <t>www.bitcovery.com</t>
        </is>
      </c>
      <c r="K695" s="19" t="inlineStr">
        <is>
          <t/>
        </is>
      </c>
      <c r="L695" s="20" t="inlineStr">
        <is>
          <t/>
        </is>
      </c>
      <c r="M695" s="21" t="inlineStr">
        <is>
          <t>Alex Wong</t>
        </is>
      </c>
      <c r="N695" s="22" t="inlineStr">
        <is>
          <t>Co-Founder</t>
        </is>
      </c>
      <c r="O695" s="23" t="inlineStr">
        <is>
          <t>alex@bitcovery.com</t>
        </is>
      </c>
      <c r="P695" s="24" t="inlineStr">
        <is>
          <t/>
        </is>
      </c>
      <c r="Q695" s="25" t="n">
        <v>2013.0</v>
      </c>
      <c r="R695" s="113">
        <f>HYPERLINK("https://my.pitchbook.com?c=84779-47", "View company online")</f>
      </c>
    </row>
    <row r="696">
      <c r="A696" s="27" t="inlineStr">
        <is>
          <t>115406-20</t>
        </is>
      </c>
      <c r="B696" s="28" t="inlineStr">
        <is>
          <t>TinyKicks</t>
        </is>
      </c>
      <c r="C696" s="29" t="inlineStr">
        <is>
          <t>92617</t>
        </is>
      </c>
      <c r="D696" s="30" t="inlineStr">
        <is>
          <t>Provider of a fetal activity monitoring wearable device. The company's system informs about the fetal movement to predict and guide healthy pregnancy outcomes.</t>
        </is>
      </c>
      <c r="E696" s="31" t="inlineStr">
        <is>
          <t>Other Healthcare Technology Systems</t>
        </is>
      </c>
      <c r="F696" s="32" t="inlineStr">
        <is>
          <t>Irvine, CA</t>
        </is>
      </c>
      <c r="G696" s="33" t="inlineStr">
        <is>
          <t>Privately Held (backing)</t>
        </is>
      </c>
      <c r="H696" s="34" t="inlineStr">
        <is>
          <t>Angel-Backed</t>
        </is>
      </c>
      <c r="I696" s="35" t="inlineStr">
        <is>
          <t>BioAccel, EvoNexus, Tech Coast Angels</t>
        </is>
      </c>
      <c r="J696" s="36" t="inlineStr">
        <is>
          <t>www.tinykicks.com</t>
        </is>
      </c>
      <c r="K696" s="37" t="inlineStr">
        <is>
          <t>info@tinykicks.com</t>
        </is>
      </c>
      <c r="L696" s="38" t="inlineStr">
        <is>
          <t>+1 (949) 606-6433</t>
        </is>
      </c>
      <c r="M696" s="39" t="inlineStr">
        <is>
          <t>France Dixon Helfer</t>
        </is>
      </c>
      <c r="N696" s="40" t="inlineStr">
        <is>
          <t>Co-Chief Executive Officer, President &amp; Board Member</t>
        </is>
      </c>
      <c r="O696" s="41" t="inlineStr">
        <is>
          <t>france_helfer@tinykicks.com</t>
        </is>
      </c>
      <c r="P696" s="42" t="inlineStr">
        <is>
          <t>+1 (949) 606-6433</t>
        </is>
      </c>
      <c r="Q696" s="43" t="n">
        <v>2014.0</v>
      </c>
      <c r="R696" s="114">
        <f>HYPERLINK("https://my.pitchbook.com?c=115406-20", "View company online")</f>
      </c>
    </row>
    <row r="697">
      <c r="A697" s="9" t="inlineStr">
        <is>
          <t>102713-77</t>
        </is>
      </c>
      <c r="B697" s="10" t="inlineStr">
        <is>
          <t>Tiny Farms</t>
        </is>
      </c>
      <c r="C697" s="11" t="inlineStr">
        <is>
          <t/>
        </is>
      </c>
      <c r="D697" s="12" t="inlineStr">
        <is>
          <t>Provider of a platform for the production of edible insects. The company is focused on the design and development of cricket rearing equipment and processes to develop crickets as an agricultural product for human consumption.</t>
        </is>
      </c>
      <c r="E697" s="13" t="inlineStr">
        <is>
          <t>Cultivation</t>
        </is>
      </c>
      <c r="F697" s="14" t="inlineStr">
        <is>
          <t>San Leandro, CA</t>
        </is>
      </c>
      <c r="G697" s="15" t="inlineStr">
        <is>
          <t>Privately Held (backing)</t>
        </is>
      </c>
      <c r="H697" s="16" t="inlineStr">
        <is>
          <t>Angel-Backed</t>
        </is>
      </c>
      <c r="I697" s="17" t="inlineStr">
        <is>
          <t>Arielle Zuckerburg, Drew Fink, Investors' Circle, Mark Gillespie, Trey Shelton</t>
        </is>
      </c>
      <c r="J697" s="18" t="inlineStr">
        <is>
          <t>www.tiny-farms.com</t>
        </is>
      </c>
      <c r="K697" s="19" t="inlineStr">
        <is>
          <t>contact@tiny-farms.com</t>
        </is>
      </c>
      <c r="L697" s="20" t="inlineStr">
        <is>
          <t/>
        </is>
      </c>
      <c r="M697" s="21" t="inlineStr">
        <is>
          <t>Jena Brentano</t>
        </is>
      </c>
      <c r="N697" s="22" t="inlineStr">
        <is>
          <t>Co-Founder, Chief Operating Officer, Chief Designer &amp; Board Member</t>
        </is>
      </c>
      <c r="O697" s="23" t="inlineStr">
        <is>
          <t>jena@tiny-farms.com</t>
        </is>
      </c>
      <c r="P697" s="24" t="inlineStr">
        <is>
          <t/>
        </is>
      </c>
      <c r="Q697" s="25" t="n">
        <v>2012.0</v>
      </c>
      <c r="R697" s="113">
        <f>HYPERLINK("https://my.pitchbook.com?c=102713-77", "View company online")</f>
      </c>
    </row>
    <row r="698">
      <c r="A698" s="27" t="inlineStr">
        <is>
          <t>126491-32</t>
        </is>
      </c>
      <c r="B698" s="28" t="inlineStr">
        <is>
          <t>Tinoro</t>
        </is>
      </c>
      <c r="C698" s="29" t="inlineStr">
        <is>
          <t>92008</t>
        </is>
      </c>
      <c r="D698" s="30" t="inlineStr">
        <is>
          <t>Owner and operator of a biotechnology company. The company engages in the designing and manufacturing of technologies and devices for the medical and research industries.</t>
        </is>
      </c>
      <c r="E698" s="31" t="inlineStr">
        <is>
          <t>Biotechnology</t>
        </is>
      </c>
      <c r="F698" s="32" t="inlineStr">
        <is>
          <t>Carlsbad, CA</t>
        </is>
      </c>
      <c r="G698" s="33" t="inlineStr">
        <is>
          <t>Privately Held (backing)</t>
        </is>
      </c>
      <c r="H698" s="34" t="inlineStr">
        <is>
          <t>Accelerator/Incubator Backed</t>
        </is>
      </c>
      <c r="I698" s="35" t="inlineStr">
        <is>
          <t>Analytics Ventures, Bio, Tech and Beyond</t>
        </is>
      </c>
      <c r="J698" s="36" t="inlineStr">
        <is>
          <t>www.tinoro.com</t>
        </is>
      </c>
      <c r="K698" s="37" t="inlineStr">
        <is>
          <t>info@tinoro.com</t>
        </is>
      </c>
      <c r="L698" s="38" t="inlineStr">
        <is>
          <t>+1 (760) 482-9732</t>
        </is>
      </c>
      <c r="M698" s="39" t="inlineStr">
        <is>
          <t>Harel Hakakha</t>
        </is>
      </c>
      <c r="N698" s="40" t="inlineStr">
        <is>
          <t>Founder, President &amp; Chief Executive Officer</t>
        </is>
      </c>
      <c r="O698" s="41" t="inlineStr">
        <is>
          <t>harel.hakakha@tinoro.com</t>
        </is>
      </c>
      <c r="P698" s="42" t="inlineStr">
        <is>
          <t>+1 (760) 482-9732</t>
        </is>
      </c>
      <c r="Q698" s="43" t="n">
        <v>2015.0</v>
      </c>
      <c r="R698" s="114">
        <f>HYPERLINK("https://my.pitchbook.com?c=126491-32", "View company online")</f>
      </c>
    </row>
    <row r="699">
      <c r="A699" s="9" t="inlineStr">
        <is>
          <t>171378-01</t>
        </is>
      </c>
      <c r="B699" s="10" t="inlineStr">
        <is>
          <t>Tino IQ</t>
        </is>
      </c>
      <c r="C699" s="85">
        <f>HYPERLINK("https://my.pitchbook.com?rrp=171378-01&amp;type=c", "This Company's information is not available to download. Need this Company? Request availability")</f>
      </c>
      <c r="D699" s="12" t="inlineStr">
        <is>
          <t/>
        </is>
      </c>
      <c r="E699" s="13" t="inlineStr">
        <is>
          <t/>
        </is>
      </c>
      <c r="F699" s="14" t="inlineStr">
        <is>
          <t/>
        </is>
      </c>
      <c r="G699" s="15" t="inlineStr">
        <is>
          <t/>
        </is>
      </c>
      <c r="H699" s="16" t="inlineStr">
        <is>
          <t/>
        </is>
      </c>
      <c r="I699" s="17" t="inlineStr">
        <is>
          <t/>
        </is>
      </c>
      <c r="J699" s="18" t="inlineStr">
        <is>
          <t/>
        </is>
      </c>
      <c r="K699" s="19" t="inlineStr">
        <is>
          <t/>
        </is>
      </c>
      <c r="L699" s="20" t="inlineStr">
        <is>
          <t/>
        </is>
      </c>
      <c r="M699" s="21" t="inlineStr">
        <is>
          <t/>
        </is>
      </c>
      <c r="N699" s="22" t="inlineStr">
        <is>
          <t/>
        </is>
      </c>
      <c r="O699" s="23" t="inlineStr">
        <is>
          <t/>
        </is>
      </c>
      <c r="P699" s="24" t="inlineStr">
        <is>
          <t/>
        </is>
      </c>
      <c r="Q699" s="25" t="inlineStr">
        <is>
          <t/>
        </is>
      </c>
      <c r="R699" s="26" t="inlineStr">
        <is>
          <t/>
        </is>
      </c>
    </row>
    <row r="700">
      <c r="A700" s="27" t="inlineStr">
        <is>
          <t>118806-04</t>
        </is>
      </c>
      <c r="B700" s="28" t="inlineStr">
        <is>
          <t>Tinkering Labs</t>
        </is>
      </c>
      <c r="C700" s="29" t="inlineStr">
        <is>
          <t/>
        </is>
      </c>
      <c r="D700" s="30" t="inlineStr">
        <is>
          <t>Designer of tool for kids to increase their innovation. The company produces various tools such as gear motor, led lights, copper tape that helps kids to build anything and thus provide them an access to skills, knowledge and confidence.</t>
        </is>
      </c>
      <c r="E700" s="31" t="inlineStr">
        <is>
          <t>Other Consumer Durables</t>
        </is>
      </c>
      <c r="F700" s="32" t="inlineStr">
        <is>
          <t>San Francisco, CA</t>
        </is>
      </c>
      <c r="G700" s="33" t="inlineStr">
        <is>
          <t>Privately Held (backing)</t>
        </is>
      </c>
      <c r="H700" s="34" t="inlineStr">
        <is>
          <t>Accelerator/Incubator Backed</t>
        </is>
      </c>
      <c r="I700" s="35" t="inlineStr">
        <is>
          <t>Skydeck | Berkeley</t>
        </is>
      </c>
      <c r="J700" s="36" t="inlineStr">
        <is>
          <t>www.tinkeringlabs.com</t>
        </is>
      </c>
      <c r="K700" s="37" t="inlineStr">
        <is>
          <t>tinkering@tinkeringlabs.com</t>
        </is>
      </c>
      <c r="L700" s="38" t="inlineStr">
        <is>
          <t/>
        </is>
      </c>
      <c r="M700" s="39" t="inlineStr">
        <is>
          <t>Gever Tulley</t>
        </is>
      </c>
      <c r="N700" s="40" t="inlineStr">
        <is>
          <t>Co-Founder</t>
        </is>
      </c>
      <c r="O700" s="41" t="inlineStr">
        <is>
          <t>gever@tinkeringlabs.com</t>
        </is>
      </c>
      <c r="P700" s="42" t="inlineStr">
        <is>
          <t/>
        </is>
      </c>
      <c r="Q700" s="43" t="n">
        <v>2014.0</v>
      </c>
      <c r="R700" s="114">
        <f>HYPERLINK("https://my.pitchbook.com?c=118806-04", "View company online")</f>
      </c>
    </row>
    <row r="701">
      <c r="A701" s="9" t="inlineStr">
        <is>
          <t>98844-31</t>
        </is>
      </c>
      <c r="B701" s="10" t="inlineStr">
        <is>
          <t>Tinj</t>
        </is>
      </c>
      <c r="C701" s="11" t="inlineStr">
        <is>
          <t>94114</t>
        </is>
      </c>
      <c r="D701" s="12" t="inlineStr">
        <is>
          <t>Provider of a mobile video feedback platform. The company's software helps video producers understand their viewers by enabling them to draw curv ratings for how they felt over time.</t>
        </is>
      </c>
      <c r="E701" s="13" t="inlineStr">
        <is>
          <t>Social/Platform Software</t>
        </is>
      </c>
      <c r="F701" s="14" t="inlineStr">
        <is>
          <t>San Francisco, CA</t>
        </is>
      </c>
      <c r="G701" s="15" t="inlineStr">
        <is>
          <t>Privately Held (backing)</t>
        </is>
      </c>
      <c r="H701" s="16" t="inlineStr">
        <is>
          <t>Accelerator/Incubator Backed</t>
        </is>
      </c>
      <c r="I701" s="17" t="inlineStr">
        <is>
          <t>Runway Incubator, Startup Leadership</t>
        </is>
      </c>
      <c r="J701" s="18" t="inlineStr">
        <is>
          <t>www.tinj.com</t>
        </is>
      </c>
      <c r="K701" s="19" t="inlineStr">
        <is>
          <t/>
        </is>
      </c>
      <c r="L701" s="20" t="inlineStr">
        <is>
          <t>+1 (415) 562-4628</t>
        </is>
      </c>
      <c r="M701" s="21" t="inlineStr">
        <is>
          <t>Matthew Tyndall</t>
        </is>
      </c>
      <c r="N701" s="22" t="inlineStr">
        <is>
          <t>Chief Executive Officer &amp; Founder</t>
        </is>
      </c>
      <c r="O701" s="23" t="inlineStr">
        <is>
          <t>matt@tinj.com</t>
        </is>
      </c>
      <c r="P701" s="24" t="inlineStr">
        <is>
          <t>+1 (415) 562-4628</t>
        </is>
      </c>
      <c r="Q701" s="25" t="n">
        <v>2012.0</v>
      </c>
      <c r="R701" s="113">
        <f>HYPERLINK("https://my.pitchbook.com?c=98844-31", "View company online")</f>
      </c>
    </row>
    <row r="702">
      <c r="A702" s="27" t="inlineStr">
        <is>
          <t>180664-12</t>
        </is>
      </c>
      <c r="B702" s="28" t="inlineStr">
        <is>
          <t>Tine Health</t>
        </is>
      </c>
      <c r="C702" s="86">
        <f>HYPERLINK("https://my.pitchbook.com?rrp=180664-12&amp;type=c", "This Company's information is not available to download. Need this Company? Request availability")</f>
      </c>
      <c r="D702" s="30" t="inlineStr">
        <is>
          <t/>
        </is>
      </c>
      <c r="E702" s="31" t="inlineStr">
        <is>
          <t/>
        </is>
      </c>
      <c r="F702" s="32" t="inlineStr">
        <is>
          <t/>
        </is>
      </c>
      <c r="G702" s="33" t="inlineStr">
        <is>
          <t/>
        </is>
      </c>
      <c r="H702" s="34" t="inlineStr">
        <is>
          <t/>
        </is>
      </c>
      <c r="I702" s="35" t="inlineStr">
        <is>
          <t/>
        </is>
      </c>
      <c r="J702" s="36" t="inlineStr">
        <is>
          <t/>
        </is>
      </c>
      <c r="K702" s="37" t="inlineStr">
        <is>
          <t/>
        </is>
      </c>
      <c r="L702" s="38" t="inlineStr">
        <is>
          <t/>
        </is>
      </c>
      <c r="M702" s="39" t="inlineStr">
        <is>
          <t/>
        </is>
      </c>
      <c r="N702" s="40" t="inlineStr">
        <is>
          <t/>
        </is>
      </c>
      <c r="O702" s="41" t="inlineStr">
        <is>
          <t/>
        </is>
      </c>
      <c r="P702" s="42" t="inlineStr">
        <is>
          <t/>
        </is>
      </c>
      <c r="Q702" s="43" t="inlineStr">
        <is>
          <t/>
        </is>
      </c>
      <c r="R702" s="44" t="inlineStr">
        <is>
          <t/>
        </is>
      </c>
    </row>
    <row r="703">
      <c r="A703" s="9" t="inlineStr">
        <is>
          <t>113468-32</t>
        </is>
      </c>
      <c r="B703" s="10" t="inlineStr">
        <is>
          <t>TimePlace</t>
        </is>
      </c>
      <c r="C703" s="85">
        <f>HYPERLINK("https://my.pitchbook.com?rrp=113468-32&amp;type=c", "This Company's information is not available to download. Need this Company? Request availability")</f>
      </c>
      <c r="D703" s="12" t="inlineStr">
        <is>
          <t/>
        </is>
      </c>
      <c r="E703" s="13" t="inlineStr">
        <is>
          <t/>
        </is>
      </c>
      <c r="F703" s="14" t="inlineStr">
        <is>
          <t/>
        </is>
      </c>
      <c r="G703" s="15" t="inlineStr">
        <is>
          <t/>
        </is>
      </c>
      <c r="H703" s="16" t="inlineStr">
        <is>
          <t/>
        </is>
      </c>
      <c r="I703" s="17" t="inlineStr">
        <is>
          <t/>
        </is>
      </c>
      <c r="J703" s="18" t="inlineStr">
        <is>
          <t/>
        </is>
      </c>
      <c r="K703" s="19" t="inlineStr">
        <is>
          <t/>
        </is>
      </c>
      <c r="L703" s="20" t="inlineStr">
        <is>
          <t/>
        </is>
      </c>
      <c r="M703" s="21" t="inlineStr">
        <is>
          <t/>
        </is>
      </c>
      <c r="N703" s="22" t="inlineStr">
        <is>
          <t/>
        </is>
      </c>
      <c r="O703" s="23" t="inlineStr">
        <is>
          <t/>
        </is>
      </c>
      <c r="P703" s="24" t="inlineStr">
        <is>
          <t/>
        </is>
      </c>
      <c r="Q703" s="25" t="inlineStr">
        <is>
          <t/>
        </is>
      </c>
      <c r="R703" s="26" t="inlineStr">
        <is>
          <t/>
        </is>
      </c>
    </row>
    <row r="704">
      <c r="A704" s="27" t="inlineStr">
        <is>
          <t>118326-70</t>
        </is>
      </c>
      <c r="B704" s="28" t="inlineStr">
        <is>
          <t>Timejoy</t>
        </is>
      </c>
      <c r="C704" s="29" t="inlineStr">
        <is>
          <t>94117</t>
        </is>
      </c>
      <c r="D704" s="30" t="inlineStr">
        <is>
          <t>Provider of a scheduling and productivity application for smartphones. The company offers a scheduling and time management application allowing users to schedule, manage and plan their day to enhance productivity.</t>
        </is>
      </c>
      <c r="E704" s="31" t="inlineStr">
        <is>
          <t>Application Software</t>
        </is>
      </c>
      <c r="F704" s="32" t="inlineStr">
        <is>
          <t>San Francisco, CA</t>
        </is>
      </c>
      <c r="G704" s="33" t="inlineStr">
        <is>
          <t>Privately Held (backing)</t>
        </is>
      </c>
      <c r="H704" s="34" t="inlineStr">
        <is>
          <t>Accelerator/Incubator Backed</t>
        </is>
      </c>
      <c r="I704" s="35" t="inlineStr">
        <is>
          <t>Softlandings Uruguay, Start-Up Chile</t>
        </is>
      </c>
      <c r="J704" s="36" t="inlineStr">
        <is>
          <t>www.timejoy.co</t>
        </is>
      </c>
      <c r="K704" s="37" t="inlineStr">
        <is>
          <t>elina@timejoy.co</t>
        </is>
      </c>
      <c r="L704" s="38" t="inlineStr">
        <is>
          <t>+1 (650) 455-6201</t>
        </is>
      </c>
      <c r="M704" s="39" t="inlineStr">
        <is>
          <t>Elina Elek</t>
        </is>
      </c>
      <c r="N704" s="40" t="inlineStr">
        <is>
          <t>Co-Founder &amp; Chief Executive Officer</t>
        </is>
      </c>
      <c r="O704" s="41" t="inlineStr">
        <is>
          <t>elina@timejoy.co</t>
        </is>
      </c>
      <c r="P704" s="42" t="inlineStr">
        <is>
          <t>+1 (650) 455-6201</t>
        </is>
      </c>
      <c r="Q704" s="43" t="n">
        <v>2013.0</v>
      </c>
      <c r="R704" s="114">
        <f>HYPERLINK("https://my.pitchbook.com?c=118326-70", "View company online")</f>
      </c>
    </row>
    <row r="705">
      <c r="A705" s="9" t="inlineStr">
        <is>
          <t>175627-90</t>
        </is>
      </c>
      <c r="B705" s="10" t="inlineStr">
        <is>
          <t>Tiltsta</t>
        </is>
      </c>
      <c r="C705" s="85">
        <f>HYPERLINK("https://my.pitchbook.com?rrp=175627-90&amp;type=c", "This Company's information is not available to download. Need this Company? Request availability")</f>
      </c>
      <c r="D705" s="12" t="inlineStr">
        <is>
          <t/>
        </is>
      </c>
      <c r="E705" s="13" t="inlineStr">
        <is>
          <t/>
        </is>
      </c>
      <c r="F705" s="14" t="inlineStr">
        <is>
          <t/>
        </is>
      </c>
      <c r="G705" s="15" t="inlineStr">
        <is>
          <t/>
        </is>
      </c>
      <c r="H705" s="16" t="inlineStr">
        <is>
          <t/>
        </is>
      </c>
      <c r="I705" s="17" t="inlineStr">
        <is>
          <t/>
        </is>
      </c>
      <c r="J705" s="18" t="inlineStr">
        <is>
          <t/>
        </is>
      </c>
      <c r="K705" s="19" t="inlineStr">
        <is>
          <t/>
        </is>
      </c>
      <c r="L705" s="20" t="inlineStr">
        <is>
          <t/>
        </is>
      </c>
      <c r="M705" s="21" t="inlineStr">
        <is>
          <t/>
        </is>
      </c>
      <c r="N705" s="22" t="inlineStr">
        <is>
          <t/>
        </is>
      </c>
      <c r="O705" s="23" t="inlineStr">
        <is>
          <t/>
        </is>
      </c>
      <c r="P705" s="24" t="inlineStr">
        <is>
          <t/>
        </is>
      </c>
      <c r="Q705" s="25" t="inlineStr">
        <is>
          <t/>
        </is>
      </c>
      <c r="R705" s="26" t="inlineStr">
        <is>
          <t/>
        </is>
      </c>
    </row>
    <row r="706">
      <c r="A706" s="27" t="inlineStr">
        <is>
          <t>122763-43</t>
        </is>
      </c>
      <c r="B706" s="28" t="inlineStr">
        <is>
          <t>Till Mobile</t>
        </is>
      </c>
      <c r="C706" s="29" t="inlineStr">
        <is>
          <t>95030</t>
        </is>
      </c>
      <c r="D706" s="30" t="inlineStr">
        <is>
          <t>Developer of a cloud based communication platform designed to connect brands and retailers to farmers, local growers and other core producers. The company's cloud based communication platform uses automated calls and text messages enabling brands to interact with all tiers of their supply chain in real time via mobile.</t>
        </is>
      </c>
      <c r="E706" s="31" t="inlineStr">
        <is>
          <t>Media and Information Services (B2B)</t>
        </is>
      </c>
      <c r="F706" s="32" t="inlineStr">
        <is>
          <t>Los Gatos, CA</t>
        </is>
      </c>
      <c r="G706" s="33" t="inlineStr">
        <is>
          <t>Privately Held (backing)</t>
        </is>
      </c>
      <c r="H706" s="34" t="inlineStr">
        <is>
          <t>Accelerator/Incubator Backed</t>
        </is>
      </c>
      <c r="I706" s="35" t="inlineStr">
        <is>
          <t>Yield Lab</t>
        </is>
      </c>
      <c r="J706" s="36" t="inlineStr">
        <is>
          <t>www.tillmobile.com</t>
        </is>
      </c>
      <c r="K706" s="37" t="inlineStr">
        <is>
          <t>info@tillmobile.com</t>
        </is>
      </c>
      <c r="L706" s="38" t="inlineStr">
        <is>
          <t>+1 (877) 885-3496</t>
        </is>
      </c>
      <c r="M706" s="39" t="inlineStr">
        <is>
          <t>Wesley Billingslea</t>
        </is>
      </c>
      <c r="N706" s="40" t="inlineStr">
        <is>
          <t>Co-Founder, Vice President Sales and Board Member</t>
        </is>
      </c>
      <c r="O706" s="41" t="inlineStr">
        <is>
          <t>w.billingslea@tillmobile.com</t>
        </is>
      </c>
      <c r="P706" s="42" t="inlineStr">
        <is>
          <t>+1 (877) 885-3496</t>
        </is>
      </c>
      <c r="Q706" s="43" t="n">
        <v>2015.0</v>
      </c>
      <c r="R706" s="114">
        <f>HYPERLINK("https://my.pitchbook.com?c=122763-43", "View company online")</f>
      </c>
    </row>
    <row r="707">
      <c r="A707" s="9" t="inlineStr">
        <is>
          <t>95591-71</t>
        </is>
      </c>
      <c r="B707" s="10" t="inlineStr">
        <is>
          <t>Tilana Systems</t>
        </is>
      </c>
      <c r="C707" s="11" t="inlineStr">
        <is>
          <t>92111</t>
        </is>
      </c>
      <c r="D707" s="12" t="inlineStr">
        <is>
          <t>Provides of online storage provisions to business and consumer personal computer users. The company's software enables to develop own integrated set of client components.</t>
        </is>
      </c>
      <c r="E707" s="13" t="inlineStr">
        <is>
          <t>Other Information Technology</t>
        </is>
      </c>
      <c r="F707" s="14" t="inlineStr">
        <is>
          <t>San Diego, CA</t>
        </is>
      </c>
      <c r="G707" s="15" t="inlineStr">
        <is>
          <t>Privately Held (backing)</t>
        </is>
      </c>
      <c r="H707" s="16" t="inlineStr">
        <is>
          <t>Angel-Backed</t>
        </is>
      </c>
      <c r="I707" s="17" t="inlineStr">
        <is>
          <t/>
        </is>
      </c>
      <c r="J707" s="18" t="inlineStr">
        <is>
          <t>www.tilana.com</t>
        </is>
      </c>
      <c r="K707" s="19" t="inlineStr">
        <is>
          <t/>
        </is>
      </c>
      <c r="L707" s="20" t="inlineStr">
        <is>
          <t>+1 (858) 560-0280</t>
        </is>
      </c>
      <c r="M707" s="21" t="inlineStr">
        <is>
          <t>Jon Burchmore</t>
        </is>
      </c>
      <c r="N707" s="22" t="inlineStr">
        <is>
          <t>Chief Technology Officer</t>
        </is>
      </c>
      <c r="O707" s="23" t="inlineStr">
        <is>
          <t/>
        </is>
      </c>
      <c r="P707" s="24" t="inlineStr">
        <is>
          <t>+1 (858) 560-0280</t>
        </is>
      </c>
      <c r="Q707" s="25" t="n">
        <v>2005.0</v>
      </c>
      <c r="R707" s="113">
        <f>HYPERLINK("https://my.pitchbook.com?c=95591-71", "View company online")</f>
      </c>
    </row>
    <row r="708">
      <c r="A708" s="27" t="inlineStr">
        <is>
          <t>110269-00</t>
        </is>
      </c>
      <c r="B708" s="28" t="inlineStr">
        <is>
          <t>Tiger Paw Beverages</t>
        </is>
      </c>
      <c r="C708" s="29" t="inlineStr">
        <is>
          <t>91356</t>
        </is>
      </c>
      <c r="D708" s="30" t="inlineStr">
        <is>
          <t>Producer of alcoholic beverages. The company' ultra-premium liquors are inspired by Jimi Hendrix song titles.</t>
        </is>
      </c>
      <c r="E708" s="31" t="inlineStr">
        <is>
          <t>Beverages</t>
        </is>
      </c>
      <c r="F708" s="32" t="inlineStr">
        <is>
          <t>Los Angeles, CA</t>
        </is>
      </c>
      <c r="G708" s="33" t="inlineStr">
        <is>
          <t>Privately Held (backing)</t>
        </is>
      </c>
      <c r="H708" s="34" t="inlineStr">
        <is>
          <t>Angel-Backed</t>
        </is>
      </c>
      <c r="I708" s="35" t="inlineStr">
        <is>
          <t/>
        </is>
      </c>
      <c r="J708" s="36" t="inlineStr">
        <is>
          <t>www.tigerpawbeverages.com</t>
        </is>
      </c>
      <c r="K708" s="37" t="inlineStr">
        <is>
          <t/>
        </is>
      </c>
      <c r="L708" s="38" t="inlineStr">
        <is>
          <t>+1 (562) 846-5386</t>
        </is>
      </c>
      <c r="M708" s="39" t="inlineStr">
        <is>
          <t>Enrique Balderas</t>
        </is>
      </c>
      <c r="N708" s="40" t="inlineStr">
        <is>
          <t>Chief Financial Officer &amp; Chief Operating Officer</t>
        </is>
      </c>
      <c r="O708" s="41" t="inlineStr">
        <is>
          <t>enrique@tpbevs.com</t>
        </is>
      </c>
      <c r="P708" s="42" t="inlineStr">
        <is>
          <t>+1 (562) 846-5386</t>
        </is>
      </c>
      <c r="Q708" s="43" t="n">
        <v>2014.0</v>
      </c>
      <c r="R708" s="114">
        <f>HYPERLINK("https://my.pitchbook.com?c=110269-00", "View company online")</f>
      </c>
    </row>
    <row r="709">
      <c r="A709" s="9" t="inlineStr">
        <is>
          <t>130532-50</t>
        </is>
      </c>
      <c r="B709" s="10" t="inlineStr">
        <is>
          <t>TidyMktr</t>
        </is>
      </c>
      <c r="C709" s="11" t="inlineStr">
        <is>
          <t>94114</t>
        </is>
      </c>
      <c r="D709" s="12" t="inlineStr">
        <is>
          <t>Provider of a marketing management platform designed for marketing teams and digital agencies. The company's software enables marketers to plan and coordinate multi-channel marketing efforts and strategies.</t>
        </is>
      </c>
      <c r="E709" s="13" t="inlineStr">
        <is>
          <t>Social/Platform Software</t>
        </is>
      </c>
      <c r="F709" s="14" t="inlineStr">
        <is>
          <t>San Francisco, CA</t>
        </is>
      </c>
      <c r="G709" s="15" t="inlineStr">
        <is>
          <t>Privately Held (backing)</t>
        </is>
      </c>
      <c r="H709" s="16" t="inlineStr">
        <is>
          <t>Accelerator/Incubator Backed</t>
        </is>
      </c>
      <c r="I709" s="17" t="inlineStr">
        <is>
          <t>The LAUNCH Incubator</t>
        </is>
      </c>
      <c r="J709" s="18" t="inlineStr">
        <is>
          <t>www.tidymktr.com</t>
        </is>
      </c>
      <c r="K709" s="19" t="inlineStr">
        <is>
          <t>hello@tidymktr.com</t>
        </is>
      </c>
      <c r="L709" s="20" t="inlineStr">
        <is>
          <t/>
        </is>
      </c>
      <c r="M709" s="21" t="inlineStr">
        <is>
          <t>Nicolas Tourne</t>
        </is>
      </c>
      <c r="N709" s="22" t="inlineStr">
        <is>
          <t>Co-Founder &amp; Chief Technology Officer</t>
        </is>
      </c>
      <c r="O709" s="23" t="inlineStr">
        <is>
          <t/>
        </is>
      </c>
      <c r="P709" s="24" t="inlineStr">
        <is>
          <t/>
        </is>
      </c>
      <c r="Q709" s="25" t="n">
        <v>2015.0</v>
      </c>
      <c r="R709" s="113">
        <f>HYPERLINK("https://my.pitchbook.com?c=130532-50", "View company online")</f>
      </c>
    </row>
    <row r="710">
      <c r="A710" s="27" t="inlineStr">
        <is>
          <t>118140-40</t>
        </is>
      </c>
      <c r="B710" s="28" t="inlineStr">
        <is>
          <t>Ticktate</t>
        </is>
      </c>
      <c r="C710" s="29" t="inlineStr">
        <is>
          <t/>
        </is>
      </c>
      <c r="D710" s="30" t="inlineStr">
        <is>
          <t>Provider of an online event tickets booking platform. The company offers a Web-based platform and mobile application that enables the users to buy concert tickets online.</t>
        </is>
      </c>
      <c r="E710" s="31" t="inlineStr">
        <is>
          <t>Social/Platform Software</t>
        </is>
      </c>
      <c r="F710" s="32" t="inlineStr">
        <is>
          <t>San Francisco, CA</t>
        </is>
      </c>
      <c r="G710" s="33" t="inlineStr">
        <is>
          <t>Privately Held (backing)</t>
        </is>
      </c>
      <c r="H710" s="34" t="inlineStr">
        <is>
          <t>Accelerator/Incubator Backed</t>
        </is>
      </c>
      <c r="I710" s="35" t="inlineStr">
        <is>
          <t>500 Startups</t>
        </is>
      </c>
      <c r="J710" s="36" t="inlineStr">
        <is>
          <t>www.ticktate.com</t>
        </is>
      </c>
      <c r="K710" s="37" t="inlineStr">
        <is>
          <t>hello@ticktate.com</t>
        </is>
      </c>
      <c r="L710" s="38" t="inlineStr">
        <is>
          <t>+1 (845) 548-6940</t>
        </is>
      </c>
      <c r="M710" s="39" t="inlineStr">
        <is>
          <t>Brian Canty</t>
        </is>
      </c>
      <c r="N710" s="40" t="inlineStr">
        <is>
          <t>Co-Founder &amp; Head of Operations and Marketing</t>
        </is>
      </c>
      <c r="O710" s="41" t="inlineStr">
        <is>
          <t>brian@ticktate.com</t>
        </is>
      </c>
      <c r="P710" s="42" t="inlineStr">
        <is>
          <t>+1 (845) 548-6940</t>
        </is>
      </c>
      <c r="Q710" s="43" t="n">
        <v>2014.0</v>
      </c>
      <c r="R710" s="114">
        <f>HYPERLINK("https://my.pitchbook.com?c=118140-40", "View company online")</f>
      </c>
    </row>
    <row r="711">
      <c r="A711" s="9" t="inlineStr">
        <is>
          <t>114835-96</t>
        </is>
      </c>
      <c r="B711" s="10" t="inlineStr">
        <is>
          <t>Tickle Labs</t>
        </is>
      </c>
      <c r="C711" s="11" t="inlineStr">
        <is>
          <t/>
        </is>
      </c>
      <c r="D711" s="12" t="inlineStr">
        <is>
          <t>Provider of a programming education platform. The company offers programming education re-imagined for the world of connected devices.</t>
        </is>
      </c>
      <c r="E711" s="13" t="inlineStr">
        <is>
          <t>Educational Software</t>
        </is>
      </c>
      <c r="F711" s="14" t="inlineStr">
        <is>
          <t>San Francisco, CA</t>
        </is>
      </c>
      <c r="G711" s="15" t="inlineStr">
        <is>
          <t>Privately Held (backing)</t>
        </is>
      </c>
      <c r="H711" s="16" t="inlineStr">
        <is>
          <t>Accelerator/Incubator Backed</t>
        </is>
      </c>
      <c r="I711" s="17" t="inlineStr">
        <is>
          <t>Imagine K12, XG Ventures</t>
        </is>
      </c>
      <c r="J711" s="18" t="inlineStr">
        <is>
          <t>www.tickleapp.com</t>
        </is>
      </c>
      <c r="K711" s="19" t="inlineStr">
        <is>
          <t/>
        </is>
      </c>
      <c r="L711" s="20" t="inlineStr">
        <is>
          <t/>
        </is>
      </c>
      <c r="M711" s="21" t="inlineStr">
        <is>
          <t>Jackey Wang</t>
        </is>
      </c>
      <c r="N711" s="22" t="inlineStr">
        <is>
          <t>Co-Founder</t>
        </is>
      </c>
      <c r="O711" s="23" t="inlineStr">
        <is>
          <t>jackey@tickleapp.com</t>
        </is>
      </c>
      <c r="P711" s="24" t="inlineStr">
        <is>
          <t/>
        </is>
      </c>
      <c r="Q711" s="25" t="n">
        <v>2014.0</v>
      </c>
      <c r="R711" s="113">
        <f>HYPERLINK("https://my.pitchbook.com?c=114835-96", "View company online")</f>
      </c>
    </row>
    <row r="712">
      <c r="A712" s="27" t="inlineStr">
        <is>
          <t>113391-37</t>
        </is>
      </c>
      <c r="B712" s="28" t="inlineStr">
        <is>
          <t>TicketKarma</t>
        </is>
      </c>
      <c r="C712" s="29" t="inlineStr">
        <is>
          <t>94109</t>
        </is>
      </c>
      <c r="D712" s="30" t="inlineStr">
        <is>
          <t>Provider of an online ticket resale marketplace. The company offers a Web-based platform that enables users to buy or sell tickets for musical events, shows or concerts online.</t>
        </is>
      </c>
      <c r="E712" s="31" t="inlineStr">
        <is>
          <t>Social/Platform Software</t>
        </is>
      </c>
      <c r="F712" s="32" t="inlineStr">
        <is>
          <t>San Francisco, CA</t>
        </is>
      </c>
      <c r="G712" s="33" t="inlineStr">
        <is>
          <t>Privately Held (backing)</t>
        </is>
      </c>
      <c r="H712" s="34" t="inlineStr">
        <is>
          <t>Accelerator/Incubator Backed</t>
        </is>
      </c>
      <c r="I712" s="35" t="inlineStr">
        <is>
          <t>Capital Factory</t>
        </is>
      </c>
      <c r="J712" s="36" t="inlineStr">
        <is>
          <t>www.ticketkarma.co</t>
        </is>
      </c>
      <c r="K712" s="37" t="inlineStr">
        <is>
          <t>karma@ticketkarma.co</t>
        </is>
      </c>
      <c r="L712" s="38" t="inlineStr">
        <is>
          <t/>
        </is>
      </c>
      <c r="M712" s="39" t="inlineStr">
        <is>
          <t>Alex Crosby</t>
        </is>
      </c>
      <c r="N712" s="40" t="inlineStr">
        <is>
          <t>Co-Founder</t>
        </is>
      </c>
      <c r="O712" s="41" t="inlineStr">
        <is>
          <t>alex@ticketkarma.co</t>
        </is>
      </c>
      <c r="P712" s="42" t="inlineStr">
        <is>
          <t/>
        </is>
      </c>
      <c r="Q712" s="43" t="n">
        <v>2014.0</v>
      </c>
      <c r="R712" s="114">
        <f>HYPERLINK("https://my.pitchbook.com?c=113391-37", "View company online")</f>
      </c>
    </row>
    <row r="713">
      <c r="A713" s="9" t="inlineStr">
        <is>
          <t>155031-76</t>
        </is>
      </c>
      <c r="B713" s="10" t="inlineStr">
        <is>
          <t>Thunkable</t>
        </is>
      </c>
      <c r="C713" s="11" t="inlineStr">
        <is>
          <t/>
        </is>
      </c>
      <c r="D713" s="12" t="inlineStr">
        <is>
          <t>Developer of a drag-and-drop programming tool. The company develops a programming tool that allows anyone to build native mobile applications.</t>
        </is>
      </c>
      <c r="E713" s="13" t="inlineStr">
        <is>
          <t>Software Development Applications</t>
        </is>
      </c>
      <c r="F713" s="14" t="inlineStr">
        <is>
          <t>San Francisco, CA</t>
        </is>
      </c>
      <c r="G713" s="15" t="inlineStr">
        <is>
          <t>Privately Held (backing)</t>
        </is>
      </c>
      <c r="H713" s="16" t="inlineStr">
        <is>
          <t>Accelerator/Incubator Backed</t>
        </is>
      </c>
      <c r="I713" s="17" t="inlineStr">
        <is>
          <t>Mandra Capital, Point Judith Capital, Y Combinator</t>
        </is>
      </c>
      <c r="J713" s="18" t="inlineStr">
        <is>
          <t>www.thunkable.com</t>
        </is>
      </c>
      <c r="K713" s="19" t="inlineStr">
        <is>
          <t>hello@thunkable.com</t>
        </is>
      </c>
      <c r="L713" s="20" t="inlineStr">
        <is>
          <t/>
        </is>
      </c>
      <c r="M713" s="21" t="inlineStr">
        <is>
          <t>Arun Saigal</t>
        </is>
      </c>
      <c r="N713" s="22" t="inlineStr">
        <is>
          <t>Co-Founder &amp; Chief Executive Officer</t>
        </is>
      </c>
      <c r="O713" s="23" t="inlineStr">
        <is>
          <t>asaigal@thunkable.com</t>
        </is>
      </c>
      <c r="P713" s="24" t="inlineStr">
        <is>
          <t/>
        </is>
      </c>
      <c r="Q713" s="25" t="n">
        <v>2015.0</v>
      </c>
      <c r="R713" s="113">
        <f>HYPERLINK("https://my.pitchbook.com?c=155031-76", "View company online")</f>
      </c>
    </row>
    <row r="714">
      <c r="A714" s="27" t="inlineStr">
        <is>
          <t>155723-05</t>
        </is>
      </c>
      <c r="B714" s="28" t="inlineStr">
        <is>
          <t>Thunder Capital Management</t>
        </is>
      </c>
      <c r="C714" s="29" t="inlineStr">
        <is>
          <t/>
        </is>
      </c>
      <c r="D714" s="30" t="inlineStr">
        <is>
          <t>Operator of an asset management firm. The company operates an asset management firm for managing the capital available to Thunder Studios, entities responsible for prints and advertising, acquisitions, finishing funds and film production capital.</t>
        </is>
      </c>
      <c r="E714" s="31" t="inlineStr">
        <is>
          <t>Asset Management</t>
        </is>
      </c>
      <c r="F714" s="32" t="inlineStr">
        <is>
          <t>CA</t>
        </is>
      </c>
      <c r="G714" s="33" t="inlineStr">
        <is>
          <t>Privately Held (backing)</t>
        </is>
      </c>
      <c r="H714" s="34" t="inlineStr">
        <is>
          <t>Angel-Backed</t>
        </is>
      </c>
      <c r="I714" s="35" t="inlineStr">
        <is>
          <t>Struans Media</t>
        </is>
      </c>
      <c r="J714" s="36" t="inlineStr">
        <is>
          <t/>
        </is>
      </c>
      <c r="K714" s="37" t="inlineStr">
        <is>
          <t/>
        </is>
      </c>
      <c r="L714" s="38" t="inlineStr">
        <is>
          <t/>
        </is>
      </c>
      <c r="M714" s="39" t="inlineStr">
        <is>
          <t/>
        </is>
      </c>
      <c r="N714" s="40" t="inlineStr">
        <is>
          <t/>
        </is>
      </c>
      <c r="O714" s="41" t="inlineStr">
        <is>
          <t/>
        </is>
      </c>
      <c r="P714" s="42" t="inlineStr">
        <is>
          <t/>
        </is>
      </c>
      <c r="Q714" s="43" t="inlineStr">
        <is>
          <t/>
        </is>
      </c>
      <c r="R714" s="114">
        <f>HYPERLINK("https://my.pitchbook.com?c=155723-05", "View company online")</f>
      </c>
    </row>
    <row r="715">
      <c r="A715" s="9" t="inlineStr">
        <is>
          <t>97933-24</t>
        </is>
      </c>
      <c r="B715" s="10" t="inlineStr">
        <is>
          <t>Thumbkandi</t>
        </is>
      </c>
      <c r="C715" s="11" t="inlineStr">
        <is>
          <t>94108</t>
        </is>
      </c>
      <c r="D715" s="12" t="inlineStr">
        <is>
          <t>Developer of a messaging application. The company allows its users to exchange icons and emoticons and also express their inner text.</t>
        </is>
      </c>
      <c r="E715" s="13" t="inlineStr">
        <is>
          <t>Application Software</t>
        </is>
      </c>
      <c r="F715" s="14" t="inlineStr">
        <is>
          <t>San Francisco, CA</t>
        </is>
      </c>
      <c r="G715" s="15" t="inlineStr">
        <is>
          <t>Privately Held (backing)</t>
        </is>
      </c>
      <c r="H715" s="16" t="inlineStr">
        <is>
          <t>Angel-Backed</t>
        </is>
      </c>
      <c r="I715" s="17" t="inlineStr">
        <is>
          <t/>
        </is>
      </c>
      <c r="J715" s="18" t="inlineStr">
        <is>
          <t>www.thumbkandi.com</t>
        </is>
      </c>
      <c r="K715" s="19" t="inlineStr">
        <is>
          <t/>
        </is>
      </c>
      <c r="L715" s="20" t="inlineStr">
        <is>
          <t>+1 (773) 294-8800</t>
        </is>
      </c>
      <c r="M715" s="21" t="inlineStr">
        <is>
          <t>John Litz</t>
        </is>
      </c>
      <c r="N715" s="22" t="inlineStr">
        <is>
          <t>Founder, Chief Executive Officer &amp; Board Member</t>
        </is>
      </c>
      <c r="O715" s="23" t="inlineStr">
        <is>
          <t>john@thumbkandi.com</t>
        </is>
      </c>
      <c r="P715" s="24" t="inlineStr">
        <is>
          <t>+1 (773) 294-8800</t>
        </is>
      </c>
      <c r="Q715" s="25" t="n">
        <v>2012.0</v>
      </c>
      <c r="R715" s="113">
        <f>HYPERLINK("https://my.pitchbook.com?c=97933-24", "View company online")</f>
      </c>
    </row>
    <row r="716">
      <c r="A716" s="27" t="inlineStr">
        <is>
          <t>118301-32</t>
        </is>
      </c>
      <c r="B716" s="28" t="inlineStr">
        <is>
          <t>ThumbChat</t>
        </is>
      </c>
      <c r="C716" s="86">
        <f>HYPERLINK("https://my.pitchbook.com?rrp=118301-32&amp;type=c", "This Company's information is not available to download. Need this Company? Request availability")</f>
      </c>
      <c r="D716" s="30" t="inlineStr">
        <is>
          <t/>
        </is>
      </c>
      <c r="E716" s="31" t="inlineStr">
        <is>
          <t/>
        </is>
      </c>
      <c r="F716" s="32" t="inlineStr">
        <is>
          <t/>
        </is>
      </c>
      <c r="G716" s="33" t="inlineStr">
        <is>
          <t/>
        </is>
      </c>
      <c r="H716" s="34" t="inlineStr">
        <is>
          <t/>
        </is>
      </c>
      <c r="I716" s="35" t="inlineStr">
        <is>
          <t/>
        </is>
      </c>
      <c r="J716" s="36" t="inlineStr">
        <is>
          <t/>
        </is>
      </c>
      <c r="K716" s="37" t="inlineStr">
        <is>
          <t/>
        </is>
      </c>
      <c r="L716" s="38" t="inlineStr">
        <is>
          <t/>
        </is>
      </c>
      <c r="M716" s="39" t="inlineStr">
        <is>
          <t/>
        </is>
      </c>
      <c r="N716" s="40" t="inlineStr">
        <is>
          <t/>
        </is>
      </c>
      <c r="O716" s="41" t="inlineStr">
        <is>
          <t/>
        </is>
      </c>
      <c r="P716" s="42" t="inlineStr">
        <is>
          <t/>
        </is>
      </c>
      <c r="Q716" s="43" t="inlineStr">
        <is>
          <t/>
        </is>
      </c>
      <c r="R716" s="44" t="inlineStr">
        <is>
          <t/>
        </is>
      </c>
    </row>
    <row r="717">
      <c r="A717" s="9" t="inlineStr">
        <is>
          <t>90910-81</t>
        </is>
      </c>
      <c r="B717" s="10" t="inlineStr">
        <is>
          <t>ThrowMotion</t>
        </is>
      </c>
      <c r="C717" s="11" t="inlineStr">
        <is>
          <t>94087</t>
        </is>
      </c>
      <c r="D717" s="12" t="inlineStr">
        <is>
          <t>Developer of table games. The company is engaged in the development and production of indoor games for company break rooms, arcades and any other social venues.</t>
        </is>
      </c>
      <c r="E717" s="13" t="inlineStr">
        <is>
          <t>Recreational Goods</t>
        </is>
      </c>
      <c r="F717" s="14" t="inlineStr">
        <is>
          <t>Sunnyvale, CA</t>
        </is>
      </c>
      <c r="G717" s="15" t="inlineStr">
        <is>
          <t>Privately Held (backing)</t>
        </is>
      </c>
      <c r="H717" s="16" t="inlineStr">
        <is>
          <t>Angel-Backed</t>
        </is>
      </c>
      <c r="I717" s="17" t="inlineStr">
        <is>
          <t/>
        </is>
      </c>
      <c r="J717" s="18" t="inlineStr">
        <is>
          <t>www.throwmotion.com</t>
        </is>
      </c>
      <c r="K717" s="19" t="inlineStr">
        <is>
          <t>info@throwmotion.com</t>
        </is>
      </c>
      <c r="L717" s="20" t="inlineStr">
        <is>
          <t>+1 (408) 548-7529</t>
        </is>
      </c>
      <c r="M717" s="21" t="inlineStr">
        <is>
          <t>Aditya Dayal</t>
        </is>
      </c>
      <c r="N717" s="22" t="inlineStr">
        <is>
          <t>Chief Executive Officer, President, Board Member &amp; Founder</t>
        </is>
      </c>
      <c r="O717" s="23" t="inlineStr">
        <is>
          <t>aditya.dayal@throwmotion.com</t>
        </is>
      </c>
      <c r="P717" s="24" t="inlineStr">
        <is>
          <t>+1 (408) 548-7529</t>
        </is>
      </c>
      <c r="Q717" s="25" t="n">
        <v>2010.0</v>
      </c>
      <c r="R717" s="113">
        <f>HYPERLINK("https://my.pitchbook.com?c=90910-81", "View company online")</f>
      </c>
    </row>
    <row r="718">
      <c r="A718" s="27" t="inlineStr">
        <is>
          <t>150632-02</t>
        </is>
      </c>
      <c r="B718" s="28" t="inlineStr">
        <is>
          <t>Throwdown Labs</t>
        </is>
      </c>
      <c r="C718" s="29" t="inlineStr">
        <is>
          <t>94107</t>
        </is>
      </c>
      <c r="D718" s="30" t="inlineStr">
        <is>
          <t>Developer of a fitness app. The company offers a Web-based platform and mobile application that enables the users to share their fitness journey or motivation and access online fitness training program or guidance.</t>
        </is>
      </c>
      <c r="E718" s="31" t="inlineStr">
        <is>
          <t>Social/Platform Software</t>
        </is>
      </c>
      <c r="F718" s="32" t="inlineStr">
        <is>
          <t>San Francisco, CA</t>
        </is>
      </c>
      <c r="G718" s="33" t="inlineStr">
        <is>
          <t>Privately Held (backing)</t>
        </is>
      </c>
      <c r="H718" s="34" t="inlineStr">
        <is>
          <t>Angel-Backed</t>
        </is>
      </c>
      <c r="I718" s="35" t="inlineStr">
        <is>
          <t>Eric Chen, Precursor Ventures</t>
        </is>
      </c>
      <c r="J718" s="36" t="inlineStr">
        <is>
          <t>www.keelo.com</t>
        </is>
      </c>
      <c r="K718" s="37" t="inlineStr">
        <is>
          <t>feedback@keelo.com</t>
        </is>
      </c>
      <c r="L718" s="38" t="inlineStr">
        <is>
          <t>+1 (215) 888-9519</t>
        </is>
      </c>
      <c r="M718" s="39" t="inlineStr">
        <is>
          <t>Hoon Kim</t>
        </is>
      </c>
      <c r="N718" s="40" t="inlineStr">
        <is>
          <t>Co-Founder, President, Chief Executive Officer &amp; Board Member</t>
        </is>
      </c>
      <c r="O718" s="41" t="inlineStr">
        <is>
          <t>hoon@keelo.com</t>
        </is>
      </c>
      <c r="P718" s="42" t="inlineStr">
        <is>
          <t>+1 (215) 888-9519</t>
        </is>
      </c>
      <c r="Q718" s="43" t="n">
        <v>2014.0</v>
      </c>
      <c r="R718" s="114">
        <f>HYPERLINK("https://my.pitchbook.com?c=150632-02", "View company online")</f>
      </c>
    </row>
    <row r="719">
      <c r="A719" s="9" t="inlineStr">
        <is>
          <t>118169-38</t>
        </is>
      </c>
      <c r="B719" s="10" t="inlineStr">
        <is>
          <t>Throne VIP</t>
        </is>
      </c>
      <c r="C719" s="85">
        <f>HYPERLINK("https://my.pitchbook.com?rrp=118169-38&amp;type=c", "This Company's information is not available to download. Need this Company? Request availability")</f>
      </c>
      <c r="D719" s="12" t="inlineStr">
        <is>
          <t/>
        </is>
      </c>
      <c r="E719" s="13" t="inlineStr">
        <is>
          <t/>
        </is>
      </c>
      <c r="F719" s="14" t="inlineStr">
        <is>
          <t/>
        </is>
      </c>
      <c r="G719" s="15" t="inlineStr">
        <is>
          <t/>
        </is>
      </c>
      <c r="H719" s="16" t="inlineStr">
        <is>
          <t/>
        </is>
      </c>
      <c r="I719" s="17" t="inlineStr">
        <is>
          <t/>
        </is>
      </c>
      <c r="J719" s="18" t="inlineStr">
        <is>
          <t/>
        </is>
      </c>
      <c r="K719" s="19" t="inlineStr">
        <is>
          <t/>
        </is>
      </c>
      <c r="L719" s="20" t="inlineStr">
        <is>
          <t/>
        </is>
      </c>
      <c r="M719" s="21" t="inlineStr">
        <is>
          <t/>
        </is>
      </c>
      <c r="N719" s="22" t="inlineStr">
        <is>
          <t/>
        </is>
      </c>
      <c r="O719" s="23" t="inlineStr">
        <is>
          <t/>
        </is>
      </c>
      <c r="P719" s="24" t="inlineStr">
        <is>
          <t/>
        </is>
      </c>
      <c r="Q719" s="25" t="inlineStr">
        <is>
          <t/>
        </is>
      </c>
      <c r="R719" s="26" t="inlineStr">
        <is>
          <t/>
        </is>
      </c>
    </row>
    <row r="720">
      <c r="A720" s="27" t="inlineStr">
        <is>
          <t>152278-12</t>
        </is>
      </c>
      <c r="B720" s="28" t="inlineStr">
        <is>
          <t>Thrive Feeding</t>
        </is>
      </c>
      <c r="C720" s="29" t="inlineStr">
        <is>
          <t>92130</t>
        </is>
      </c>
      <c r="D720" s="30" t="inlineStr">
        <is>
          <t>Developer of a baby feeding monitoring system. The company develops a feeder which captures and transmits feeding data to an application which shows feeding status and history.</t>
        </is>
      </c>
      <c r="E720" s="31" t="inlineStr">
        <is>
          <t>Other Consumer Durables</t>
        </is>
      </c>
      <c r="F720" s="32" t="inlineStr">
        <is>
          <t>San Diego, CA</t>
        </is>
      </c>
      <c r="G720" s="33" t="inlineStr">
        <is>
          <t>Privately Held (backing)</t>
        </is>
      </c>
      <c r="H720" s="34" t="inlineStr">
        <is>
          <t>Angel-Backed</t>
        </is>
      </c>
      <c r="I720" s="35" t="inlineStr">
        <is>
          <t/>
        </is>
      </c>
      <c r="J720" s="36" t="inlineStr">
        <is>
          <t>www.thrivefeeding.com</t>
        </is>
      </c>
      <c r="K720" s="37" t="inlineStr">
        <is>
          <t>inbox@thrivefeeding.com</t>
        </is>
      </c>
      <c r="L720" s="38" t="inlineStr">
        <is>
          <t/>
        </is>
      </c>
      <c r="M720" s="39" t="inlineStr">
        <is>
          <t>Brian Wadsworth</t>
        </is>
      </c>
      <c r="N720" s="40" t="inlineStr">
        <is>
          <t>Co-Founder &amp; Manager</t>
        </is>
      </c>
      <c r="O720" s="41" t="inlineStr">
        <is>
          <t>brian@thrivefeeding.com</t>
        </is>
      </c>
      <c r="P720" s="42" t="inlineStr">
        <is>
          <t/>
        </is>
      </c>
      <c r="Q720" s="43" t="n">
        <v>2015.0</v>
      </c>
      <c r="R720" s="114">
        <f>HYPERLINK("https://my.pitchbook.com?c=152278-12", "View company online")</f>
      </c>
    </row>
    <row r="721">
      <c r="A721" s="9" t="inlineStr">
        <is>
          <t>156911-68</t>
        </is>
      </c>
      <c r="B721" s="10" t="inlineStr">
        <is>
          <t>Thrive Agrobiotics</t>
        </is>
      </c>
      <c r="C721" s="11" t="inlineStr">
        <is>
          <t>94111</t>
        </is>
      </c>
      <c r="D721" s="12" t="inlineStr">
        <is>
          <t>Provider of development services for gut cell therapy. The company provides research and development services for nutritive proteins and gut cell therapy.</t>
        </is>
      </c>
      <c r="E721" s="13" t="inlineStr">
        <is>
          <t>Other Pharmaceuticals and Biotechnology</t>
        </is>
      </c>
      <c r="F721" s="14" t="inlineStr">
        <is>
          <t>San Francisco, CA</t>
        </is>
      </c>
      <c r="G721" s="15" t="inlineStr">
        <is>
          <t>Privately Held (backing)</t>
        </is>
      </c>
      <c r="H721" s="16" t="inlineStr">
        <is>
          <t>Angel-Backed</t>
        </is>
      </c>
      <c r="I721" s="17" t="inlineStr">
        <is>
          <t>Harvest Growth Capital, Intrexon</t>
        </is>
      </c>
      <c r="J721" s="18" t="inlineStr">
        <is>
          <t/>
        </is>
      </c>
      <c r="K721" s="19" t="inlineStr">
        <is>
          <t/>
        </is>
      </c>
      <c r="L721" s="20" t="inlineStr">
        <is>
          <t>+1 (415) 835-3900</t>
        </is>
      </c>
      <c r="M721" s="21" t="inlineStr">
        <is>
          <t>David Mauney</t>
        </is>
      </c>
      <c r="N721" s="22" t="inlineStr">
        <is>
          <t>Executive &amp; Board Member</t>
        </is>
      </c>
      <c r="O721" s="23" t="inlineStr">
        <is>
          <t/>
        </is>
      </c>
      <c r="P721" s="24" t="inlineStr">
        <is>
          <t>+1 (415) 835-3900</t>
        </is>
      </c>
      <c r="Q721" s="25" t="n">
        <v>2015.0</v>
      </c>
      <c r="R721" s="113">
        <f>HYPERLINK("https://my.pitchbook.com?c=156911-68", "View company online")</f>
      </c>
    </row>
    <row r="722">
      <c r="A722" s="27" t="inlineStr">
        <is>
          <t>109408-33</t>
        </is>
      </c>
      <c r="B722" s="28" t="inlineStr">
        <is>
          <t>Three Twins Organic</t>
        </is>
      </c>
      <c r="C722" s="29" t="inlineStr">
        <is>
          <t>94952</t>
        </is>
      </c>
      <c r="D722" s="30" t="inlineStr">
        <is>
          <t>Provider of organic ice cream. The company offers organic ice cream sold through its own stores, grocery stores and other convenience stores.</t>
        </is>
      </c>
      <c r="E722" s="31" t="inlineStr">
        <is>
          <t>Food Products</t>
        </is>
      </c>
      <c r="F722" s="32" t="inlineStr">
        <is>
          <t>Petaluma, CA</t>
        </is>
      </c>
      <c r="G722" s="33" t="inlineStr">
        <is>
          <t>Privately Held (backing)</t>
        </is>
      </c>
      <c r="H722" s="34" t="inlineStr">
        <is>
          <t>Angel-Backed</t>
        </is>
      </c>
      <c r="I722" s="35" t="inlineStr">
        <is>
          <t>Steve Smoot</t>
        </is>
      </c>
      <c r="J722" s="36" t="inlineStr">
        <is>
          <t>www.threetwinsicecream.com</t>
        </is>
      </c>
      <c r="K722" s="37" t="inlineStr">
        <is>
          <t/>
        </is>
      </c>
      <c r="L722" s="38" t="inlineStr">
        <is>
          <t>+1 (707) 763-8946</t>
        </is>
      </c>
      <c r="M722" s="39" t="inlineStr">
        <is>
          <t>Neal Gottlieb</t>
        </is>
      </c>
      <c r="N722" s="40" t="inlineStr">
        <is>
          <t>Founder, Owner &amp; Board Member</t>
        </is>
      </c>
      <c r="O722" s="41" t="inlineStr">
        <is>
          <t>neal@threetwinsicecream.com</t>
        </is>
      </c>
      <c r="P722" s="42" t="inlineStr">
        <is>
          <t>+1 (707) 763-8946</t>
        </is>
      </c>
      <c r="Q722" s="43" t="n">
        <v>2005.0</v>
      </c>
      <c r="R722" s="114">
        <f>HYPERLINK("https://my.pitchbook.com?c=109408-33", "View company online")</f>
      </c>
    </row>
    <row r="723">
      <c r="A723" s="9" t="inlineStr">
        <is>
          <t>129013-75</t>
        </is>
      </c>
      <c r="B723" s="10" t="inlineStr">
        <is>
          <t>Three Rivers Medical</t>
        </is>
      </c>
      <c r="C723" s="11" t="inlineStr">
        <is>
          <t>94043</t>
        </is>
      </c>
      <c r="D723" s="12" t="inlineStr">
        <is>
          <t>The company is currently operating in Stealth mode.</t>
        </is>
      </c>
      <c r="E723" s="13" t="inlineStr">
        <is>
          <t>Other Business Products and Services</t>
        </is>
      </c>
      <c r="F723" s="14" t="inlineStr">
        <is>
          <t>Mountain View, CA</t>
        </is>
      </c>
      <c r="G723" s="15" t="inlineStr">
        <is>
          <t>Privately Held (backing)</t>
        </is>
      </c>
      <c r="H723" s="16" t="inlineStr">
        <is>
          <t>Angel-Backed</t>
        </is>
      </c>
      <c r="I723" s="17" t="inlineStr">
        <is>
          <t/>
        </is>
      </c>
      <c r="J723" s="18" t="inlineStr">
        <is>
          <t/>
        </is>
      </c>
      <c r="K723" s="19" t="inlineStr">
        <is>
          <t/>
        </is>
      </c>
      <c r="L723" s="20" t="inlineStr">
        <is>
          <t>+1 (949) 933-8730</t>
        </is>
      </c>
      <c r="M723" s="21" t="inlineStr">
        <is>
          <t>Gilbert Clark</t>
        </is>
      </c>
      <c r="N723" s="22" t="inlineStr">
        <is>
          <t>President, Board Member, Secretary &amp; Chief Executive Officer</t>
        </is>
      </c>
      <c r="O723" s="23" t="inlineStr">
        <is>
          <t/>
        </is>
      </c>
      <c r="P723" s="24" t="inlineStr">
        <is>
          <t>+1 (949) 933-8730</t>
        </is>
      </c>
      <c r="Q723" s="25" t="n">
        <v>2015.0</v>
      </c>
      <c r="R723" s="113">
        <f>HYPERLINK("https://my.pitchbook.com?c=129013-75", "View company online")</f>
      </c>
    </row>
    <row r="724">
      <c r="A724" s="27" t="inlineStr">
        <is>
          <t>64341-19</t>
        </is>
      </c>
      <c r="B724" s="28" t="inlineStr">
        <is>
          <t>Three Day Rule</t>
        </is>
      </c>
      <c r="C724" s="29" t="inlineStr">
        <is>
          <t>90025</t>
        </is>
      </c>
      <c r="D724" s="30" t="inlineStr">
        <is>
          <t>Provider of personalized matchmaking services. The company have matchmakers in Los Angeles, San Francisco Bay Area, New York City, Chicago, Boston, and Washington, D.C who provides clients with personalized attention, hand-selected matches, and valuable date coaching to ensure a proper match.</t>
        </is>
      </c>
      <c r="E724" s="31" t="inlineStr">
        <is>
          <t>Other Consumer Products and Services</t>
        </is>
      </c>
      <c r="F724" s="32" t="inlineStr">
        <is>
          <t>Los Angeles, CA</t>
        </is>
      </c>
      <c r="G724" s="33" t="inlineStr">
        <is>
          <t>Privately Held (backing)</t>
        </is>
      </c>
      <c r="H724" s="34" t="inlineStr">
        <is>
          <t>Angel-Backed</t>
        </is>
      </c>
      <c r="I724" s="35" t="inlineStr">
        <is>
          <t>Blossom Street Ventures, David Carter, Match Group</t>
        </is>
      </c>
      <c r="J724" s="36" t="inlineStr">
        <is>
          <t>www.threedayrule.com</t>
        </is>
      </c>
      <c r="K724" s="37" t="inlineStr">
        <is>
          <t>support@threedayrule.com</t>
        </is>
      </c>
      <c r="L724" s="38" t="inlineStr">
        <is>
          <t>+1 (424) 256-6834</t>
        </is>
      </c>
      <c r="M724" s="39" t="inlineStr">
        <is>
          <t>Talia Goldstein</t>
        </is>
      </c>
      <c r="N724" s="40" t="inlineStr">
        <is>
          <t>Co-Founder &amp; Chief Executive Officer</t>
        </is>
      </c>
      <c r="O724" s="41" t="inlineStr">
        <is>
          <t>talia@threedayrule.com</t>
        </is>
      </c>
      <c r="P724" s="42" t="inlineStr">
        <is>
          <t>+1 (424) 256-6834</t>
        </is>
      </c>
      <c r="Q724" s="43" t="n">
        <v>2010.0</v>
      </c>
      <c r="R724" s="114">
        <f>HYPERLINK("https://my.pitchbook.com?c=64341-19", "View company online")</f>
      </c>
    </row>
    <row r="725">
      <c r="A725" s="9" t="inlineStr">
        <is>
          <t>62007-67</t>
        </is>
      </c>
      <c r="B725" s="10" t="inlineStr">
        <is>
          <t>Threadable</t>
        </is>
      </c>
      <c r="C725" s="11" t="inlineStr">
        <is>
          <t>94103</t>
        </is>
      </c>
      <c r="D725" s="12" t="inlineStr">
        <is>
          <t>Provider of a mailing list management platform. The company provides the tools to improve group communication within teams by making emails more actionable and keeping track of the emails received.</t>
        </is>
      </c>
      <c r="E725" s="13" t="inlineStr">
        <is>
          <t>Application Software</t>
        </is>
      </c>
      <c r="F725" s="14" t="inlineStr">
        <is>
          <t>San Francisco, CA</t>
        </is>
      </c>
      <c r="G725" s="15" t="inlineStr">
        <is>
          <t>Privately Held (backing)</t>
        </is>
      </c>
      <c r="H725" s="16" t="inlineStr">
        <is>
          <t>Accelerator/Incubator Backed</t>
        </is>
      </c>
      <c r="I725" s="17" t="inlineStr">
        <is>
          <t>Shelley Zhuang, Y Combinator</t>
        </is>
      </c>
      <c r="J725" s="18" t="inlineStr">
        <is>
          <t>www.threadable.com</t>
        </is>
      </c>
      <c r="K725" s="19" t="inlineStr">
        <is>
          <t/>
        </is>
      </c>
      <c r="L725" s="20" t="inlineStr">
        <is>
          <t/>
        </is>
      </c>
      <c r="M725" s="21" t="inlineStr">
        <is>
          <t>Ian Baker</t>
        </is>
      </c>
      <c r="N725" s="22" t="inlineStr">
        <is>
          <t>Co-Founder and Chief Executive Officer</t>
        </is>
      </c>
      <c r="O725" s="23" t="inlineStr">
        <is>
          <t>ian@threadable.com</t>
        </is>
      </c>
      <c r="P725" s="24" t="inlineStr">
        <is>
          <t/>
        </is>
      </c>
      <c r="Q725" s="25" t="n">
        <v>2013.0</v>
      </c>
      <c r="R725" s="113">
        <f>HYPERLINK("https://my.pitchbook.com?c=62007-67", "View company online")</f>
      </c>
    </row>
    <row r="726">
      <c r="A726" s="27" t="inlineStr">
        <is>
          <t>126101-53</t>
        </is>
      </c>
      <c r="B726" s="28" t="inlineStr">
        <is>
          <t>Thread Council</t>
        </is>
      </c>
      <c r="C726" s="29" t="inlineStr">
        <is>
          <t>94110</t>
        </is>
      </c>
      <c r="D726" s="30" t="inlineStr">
        <is>
          <t>Designer of branded apparel and accessories. The company designs branded merchandise and accessories for brands, bands and events across America.</t>
        </is>
      </c>
      <c r="E726" s="31" t="inlineStr">
        <is>
          <t>Other Commercial Products</t>
        </is>
      </c>
      <c r="F726" s="32" t="inlineStr">
        <is>
          <t>San Francisco, CA</t>
        </is>
      </c>
      <c r="G726" s="33" t="inlineStr">
        <is>
          <t>Privately Held (backing)</t>
        </is>
      </c>
      <c r="H726" s="34" t="inlineStr">
        <is>
          <t>Angel-Backed</t>
        </is>
      </c>
      <c r="I726" s="35" t="inlineStr">
        <is>
          <t/>
        </is>
      </c>
      <c r="J726" s="36" t="inlineStr">
        <is>
          <t>www.threadcouncil.com</t>
        </is>
      </c>
      <c r="K726" s="37" t="inlineStr">
        <is>
          <t/>
        </is>
      </c>
      <c r="L726" s="38" t="inlineStr">
        <is>
          <t/>
        </is>
      </c>
      <c r="M726" s="39" t="inlineStr">
        <is>
          <t>Eduardo Del Balso</t>
        </is>
      </c>
      <c r="N726" s="40" t="inlineStr">
        <is>
          <t>Technical Co-Founder</t>
        </is>
      </c>
      <c r="O726" s="41" t="inlineStr">
        <is>
          <t/>
        </is>
      </c>
      <c r="P726" s="42" t="inlineStr">
        <is>
          <t/>
        </is>
      </c>
      <c r="Q726" s="43" t="n">
        <v>2012.0</v>
      </c>
      <c r="R726" s="114">
        <f>HYPERLINK("https://my.pitchbook.com?c=126101-53", "View company online")</f>
      </c>
    </row>
    <row r="727">
      <c r="A727" s="9" t="inlineStr">
        <is>
          <t>54773-38</t>
        </is>
      </c>
      <c r="B727" s="10" t="inlineStr">
        <is>
          <t>thrdPlace</t>
        </is>
      </c>
      <c r="C727" s="11" t="inlineStr">
        <is>
          <t>90802</t>
        </is>
      </c>
      <c r="D727" s="12" t="inlineStr">
        <is>
          <t>Provider of web platform to crowd-source and manage community service and development. The company matches member needs with their community's resources, helping them crowd-source funds, materials and labor, as well as helping them to impact their community.</t>
        </is>
      </c>
      <c r="E727" s="13" t="inlineStr">
        <is>
          <t>Application Software</t>
        </is>
      </c>
      <c r="F727" s="14" t="inlineStr">
        <is>
          <t>Long Beach, CA</t>
        </is>
      </c>
      <c r="G727" s="15" t="inlineStr">
        <is>
          <t>Privately Held (backing)</t>
        </is>
      </c>
      <c r="H727" s="16" t="inlineStr">
        <is>
          <t>Accelerator/Incubator Backed</t>
        </is>
      </c>
      <c r="I727" s="17" t="inlineStr">
        <is>
          <t>StartEngine.com</t>
        </is>
      </c>
      <c r="J727" s="18" t="inlineStr">
        <is>
          <t>www.thrdplace.com</t>
        </is>
      </c>
      <c r="K727" s="19" t="inlineStr">
        <is>
          <t>mail@thrdplace.com</t>
        </is>
      </c>
      <c r="L727" s="20" t="inlineStr">
        <is>
          <t>+1 (213) 293-5620</t>
        </is>
      </c>
      <c r="M727" s="21" t="inlineStr">
        <is>
          <t>Michael Colosimo</t>
        </is>
      </c>
      <c r="N727" s="22" t="inlineStr">
        <is>
          <t>Chief Executive Officer &amp; Co-Founder</t>
        </is>
      </c>
      <c r="O727" s="23" t="inlineStr">
        <is>
          <t>mike@thrdplace.com</t>
        </is>
      </c>
      <c r="P727" s="24" t="inlineStr">
        <is>
          <t>+1 (310) 944-5937</t>
        </is>
      </c>
      <c r="Q727" s="25" t="n">
        <v>2011.0</v>
      </c>
      <c r="R727" s="113">
        <f>HYPERLINK("https://my.pitchbook.com?c=54773-38", "View company online")</f>
      </c>
    </row>
    <row r="728">
      <c r="A728" s="27" t="inlineStr">
        <is>
          <t>108696-25</t>
        </is>
      </c>
      <c r="B728" s="28" t="inlineStr">
        <is>
          <t>ThoughtStem</t>
        </is>
      </c>
      <c r="C728" s="29" t="inlineStr">
        <is>
          <t>92192</t>
        </is>
      </c>
      <c r="D728" s="30" t="inlineStr">
        <is>
          <t>Developer of an online platform for imparting computer science education. The company specializes in developing various -learning technologies that integrate video games to help children learn coding.</t>
        </is>
      </c>
      <c r="E728" s="31" t="inlineStr">
        <is>
          <t>Educational and Training Services (B2C)</t>
        </is>
      </c>
      <c r="F728" s="32" t="inlineStr">
        <is>
          <t>San Diego, CA</t>
        </is>
      </c>
      <c r="G728" s="33" t="inlineStr">
        <is>
          <t>Privately Held (backing)</t>
        </is>
      </c>
      <c r="H728" s="34" t="inlineStr">
        <is>
          <t>Angel-Backed</t>
        </is>
      </c>
      <c r="I728" s="35" t="inlineStr">
        <is>
          <t>National Science Foundation</t>
        </is>
      </c>
      <c r="J728" s="36" t="inlineStr">
        <is>
          <t>www.thoughtstem.com</t>
        </is>
      </c>
      <c r="K728" s="37" t="inlineStr">
        <is>
          <t>contact@thoughtstem.com</t>
        </is>
      </c>
      <c r="L728" s="38" t="inlineStr">
        <is>
          <t>+1 (858) 869-9430</t>
        </is>
      </c>
      <c r="M728" s="39" t="inlineStr">
        <is>
          <t>Stephen Foster</t>
        </is>
      </c>
      <c r="N728" s="40" t="inlineStr">
        <is>
          <t>Co-Founder &amp; Chief Executive Officer</t>
        </is>
      </c>
      <c r="O728" s="41" t="inlineStr">
        <is>
          <t>stephen@thoughtstem.com</t>
        </is>
      </c>
      <c r="P728" s="42" t="inlineStr">
        <is>
          <t>+1 (858) 869-9430</t>
        </is>
      </c>
      <c r="Q728" s="43" t="n">
        <v>2012.0</v>
      </c>
      <c r="R728" s="114">
        <f>HYPERLINK("https://my.pitchbook.com?c=108696-25", "View company online")</f>
      </c>
    </row>
    <row r="729">
      <c r="A729" s="9" t="inlineStr">
        <is>
          <t>153813-70</t>
        </is>
      </c>
      <c r="B729" s="10" t="inlineStr">
        <is>
          <t>Thoughtfull Toys</t>
        </is>
      </c>
      <c r="C729" s="11" t="inlineStr">
        <is>
          <t>95060</t>
        </is>
      </c>
      <c r="D729" s="12" t="inlineStr">
        <is>
          <t>Manufacturer of toy cars. The company designs, manufactures and distributes durable, drivable, buildable and interchangeable toy cars for kids.</t>
        </is>
      </c>
      <c r="E729" s="13" t="inlineStr">
        <is>
          <t>Other Consumer Durables</t>
        </is>
      </c>
      <c r="F729" s="14" t="inlineStr">
        <is>
          <t>Santa Cruz, CA</t>
        </is>
      </c>
      <c r="G729" s="15" t="inlineStr">
        <is>
          <t>Privately Held (backing)</t>
        </is>
      </c>
      <c r="H729" s="16" t="inlineStr">
        <is>
          <t>Angel-Backed</t>
        </is>
      </c>
      <c r="I729" s="17" t="inlineStr">
        <is>
          <t/>
        </is>
      </c>
      <c r="J729" s="18" t="inlineStr">
        <is>
          <t>www.modarri.com</t>
        </is>
      </c>
      <c r="K729" s="19" t="inlineStr">
        <is>
          <t/>
        </is>
      </c>
      <c r="L729" s="20" t="inlineStr">
        <is>
          <t>+1 (831) 421-2363</t>
        </is>
      </c>
      <c r="M729" s="21" t="inlineStr">
        <is>
          <t>David Silverglate</t>
        </is>
      </c>
      <c r="N729" s="22" t="inlineStr">
        <is>
          <t>Chief Executive Officer, Board Member, Co-Founder and Owner</t>
        </is>
      </c>
      <c r="O729" s="23" t="inlineStr">
        <is>
          <t>david@thoughtfulltoys.com</t>
        </is>
      </c>
      <c r="P729" s="24" t="inlineStr">
        <is>
          <t>+1 (831) 421-2363</t>
        </is>
      </c>
      <c r="Q729" s="25" t="n">
        <v>2013.0</v>
      </c>
      <c r="R729" s="113">
        <f>HYPERLINK("https://my.pitchbook.com?c=153813-70", "View company online")</f>
      </c>
    </row>
    <row r="730">
      <c r="A730" s="27" t="inlineStr">
        <is>
          <t>155156-32</t>
        </is>
      </c>
      <c r="B730" s="28" t="inlineStr">
        <is>
          <t>ThoughtBase</t>
        </is>
      </c>
      <c r="C730" s="29" t="inlineStr">
        <is>
          <t>94111</t>
        </is>
      </c>
      <c r="D730" s="30" t="inlineStr">
        <is>
          <t>Provider of an online platform for providing feedback. The company provides an online platform which allows users to receive cash payments for submitting feedback on products, services, issues and ideas.</t>
        </is>
      </c>
      <c r="E730" s="31" t="inlineStr">
        <is>
          <t>Social/Platform Software</t>
        </is>
      </c>
      <c r="F730" s="32" t="inlineStr">
        <is>
          <t>San Francisco, CA</t>
        </is>
      </c>
      <c r="G730" s="33" t="inlineStr">
        <is>
          <t>Privately Held (backing)</t>
        </is>
      </c>
      <c r="H730" s="34" t="inlineStr">
        <is>
          <t>Angel-Backed</t>
        </is>
      </c>
      <c r="I730" s="35" t="inlineStr">
        <is>
          <t/>
        </is>
      </c>
      <c r="J730" s="36" t="inlineStr">
        <is>
          <t>www.thoughtbase.com</t>
        </is>
      </c>
      <c r="K730" s="37" t="inlineStr">
        <is>
          <t>contact@thoughtbase.com</t>
        </is>
      </c>
      <c r="L730" s="38" t="inlineStr">
        <is>
          <t>+1 (650) 331-7006</t>
        </is>
      </c>
      <c r="M730" s="39" t="inlineStr">
        <is>
          <t>Michael Hanna</t>
        </is>
      </c>
      <c r="N730" s="40" t="inlineStr">
        <is>
          <t>Founder, Board Member &amp; President</t>
        </is>
      </c>
      <c r="O730" s="41" t="inlineStr">
        <is>
          <t>mike@thoughtbase.com</t>
        </is>
      </c>
      <c r="P730" s="42" t="inlineStr">
        <is>
          <t>+1 (650) 331-7006</t>
        </is>
      </c>
      <c r="Q730" s="43" t="n">
        <v>2015.0</v>
      </c>
      <c r="R730" s="114">
        <f>HYPERLINK("https://my.pitchbook.com?c=155156-32", "View company online")</f>
      </c>
    </row>
    <row r="731">
      <c r="A731" s="9" t="inlineStr">
        <is>
          <t>134917-48</t>
        </is>
      </c>
      <c r="B731" s="10" t="inlineStr">
        <is>
          <t>Thorn Street Brewery</t>
        </is>
      </c>
      <c r="C731" s="11" t="inlineStr">
        <is>
          <t>92104</t>
        </is>
      </c>
      <c r="D731" s="12" t="inlineStr">
        <is>
          <t>Operator of a brewing company with tasting room services. The company provides a variety of brewery products, both alcoholic and non-alcoholic, along with a tasting room space where customers can socialize in an open-air drinking space.</t>
        </is>
      </c>
      <c r="E731" s="13" t="inlineStr">
        <is>
          <t>Beverages</t>
        </is>
      </c>
      <c r="F731" s="14" t="inlineStr">
        <is>
          <t>San Diego, CA</t>
        </is>
      </c>
      <c r="G731" s="15" t="inlineStr">
        <is>
          <t>Privately Held (backing)</t>
        </is>
      </c>
      <c r="H731" s="16" t="inlineStr">
        <is>
          <t>Angel-Backed</t>
        </is>
      </c>
      <c r="I731" s="17" t="inlineStr">
        <is>
          <t/>
        </is>
      </c>
      <c r="J731" s="18" t="inlineStr">
        <is>
          <t>thornstreetbrew.com</t>
        </is>
      </c>
      <c r="K731" s="19" t="inlineStr">
        <is>
          <t>info@thornstreetbrew.com</t>
        </is>
      </c>
      <c r="L731" s="20" t="inlineStr">
        <is>
          <t>+1 (619) 501-2739</t>
        </is>
      </c>
      <c r="M731" s="21" t="inlineStr">
        <is>
          <t>Dennis O'Connor</t>
        </is>
      </c>
      <c r="N731" s="22" t="inlineStr">
        <is>
          <t>Co-Founder &amp; Chief Executive Officer</t>
        </is>
      </c>
      <c r="O731" s="23" t="inlineStr">
        <is>
          <t/>
        </is>
      </c>
      <c r="P731" s="24" t="inlineStr">
        <is>
          <t>+1 (619) 501-2739</t>
        </is>
      </c>
      <c r="Q731" s="25" t="n">
        <v>2012.0</v>
      </c>
      <c r="R731" s="113">
        <f>HYPERLINK("https://my.pitchbook.com?c=134917-48", "View company online")</f>
      </c>
    </row>
    <row r="732">
      <c r="A732" s="27" t="inlineStr">
        <is>
          <t>119594-17</t>
        </is>
      </c>
      <c r="B732" s="28" t="inlineStr">
        <is>
          <t>Thomson Power</t>
        </is>
      </c>
      <c r="C732" s="29" t="inlineStr">
        <is>
          <t>V6E 4M3</t>
        </is>
      </c>
      <c r="D732" s="30" t="inlineStr">
        <is>
          <t>Manufacturer of electrical products and systems for the power generation industry. The company develops and supplies sustainable energy software and power management system for improving the performance and efficiency of electric and hybrid drives in medium to heavy-duty truck and bus applications.</t>
        </is>
      </c>
      <c r="E732" s="31" t="inlineStr">
        <is>
          <t>Electrical Equipment</t>
        </is>
      </c>
      <c r="F732" s="32" t="inlineStr">
        <is>
          <t>Vancouver, Canada</t>
        </is>
      </c>
      <c r="G732" s="33" t="inlineStr">
        <is>
          <t>Privately Held (backing)</t>
        </is>
      </c>
      <c r="H732" s="34" t="inlineStr">
        <is>
          <t>Accelerator/Incubator Backed</t>
        </is>
      </c>
      <c r="I732" s="35" t="inlineStr">
        <is>
          <t>Foresight Cleantech Accelerator Centre, Prospect Silicon Valley</t>
        </is>
      </c>
      <c r="J732" s="36" t="inlineStr">
        <is>
          <t>www.thomsonpower.com</t>
        </is>
      </c>
      <c r="K732" s="37" t="inlineStr">
        <is>
          <t>info@thomsonpower.com</t>
        </is>
      </c>
      <c r="L732" s="38" t="inlineStr">
        <is>
          <t>+1 (604) 442-2983</t>
        </is>
      </c>
      <c r="M732" s="39" t="inlineStr">
        <is>
          <t>Roger Thornton</t>
        </is>
      </c>
      <c r="N732" s="40" t="inlineStr">
        <is>
          <t>Chief Financial Officer, Technology</t>
        </is>
      </c>
      <c r="O732" s="41" t="inlineStr">
        <is>
          <t>rthornton@alienvault.com</t>
        </is>
      </c>
      <c r="P732" s="42" t="inlineStr">
        <is>
          <t>+1 (650) 713-3333</t>
        </is>
      </c>
      <c r="Q732" s="43" t="n">
        <v>2012.0</v>
      </c>
      <c r="R732" s="114">
        <f>HYPERLINK("https://my.pitchbook.com?c=119594-17", "View company online")</f>
      </c>
    </row>
    <row r="733">
      <c r="A733" s="9" t="inlineStr">
        <is>
          <t>90909-28</t>
        </is>
      </c>
      <c r="B733" s="10" t="inlineStr">
        <is>
          <t>Thompson Aerospace</t>
        </is>
      </c>
      <c r="C733" s="11" t="inlineStr">
        <is>
          <t>92618</t>
        </is>
      </c>
      <c r="D733" s="12" t="inlineStr">
        <is>
          <t>Provider of aircraft network provisions. The company provides 1Net, a modular multipurpose single aisle aircraft network for high frequency short haul airlines.</t>
        </is>
      </c>
      <c r="E733" s="13" t="inlineStr">
        <is>
          <t>Aerospace and Defense</t>
        </is>
      </c>
      <c r="F733" s="14" t="inlineStr">
        <is>
          <t>Irvine, CA</t>
        </is>
      </c>
      <c r="G733" s="15" t="inlineStr">
        <is>
          <t>Privately Held (backing)</t>
        </is>
      </c>
      <c r="H733" s="16" t="inlineStr">
        <is>
          <t>Angel-Backed</t>
        </is>
      </c>
      <c r="I733" s="17" t="inlineStr">
        <is>
          <t/>
        </is>
      </c>
      <c r="J733" s="18" t="inlineStr">
        <is>
          <t>www.thompsonaerospace.com</t>
        </is>
      </c>
      <c r="K733" s="19" t="inlineStr">
        <is>
          <t/>
        </is>
      </c>
      <c r="L733" s="20" t="inlineStr">
        <is>
          <t>+1 (949) 264-1600</t>
        </is>
      </c>
      <c r="M733" s="21" t="inlineStr">
        <is>
          <t>Mark Thompson</t>
        </is>
      </c>
      <c r="N733" s="22" t="inlineStr">
        <is>
          <t>President, Chief Executive Officer &amp; Board Member</t>
        </is>
      </c>
      <c r="O733" s="23" t="inlineStr">
        <is>
          <t/>
        </is>
      </c>
      <c r="P733" s="24" t="inlineStr">
        <is>
          <t>+1 (949) 264-1600</t>
        </is>
      </c>
      <c r="Q733" s="25" t="n">
        <v>2007.0</v>
      </c>
      <c r="R733" s="113">
        <f>HYPERLINK("https://my.pitchbook.com?c=90909-28", "View company online")</f>
      </c>
    </row>
    <row r="734">
      <c r="A734" s="27" t="inlineStr">
        <is>
          <t>102712-42</t>
        </is>
      </c>
      <c r="B734" s="28" t="inlineStr">
        <is>
          <t>Thistle Health</t>
        </is>
      </c>
      <c r="C734" s="29" t="inlineStr">
        <is>
          <t>94710</t>
        </is>
      </c>
      <c r="D734" s="30" t="inlineStr">
        <is>
          <t>Provider of an online healthy meal delivery platform. The company develops a subscription-based healthy food delivery platform that allows users to order nutritious, organic and local foods.</t>
        </is>
      </c>
      <c r="E734" s="31" t="inlineStr">
        <is>
          <t>Beverages</t>
        </is>
      </c>
      <c r="F734" s="32" t="inlineStr">
        <is>
          <t>Berkeley, CA</t>
        </is>
      </c>
      <c r="G734" s="33" t="inlineStr">
        <is>
          <t>Privately Held (backing)</t>
        </is>
      </c>
      <c r="H734" s="34" t="inlineStr">
        <is>
          <t>Angel-Backed</t>
        </is>
      </c>
      <c r="I734" s="35" t="inlineStr">
        <is>
          <t>Arjun Banker, Ashish Mistry, Darius Contractor, John Stockdale, Justin Rosenstein, Scott Crosby</t>
        </is>
      </c>
      <c r="J734" s="36" t="inlineStr">
        <is>
          <t>www.thistlechangeyou.com</t>
        </is>
      </c>
      <c r="K734" s="37" t="inlineStr">
        <is>
          <t>hello@thistle.co</t>
        </is>
      </c>
      <c r="L734" s="38" t="inlineStr">
        <is>
          <t>+1 (415) 952-6553</t>
        </is>
      </c>
      <c r="M734" s="39" t="inlineStr">
        <is>
          <t>Shiri Avnery</t>
        </is>
      </c>
      <c r="N734" s="40" t="inlineStr">
        <is>
          <t>Co-Founder</t>
        </is>
      </c>
      <c r="O734" s="41" t="inlineStr">
        <is>
          <t>shiriavnery@thistlechangeyou.com</t>
        </is>
      </c>
      <c r="P734" s="42" t="inlineStr">
        <is>
          <t>+1 (415) 952-6553</t>
        </is>
      </c>
      <c r="Q734" s="43" t="n">
        <v>2013.0</v>
      </c>
      <c r="R734" s="114">
        <f>HYPERLINK("https://my.pitchbook.com?c=102712-42", "View company online")</f>
      </c>
    </row>
    <row r="735">
      <c r="A735" s="9" t="inlineStr">
        <is>
          <t>158735-08</t>
        </is>
      </c>
      <c r="B735" s="10" t="inlineStr">
        <is>
          <t>ThisIsMe</t>
        </is>
      </c>
      <c r="C735" s="11" t="inlineStr">
        <is>
          <t>8001</t>
        </is>
      </c>
      <c r="D735" s="12" t="inlineStr">
        <is>
          <t>Provider of an identification and online verification platform. The company's platform verifies an individual's identity to other individuals, businesses, financial institutions and regulators by using links to Home Affairs and the major banks.</t>
        </is>
      </c>
      <c r="E735" s="13" t="inlineStr">
        <is>
          <t>Network Management Software</t>
        </is>
      </c>
      <c r="F735" s="14" t="inlineStr">
        <is>
          <t>Cape Town, South Africa</t>
        </is>
      </c>
      <c r="G735" s="15" t="inlineStr">
        <is>
          <t>Privately Held (backing)</t>
        </is>
      </c>
      <c r="H735" s="16" t="inlineStr">
        <is>
          <t>Angel-Backed</t>
        </is>
      </c>
      <c r="I735" s="17" t="inlineStr">
        <is>
          <t/>
        </is>
      </c>
      <c r="J735" s="18" t="inlineStr">
        <is>
          <t>www.thisisme.com</t>
        </is>
      </c>
      <c r="K735" s="19" t="inlineStr">
        <is>
          <t>info@thisisme.com</t>
        </is>
      </c>
      <c r="L735" s="20" t="inlineStr">
        <is>
          <t>+27 (0)21 422 3995</t>
        </is>
      </c>
      <c r="M735" s="21" t="inlineStr">
        <is>
          <t>Mark Chirnside</t>
        </is>
      </c>
      <c r="N735" s="22" t="inlineStr">
        <is>
          <t>Chief Executive Officer</t>
        </is>
      </c>
      <c r="O735" s="23" t="inlineStr">
        <is>
          <t>mark.chirnside@thisisme.com</t>
        </is>
      </c>
      <c r="P735" s="24" t="inlineStr">
        <is>
          <t>+27 (0)21 422 3995</t>
        </is>
      </c>
      <c r="Q735" s="25" t="n">
        <v>2014.0</v>
      </c>
      <c r="R735" s="113">
        <f>HYPERLINK("https://my.pitchbook.com?c=158735-08", "View company online")</f>
      </c>
    </row>
    <row r="736">
      <c r="A736" s="27" t="inlineStr">
        <is>
          <t>166160-98</t>
        </is>
      </c>
      <c r="B736" s="28" t="inlineStr">
        <is>
          <t>Thirsty Thread</t>
        </is>
      </c>
      <c r="C736" s="29" t="inlineStr">
        <is>
          <t>95008</t>
        </is>
      </c>
      <c r="D736" s="30" t="inlineStr">
        <is>
          <t>Provider of an online market data dashboard for the fashion industry. The company's platform provides information about recent trends in the fashion market and thereby enables fashion designers to design clothes and jewelries.</t>
        </is>
      </c>
      <c r="E736" s="31" t="inlineStr">
        <is>
          <t>Business/Productivity Software</t>
        </is>
      </c>
      <c r="F736" s="32" t="inlineStr">
        <is>
          <t>Campbell, CA</t>
        </is>
      </c>
      <c r="G736" s="33" t="inlineStr">
        <is>
          <t>Privately Held (backing)</t>
        </is>
      </c>
      <c r="H736" s="34" t="inlineStr">
        <is>
          <t>Accelerator/Incubator Backed</t>
        </is>
      </c>
      <c r="I736" s="35" t="inlineStr">
        <is>
          <t>The Mill</t>
        </is>
      </c>
      <c r="J736" s="36" t="inlineStr">
        <is>
          <t>www.thirstythread.com</t>
        </is>
      </c>
      <c r="K736" s="37" t="inlineStr">
        <is>
          <t>hello@thirstythread.com</t>
        </is>
      </c>
      <c r="L736" s="38" t="inlineStr">
        <is>
          <t>+1 (408) 550-6465</t>
        </is>
      </c>
      <c r="M736" s="39" t="inlineStr">
        <is>
          <t>Divya Kumar</t>
        </is>
      </c>
      <c r="N736" s="40" t="inlineStr">
        <is>
          <t>Founder, Chief Executive Officer &amp; President</t>
        </is>
      </c>
      <c r="O736" s="41" t="inlineStr">
        <is>
          <t>divya@thirstythread.com</t>
        </is>
      </c>
      <c r="P736" s="42" t="inlineStr">
        <is>
          <t>+1 (408) 550-6465</t>
        </is>
      </c>
      <c r="Q736" s="43" t="n">
        <v>2014.0</v>
      </c>
      <c r="R736" s="114">
        <f>HYPERLINK("https://my.pitchbook.com?c=166160-98", "View company online")</f>
      </c>
    </row>
    <row r="737">
      <c r="A737" s="9" t="inlineStr">
        <is>
          <t>172742-05</t>
        </is>
      </c>
      <c r="B737" s="10" t="inlineStr">
        <is>
          <t>Third Window Brewing</t>
        </is>
      </c>
      <c r="C737" s="85">
        <f>HYPERLINK("https://my.pitchbook.com?rrp=172742-05&amp;type=c", "This Company's information is not available to download. Need this Company? Request availability")</f>
      </c>
      <c r="D737" s="12" t="inlineStr">
        <is>
          <t/>
        </is>
      </c>
      <c r="E737" s="13" t="inlineStr">
        <is>
          <t/>
        </is>
      </c>
      <c r="F737" s="14" t="inlineStr">
        <is>
          <t/>
        </is>
      </c>
      <c r="G737" s="15" t="inlineStr">
        <is>
          <t/>
        </is>
      </c>
      <c r="H737" s="16" t="inlineStr">
        <is>
          <t/>
        </is>
      </c>
      <c r="I737" s="17" t="inlineStr">
        <is>
          <t/>
        </is>
      </c>
      <c r="J737" s="18" t="inlineStr">
        <is>
          <t/>
        </is>
      </c>
      <c r="K737" s="19" t="inlineStr">
        <is>
          <t/>
        </is>
      </c>
      <c r="L737" s="20" t="inlineStr">
        <is>
          <t/>
        </is>
      </c>
      <c r="M737" s="21" t="inlineStr">
        <is>
          <t/>
        </is>
      </c>
      <c r="N737" s="22" t="inlineStr">
        <is>
          <t/>
        </is>
      </c>
      <c r="O737" s="23" t="inlineStr">
        <is>
          <t/>
        </is>
      </c>
      <c r="P737" s="24" t="inlineStr">
        <is>
          <t/>
        </is>
      </c>
      <c r="Q737" s="25" t="inlineStr">
        <is>
          <t/>
        </is>
      </c>
      <c r="R737" s="26" t="inlineStr">
        <is>
          <t/>
        </is>
      </c>
    </row>
    <row r="738">
      <c r="A738" s="27" t="inlineStr">
        <is>
          <t>100283-32</t>
        </is>
      </c>
      <c r="B738" s="28" t="inlineStr">
        <is>
          <t>Third Ear</t>
        </is>
      </c>
      <c r="C738" s="29" t="inlineStr">
        <is>
          <t>95678</t>
        </is>
      </c>
      <c r="D738" s="30" t="inlineStr">
        <is>
          <t>Developer of 3Dimensional, 6Dimensional audio, video products. The company's product 3rdEar enables people to listen and view 3Dimensional and 6Dimensional.</t>
        </is>
      </c>
      <c r="E738" s="31" t="inlineStr">
        <is>
          <t>Broadcasting, Radio and Television</t>
        </is>
      </c>
      <c r="F738" s="32" t="inlineStr">
        <is>
          <t>Roseville, CA</t>
        </is>
      </c>
      <c r="G738" s="33" t="inlineStr">
        <is>
          <t>Privately Held (backing)</t>
        </is>
      </c>
      <c r="H738" s="34" t="inlineStr">
        <is>
          <t>Accelerator/Incubator Backed</t>
        </is>
      </c>
      <c r="I738" s="35" t="inlineStr">
        <is>
          <t>SOSV</t>
        </is>
      </c>
      <c r="J738" s="36" t="inlineStr">
        <is>
          <t>www.3rdear.co</t>
        </is>
      </c>
      <c r="K738" s="37" t="inlineStr">
        <is>
          <t/>
        </is>
      </c>
      <c r="L738" s="38" t="inlineStr">
        <is>
          <t/>
        </is>
      </c>
      <c r="M738" s="39" t="inlineStr">
        <is>
          <t>Mark Pruneri</t>
        </is>
      </c>
      <c r="N738" s="40" t="inlineStr">
        <is>
          <t>Founder &amp; Chief Executive Officer</t>
        </is>
      </c>
      <c r="O738" s="41" t="inlineStr">
        <is>
          <t/>
        </is>
      </c>
      <c r="P738" s="42" t="inlineStr">
        <is>
          <t/>
        </is>
      </c>
      <c r="Q738" s="43" t="n">
        <v>2013.0</v>
      </c>
      <c r="R738" s="114">
        <f>HYPERLINK("https://my.pitchbook.com?c=100283-32", "View company online")</f>
      </c>
    </row>
    <row r="739">
      <c r="A739" s="9" t="inlineStr">
        <is>
          <t>102476-35</t>
        </is>
      </c>
      <c r="B739" s="10" t="inlineStr">
        <is>
          <t>ThinkLab</t>
        </is>
      </c>
      <c r="C739" s="85">
        <f>HYPERLINK("https://my.pitchbook.com?rrp=102476-35&amp;type=c", "This Company's information is not available to download. Need this Company? Request availability")</f>
      </c>
      <c r="D739" s="12" t="inlineStr">
        <is>
          <t/>
        </is>
      </c>
      <c r="E739" s="13" t="inlineStr">
        <is>
          <t/>
        </is>
      </c>
      <c r="F739" s="14" t="inlineStr">
        <is>
          <t/>
        </is>
      </c>
      <c r="G739" s="15" t="inlineStr">
        <is>
          <t/>
        </is>
      </c>
      <c r="H739" s="16" t="inlineStr">
        <is>
          <t/>
        </is>
      </c>
      <c r="I739" s="17" t="inlineStr">
        <is>
          <t/>
        </is>
      </c>
      <c r="J739" s="18" t="inlineStr">
        <is>
          <t/>
        </is>
      </c>
      <c r="K739" s="19" t="inlineStr">
        <is>
          <t/>
        </is>
      </c>
      <c r="L739" s="20" t="inlineStr">
        <is>
          <t/>
        </is>
      </c>
      <c r="M739" s="21" t="inlineStr">
        <is>
          <t/>
        </is>
      </c>
      <c r="N739" s="22" t="inlineStr">
        <is>
          <t/>
        </is>
      </c>
      <c r="O739" s="23" t="inlineStr">
        <is>
          <t/>
        </is>
      </c>
      <c r="P739" s="24" t="inlineStr">
        <is>
          <t/>
        </is>
      </c>
      <c r="Q739" s="25" t="inlineStr">
        <is>
          <t/>
        </is>
      </c>
      <c r="R739" s="26" t="inlineStr">
        <is>
          <t/>
        </is>
      </c>
    </row>
    <row r="740">
      <c r="A740" s="27" t="inlineStr">
        <is>
          <t>175233-52</t>
        </is>
      </c>
      <c r="B740" s="28" t="inlineStr">
        <is>
          <t>ThinkINside</t>
        </is>
      </c>
      <c r="C740" s="86">
        <f>HYPERLINK("https://my.pitchbook.com?rrp=175233-52&amp;type=c", "This Company's information is not available to download. Need this Company? Request availability")</f>
      </c>
      <c r="D740" s="30" t="inlineStr">
        <is>
          <t/>
        </is>
      </c>
      <c r="E740" s="31" t="inlineStr">
        <is>
          <t/>
        </is>
      </c>
      <c r="F740" s="32" t="inlineStr">
        <is>
          <t/>
        </is>
      </c>
      <c r="G740" s="33" t="inlineStr">
        <is>
          <t/>
        </is>
      </c>
      <c r="H740" s="34" t="inlineStr">
        <is>
          <t/>
        </is>
      </c>
      <c r="I740" s="35" t="inlineStr">
        <is>
          <t/>
        </is>
      </c>
      <c r="J740" s="36" t="inlineStr">
        <is>
          <t/>
        </is>
      </c>
      <c r="K740" s="37" t="inlineStr">
        <is>
          <t/>
        </is>
      </c>
      <c r="L740" s="38" t="inlineStr">
        <is>
          <t/>
        </is>
      </c>
      <c r="M740" s="39" t="inlineStr">
        <is>
          <t/>
        </is>
      </c>
      <c r="N740" s="40" t="inlineStr">
        <is>
          <t/>
        </is>
      </c>
      <c r="O740" s="41" t="inlineStr">
        <is>
          <t/>
        </is>
      </c>
      <c r="P740" s="42" t="inlineStr">
        <is>
          <t/>
        </is>
      </c>
      <c r="Q740" s="43" t="inlineStr">
        <is>
          <t/>
        </is>
      </c>
      <c r="R740" s="44" t="inlineStr">
        <is>
          <t/>
        </is>
      </c>
    </row>
    <row r="741">
      <c r="A741" s="9" t="inlineStr">
        <is>
          <t>96840-46</t>
        </is>
      </c>
      <c r="B741" s="10" t="inlineStr">
        <is>
          <t>Thinkingvoice</t>
        </is>
      </c>
      <c r="C741" s="11" t="inlineStr">
        <is>
          <t>94526</t>
        </is>
      </c>
      <c r="D741" s="12" t="inlineStr">
        <is>
          <t>Developer of a cloud based call center suite. The company provides phone verified leads to some of the industries top advertisers and educational institutions.</t>
        </is>
      </c>
      <c r="E741" s="13" t="inlineStr">
        <is>
          <t>Systems and Information Management</t>
        </is>
      </c>
      <c r="F741" s="14" t="inlineStr">
        <is>
          <t>Danville, CA</t>
        </is>
      </c>
      <c r="G741" s="15" t="inlineStr">
        <is>
          <t>Privately Held (backing)</t>
        </is>
      </c>
      <c r="H741" s="16" t="inlineStr">
        <is>
          <t>Angel-Backed</t>
        </is>
      </c>
      <c r="I741" s="17" t="inlineStr">
        <is>
          <t>Mark Cuban, Mark Curtis, Mark Goines, Royal Farros</t>
        </is>
      </c>
      <c r="J741" s="18" t="inlineStr">
        <is>
          <t>www.thinkingvoice.com</t>
        </is>
      </c>
      <c r="K741" s="19" t="inlineStr">
        <is>
          <t>info@thinkingvoice.com</t>
        </is>
      </c>
      <c r="L741" s="20" t="inlineStr">
        <is>
          <t/>
        </is>
      </c>
      <c r="M741" s="21" t="inlineStr">
        <is>
          <t/>
        </is>
      </c>
      <c r="N741" s="22" t="inlineStr">
        <is>
          <t/>
        </is>
      </c>
      <c r="O741" s="23" t="inlineStr">
        <is>
          <t/>
        </is>
      </c>
      <c r="P741" s="24" t="inlineStr">
        <is>
          <t/>
        </is>
      </c>
      <c r="Q741" s="25" t="n">
        <v>2000.0</v>
      </c>
      <c r="R741" s="113">
        <f>HYPERLINK("https://my.pitchbook.com?c=96840-46", "View company online")</f>
      </c>
    </row>
    <row r="742">
      <c r="A742" s="27" t="inlineStr">
        <is>
          <t>171637-03</t>
        </is>
      </c>
      <c r="B742" s="28" t="inlineStr">
        <is>
          <t>ThinkFit</t>
        </is>
      </c>
      <c r="C742" s="29" t="inlineStr">
        <is>
          <t/>
        </is>
      </c>
      <c r="D742" s="30" t="inlineStr">
        <is>
          <t>Provider of psychotherapy services intended to treat patients suffering from depression. The company's services are aimed at improving the lives of patients affected with mental disorders using an emotional appeal enabling depressed patients to better manage and reduce their symptoms by combining psychotherapy and physical exercise.</t>
        </is>
      </c>
      <c r="E742" s="31" t="inlineStr">
        <is>
          <t>Other Healthcare Services</t>
        </is>
      </c>
      <c r="F742" s="32" t="inlineStr">
        <is>
          <t>Los Angeles, CA</t>
        </is>
      </c>
      <c r="G742" s="33" t="inlineStr">
        <is>
          <t>Privately Held (backing)</t>
        </is>
      </c>
      <c r="H742" s="34" t="inlineStr">
        <is>
          <t>Accelerator/Incubator Backed</t>
        </is>
      </c>
      <c r="I742" s="35" t="inlineStr">
        <is>
          <t>California State University, Northridge Foundation, Los Angeles Cleantech Incubator</t>
        </is>
      </c>
      <c r="J742" s="36" t="inlineStr">
        <is>
          <t>www.thinkfitinfo.com</t>
        </is>
      </c>
      <c r="K742" s="37" t="inlineStr">
        <is>
          <t/>
        </is>
      </c>
      <c r="L742" s="38" t="inlineStr">
        <is>
          <t/>
        </is>
      </c>
      <c r="M742" s="39" t="inlineStr">
        <is>
          <t>Mark Swanson</t>
        </is>
      </c>
      <c r="N742" s="40" t="inlineStr">
        <is>
          <t>Co-Founder &amp; Chief Executive Officer</t>
        </is>
      </c>
      <c r="O742" s="41" t="inlineStr">
        <is>
          <t>mark@thinkfitinfo.com</t>
        </is>
      </c>
      <c r="P742" s="42" t="inlineStr">
        <is>
          <t/>
        </is>
      </c>
      <c r="Q742" s="43" t="inlineStr">
        <is>
          <t/>
        </is>
      </c>
      <c r="R742" s="114">
        <f>HYPERLINK("https://my.pitchbook.com?c=171637-03", "View company online")</f>
      </c>
    </row>
    <row r="743">
      <c r="A743" s="9" t="inlineStr">
        <is>
          <t>95586-22</t>
        </is>
      </c>
      <c r="B743" s="10" t="inlineStr">
        <is>
          <t>ThinkApps</t>
        </is>
      </c>
      <c r="C743" s="11" t="inlineStr">
        <is>
          <t>94103</t>
        </is>
      </c>
      <c r="D743" s="12" t="inlineStr">
        <is>
          <t>Operator of an application development and design company. The company's platform enables users to design and create applications for Web, mobile and wearable devices.</t>
        </is>
      </c>
      <c r="E743" s="13" t="inlineStr">
        <is>
          <t>Application Software</t>
        </is>
      </c>
      <c r="F743" s="14" t="inlineStr">
        <is>
          <t>San Francisco, CA</t>
        </is>
      </c>
      <c r="G743" s="15" t="inlineStr">
        <is>
          <t>Privately Held (backing)</t>
        </is>
      </c>
      <c r="H743" s="16" t="inlineStr">
        <is>
          <t>Accelerator/Incubator Backed</t>
        </is>
      </c>
      <c r="I743" s="17" t="inlineStr">
        <is>
          <t>StartX</t>
        </is>
      </c>
      <c r="J743" s="18" t="inlineStr">
        <is>
          <t>www.thinkapps.com</t>
        </is>
      </c>
      <c r="K743" s="19" t="inlineStr">
        <is>
          <t>hello@thinkapps.com</t>
        </is>
      </c>
      <c r="L743" s="20" t="inlineStr">
        <is>
          <t>+1 (415) 742-2499</t>
        </is>
      </c>
      <c r="M743" s="21" t="inlineStr">
        <is>
          <t>Anusheel Bhushan</t>
        </is>
      </c>
      <c r="N743" s="22" t="inlineStr">
        <is>
          <t>Co-Founder</t>
        </is>
      </c>
      <c r="O743" s="23" t="inlineStr">
        <is>
          <t/>
        </is>
      </c>
      <c r="P743" s="24" t="inlineStr">
        <is>
          <t>+1 (415) 742-2499</t>
        </is>
      </c>
      <c r="Q743" s="25" t="n">
        <v>2012.0</v>
      </c>
      <c r="R743" s="113">
        <f>HYPERLINK("https://my.pitchbook.com?c=95586-22", "View company online")</f>
      </c>
    </row>
    <row r="744">
      <c r="A744" s="27" t="inlineStr">
        <is>
          <t>112825-81</t>
        </is>
      </c>
      <c r="B744" s="28" t="inlineStr">
        <is>
          <t>Think Spider</t>
        </is>
      </c>
      <c r="C744" s="29" t="inlineStr">
        <is>
          <t>94085</t>
        </is>
      </c>
      <c r="D744" s="30" t="inlineStr">
        <is>
          <t>Developer of a work management application. The company develops an application that enables users to plan and manage their work by co-coordinating projects, documents, discussions, notes, meetings and workflow across teams.</t>
        </is>
      </c>
      <c r="E744" s="31" t="inlineStr">
        <is>
          <t>Application Software</t>
        </is>
      </c>
      <c r="F744" s="32" t="inlineStr">
        <is>
          <t>Sunnyvale, CA</t>
        </is>
      </c>
      <c r="G744" s="33" t="inlineStr">
        <is>
          <t>Privately Held (backing)</t>
        </is>
      </c>
      <c r="H744" s="34" t="inlineStr">
        <is>
          <t>Accelerator/Incubator Backed</t>
        </is>
      </c>
      <c r="I744" s="35" t="inlineStr">
        <is>
          <t>Keiretsu Forum, Northbound DGS, Scott Strother, TiE LaunchPad</t>
        </is>
      </c>
      <c r="J744" s="36" t="inlineStr">
        <is>
          <t>www.thinkspider.com</t>
        </is>
      </c>
      <c r="K744" s="37" t="inlineStr">
        <is>
          <t>info@thinkspider.com</t>
        </is>
      </c>
      <c r="L744" s="38" t="inlineStr">
        <is>
          <t>+1 (408) 636-7779</t>
        </is>
      </c>
      <c r="M744" s="39" t="inlineStr">
        <is>
          <t>Srikant Sharma</t>
        </is>
      </c>
      <c r="N744" s="40" t="inlineStr">
        <is>
          <t>Chief Executive Officer, Board Member and Founder</t>
        </is>
      </c>
      <c r="O744" s="41" t="inlineStr">
        <is>
          <t>ssharma@thinkspider.com</t>
        </is>
      </c>
      <c r="P744" s="42" t="inlineStr">
        <is>
          <t>+1 (408) 636-7779</t>
        </is>
      </c>
      <c r="Q744" s="43" t="n">
        <v>2013.0</v>
      </c>
      <c r="R744" s="114">
        <f>HYPERLINK("https://my.pitchbook.com?c=112825-81", "View company online")</f>
      </c>
    </row>
    <row r="745">
      <c r="A745" s="9" t="inlineStr">
        <is>
          <t>168523-39</t>
        </is>
      </c>
      <c r="B745" s="10" t="inlineStr">
        <is>
          <t>Think Rich Films</t>
        </is>
      </c>
      <c r="C745" s="11" t="inlineStr">
        <is>
          <t>90265</t>
        </is>
      </c>
      <c r="D745" s="12" t="inlineStr">
        <is>
          <t>Producer of docudrama films. The company engages into production, branding and marketing of different kind of films, docudrama and books named THINK: The Legacy of Think and Grow Rich regarding financial literacy, stories of renowned entrepreneurs, success stories, cultural icons and thought leaders.</t>
        </is>
      </c>
      <c r="E745" s="13" t="inlineStr">
        <is>
          <t>Movies, Music and Entertainment</t>
        </is>
      </c>
      <c r="F745" s="14" t="inlineStr">
        <is>
          <t>Malibu, CA</t>
        </is>
      </c>
      <c r="G745" s="15" t="inlineStr">
        <is>
          <t>Privately Held (backing)</t>
        </is>
      </c>
      <c r="H745" s="16" t="inlineStr">
        <is>
          <t>Angel-Backed</t>
        </is>
      </c>
      <c r="I745" s="17" t="inlineStr">
        <is>
          <t/>
        </is>
      </c>
      <c r="J745" s="18" t="inlineStr">
        <is>
          <t>www.thinkthelegacy.com</t>
        </is>
      </c>
      <c r="K745" s="19" t="inlineStr">
        <is>
          <t/>
        </is>
      </c>
      <c r="L745" s="20" t="inlineStr">
        <is>
          <t>+1 (424) 781-7087</t>
        </is>
      </c>
      <c r="M745" s="21" t="inlineStr">
        <is>
          <t>Sean Donovan</t>
        </is>
      </c>
      <c r="N745" s="22" t="inlineStr">
        <is>
          <t>Chief Executive Officer, Board Member &amp; Co-Producer</t>
        </is>
      </c>
      <c r="O745" s="23" t="inlineStr">
        <is>
          <t>sean.donovan@thinkthelegacy.com</t>
        </is>
      </c>
      <c r="P745" s="24" t="inlineStr">
        <is>
          <t>+1 (424) 781-7087</t>
        </is>
      </c>
      <c r="Q745" s="25" t="n">
        <v>2015.0</v>
      </c>
      <c r="R745" s="113">
        <f>HYPERLINK("https://my.pitchbook.com?c=168523-39", "View company online")</f>
      </c>
    </row>
    <row r="746">
      <c r="A746" s="27" t="inlineStr">
        <is>
          <t>90800-65</t>
        </is>
      </c>
      <c r="B746" s="28" t="inlineStr">
        <is>
          <t>Think Now</t>
        </is>
      </c>
      <c r="C746" s="29" t="inlineStr">
        <is>
          <t>94105</t>
        </is>
      </c>
      <c r="D746" s="30" t="inlineStr">
        <is>
          <t>Provider of healthcare software. The company provides a cloud based software which focuses on cognitive neurosciences and brain related issues.</t>
        </is>
      </c>
      <c r="E746" s="31" t="inlineStr">
        <is>
          <t>Other Healthcare Services</t>
        </is>
      </c>
      <c r="F746" s="32" t="inlineStr">
        <is>
          <t>San Francisco, CA</t>
        </is>
      </c>
      <c r="G746" s="33" t="inlineStr">
        <is>
          <t>Privately Held (backing)</t>
        </is>
      </c>
      <c r="H746" s="34" t="inlineStr">
        <is>
          <t>Angel-Backed</t>
        </is>
      </c>
      <c r="I746" s="35" t="inlineStr">
        <is>
          <t>National Institutes of Mental Health</t>
        </is>
      </c>
      <c r="J746" s="36" t="inlineStr">
        <is>
          <t>www.think-now.com</t>
        </is>
      </c>
      <c r="K746" s="37" t="inlineStr">
        <is>
          <t/>
        </is>
      </c>
      <c r="L746" s="38" t="inlineStr">
        <is>
          <t>+1 (510) 761-5567</t>
        </is>
      </c>
      <c r="M746" s="39" t="inlineStr">
        <is>
          <t>Gregory Simpson</t>
        </is>
      </c>
      <c r="N746" s="40" t="inlineStr">
        <is>
          <t>Co-Founder, Board Member &amp; Chief Scientific Officer</t>
        </is>
      </c>
      <c r="O746" s="41" t="inlineStr">
        <is>
          <t/>
        </is>
      </c>
      <c r="P746" s="42" t="inlineStr">
        <is>
          <t>+1 (510) 761-5567</t>
        </is>
      </c>
      <c r="Q746" s="43" t="n">
        <v>2010.0</v>
      </c>
      <c r="R746" s="114">
        <f>HYPERLINK("https://my.pitchbook.com?c=90800-65", "View company online")</f>
      </c>
    </row>
    <row r="747">
      <c r="A747" s="9" t="inlineStr">
        <is>
          <t>111799-99</t>
        </is>
      </c>
      <c r="B747" s="10" t="inlineStr">
        <is>
          <t>Thington</t>
        </is>
      </c>
      <c r="C747" s="11" t="inlineStr">
        <is>
          <t>94110</t>
        </is>
      </c>
      <c r="D747" s="12" t="inlineStr">
        <is>
          <t>Provider of an interactive platform. The company's platform provides consumer facing product that combines smart home technology with location, social networks and the web of data.</t>
        </is>
      </c>
      <c r="E747" s="13" t="inlineStr">
        <is>
          <t>Social/Platform Software</t>
        </is>
      </c>
      <c r="F747" s="14" t="inlineStr">
        <is>
          <t>San Francisco, CA</t>
        </is>
      </c>
      <c r="G747" s="15" t="inlineStr">
        <is>
          <t>Privately Held (backing)</t>
        </is>
      </c>
      <c r="H747" s="16" t="inlineStr">
        <is>
          <t>Angel-Backed</t>
        </is>
      </c>
      <c r="I747" s="17" t="inlineStr">
        <is>
          <t>Eric Wahlforss, Joichi Ito, LocalGlobe, Loïc Le Meur, Marko Ahtisaari, Matt Rolandson, Ray Ozzie, Samantha Tripodi, Saul Klein, Stewart Butterfield</t>
        </is>
      </c>
      <c r="J747" s="18" t="inlineStr">
        <is>
          <t>www.thington.com</t>
        </is>
      </c>
      <c r="K747" s="19" t="inlineStr">
        <is>
          <t>hi@thington.com</t>
        </is>
      </c>
      <c r="L747" s="20" t="inlineStr">
        <is>
          <t/>
        </is>
      </c>
      <c r="M747" s="21" t="inlineStr">
        <is>
          <t>Matt Biddulph</t>
        </is>
      </c>
      <c r="N747" s="22" t="inlineStr">
        <is>
          <t>Co-Founder &amp; Chief Executive Officer</t>
        </is>
      </c>
      <c r="O747" s="23" t="inlineStr">
        <is>
          <t>matt@thington.com</t>
        </is>
      </c>
      <c r="P747" s="24" t="inlineStr">
        <is>
          <t/>
        </is>
      </c>
      <c r="Q747" s="25" t="n">
        <v>2012.0</v>
      </c>
      <c r="R747" s="113">
        <f>HYPERLINK("https://my.pitchbook.com?c=111799-99", "View company online")</f>
      </c>
    </row>
    <row r="748">
      <c r="A748" s="27" t="inlineStr">
        <is>
          <t>118552-51</t>
        </is>
      </c>
      <c r="B748" s="28" t="inlineStr">
        <is>
          <t>Thing Tank</t>
        </is>
      </c>
      <c r="C748" s="29" t="inlineStr">
        <is>
          <t>94107</t>
        </is>
      </c>
      <c r="D748" s="30" t="inlineStr">
        <is>
          <t>Developer of a product discovery platform. The company provides a product discovery platform that let users discover things from stores around them.</t>
        </is>
      </c>
      <c r="E748" s="31" t="inlineStr">
        <is>
          <t>Information Services (B2C)</t>
        </is>
      </c>
      <c r="F748" s="32" t="inlineStr">
        <is>
          <t>San Francisco, CA</t>
        </is>
      </c>
      <c r="G748" s="33" t="inlineStr">
        <is>
          <t>Privately Held (backing)</t>
        </is>
      </c>
      <c r="H748" s="34" t="inlineStr">
        <is>
          <t>Accelerator/Incubator Backed</t>
        </is>
      </c>
      <c r="I748" s="35" t="inlineStr">
        <is>
          <t>SMU Institute of Innovation &amp; Entrepreneurship</t>
        </is>
      </c>
      <c r="J748" s="36" t="inlineStr">
        <is>
          <t>www.thing-tank.com</t>
        </is>
      </c>
      <c r="K748" s="37" t="inlineStr">
        <is>
          <t>chris@thing-tank.com</t>
        </is>
      </c>
      <c r="L748" s="38" t="inlineStr">
        <is>
          <t>+1 (415) 335-4518</t>
        </is>
      </c>
      <c r="M748" s="39" t="inlineStr">
        <is>
          <t>Chris Luomanen</t>
        </is>
      </c>
      <c r="N748" s="40" t="inlineStr">
        <is>
          <t>Founder, Owner &amp; Principal</t>
        </is>
      </c>
      <c r="O748" s="41" t="inlineStr">
        <is>
          <t>chris@thing-tank.com</t>
        </is>
      </c>
      <c r="P748" s="42" t="inlineStr">
        <is>
          <t>+1 (415) 335-4518</t>
        </is>
      </c>
      <c r="Q748" s="43" t="n">
        <v>2005.0</v>
      </c>
      <c r="R748" s="114">
        <f>HYPERLINK("https://my.pitchbook.com?c=118552-51", "View company online")</f>
      </c>
    </row>
    <row r="749">
      <c r="A749" s="9" t="inlineStr">
        <is>
          <t>108962-74</t>
        </is>
      </c>
      <c r="B749" s="10" t="inlineStr">
        <is>
          <t>Thermodo</t>
        </is>
      </c>
      <c r="C749" s="11" t="inlineStr">
        <is>
          <t/>
        </is>
      </c>
      <c r="D749" s="12" t="inlineStr">
        <is>
          <t>Provider of a temperature measuring device for mobile phones. The company offers a mobile thermometer that converts the smart phone into a temperature monitoring equipment.</t>
        </is>
      </c>
      <c r="E749" s="13" t="inlineStr">
        <is>
          <t>Electronics (B2C)</t>
        </is>
      </c>
      <c r="F749" s="14" t="inlineStr">
        <is>
          <t>San Francisco, CA</t>
        </is>
      </c>
      <c r="G749" s="15" t="inlineStr">
        <is>
          <t>Privately Held (backing)</t>
        </is>
      </c>
      <c r="H749" s="16" t="inlineStr">
        <is>
          <t>Accelerator/Incubator Backed</t>
        </is>
      </c>
      <c r="I749" s="17" t="inlineStr">
        <is>
          <t>SOSV</t>
        </is>
      </c>
      <c r="J749" s="18" t="inlineStr">
        <is>
          <t>www.thermodo.com</t>
        </is>
      </c>
      <c r="K749" s="19" t="inlineStr">
        <is>
          <t/>
        </is>
      </c>
      <c r="L749" s="20" t="inlineStr">
        <is>
          <t/>
        </is>
      </c>
      <c r="M749" s="21" t="inlineStr">
        <is>
          <t>Willi Wu</t>
        </is>
      </c>
      <c r="N749" s="22" t="inlineStr">
        <is>
          <t>Founder</t>
        </is>
      </c>
      <c r="O749" s="23" t="inlineStr">
        <is>
          <t>willi@thermodo.com</t>
        </is>
      </c>
      <c r="P749" s="24" t="inlineStr">
        <is>
          <t/>
        </is>
      </c>
      <c r="Q749" s="25" t="n">
        <v>2013.0</v>
      </c>
      <c r="R749" s="113">
        <f>HYPERLINK("https://my.pitchbook.com?c=108962-74", "View company online")</f>
      </c>
    </row>
    <row r="750">
      <c r="A750" s="27" t="inlineStr">
        <is>
          <t>176448-25</t>
        </is>
      </c>
      <c r="B750" s="28" t="inlineStr">
        <is>
          <t>TheRightMargin</t>
        </is>
      </c>
      <c r="C750" s="86">
        <f>HYPERLINK("https://my.pitchbook.com?rrp=176448-25&amp;type=c", "This Company's information is not available to download. Need this Company? Request availability")</f>
      </c>
      <c r="D750" s="30" t="inlineStr">
        <is>
          <t/>
        </is>
      </c>
      <c r="E750" s="31" t="inlineStr">
        <is>
          <t/>
        </is>
      </c>
      <c r="F750" s="32" t="inlineStr">
        <is>
          <t/>
        </is>
      </c>
      <c r="G750" s="33" t="inlineStr">
        <is>
          <t/>
        </is>
      </c>
      <c r="H750" s="34" t="inlineStr">
        <is>
          <t/>
        </is>
      </c>
      <c r="I750" s="35" t="inlineStr">
        <is>
          <t/>
        </is>
      </c>
      <c r="J750" s="36" t="inlineStr">
        <is>
          <t/>
        </is>
      </c>
      <c r="K750" s="37" t="inlineStr">
        <is>
          <t/>
        </is>
      </c>
      <c r="L750" s="38" t="inlineStr">
        <is>
          <t/>
        </is>
      </c>
      <c r="M750" s="39" t="inlineStr">
        <is>
          <t/>
        </is>
      </c>
      <c r="N750" s="40" t="inlineStr">
        <is>
          <t/>
        </is>
      </c>
      <c r="O750" s="41" t="inlineStr">
        <is>
          <t/>
        </is>
      </c>
      <c r="P750" s="42" t="inlineStr">
        <is>
          <t/>
        </is>
      </c>
      <c r="Q750" s="43" t="inlineStr">
        <is>
          <t/>
        </is>
      </c>
      <c r="R750" s="44" t="inlineStr">
        <is>
          <t/>
        </is>
      </c>
    </row>
    <row r="751">
      <c r="A751" s="9" t="inlineStr">
        <is>
          <t>92896-39</t>
        </is>
      </c>
      <c r="B751" s="10" t="inlineStr">
        <is>
          <t>Theragene Pharmaceuticals</t>
        </is>
      </c>
      <c r="C751" s="11" t="inlineStr">
        <is>
          <t>92121</t>
        </is>
      </c>
      <c r="D751" s="12" t="inlineStr">
        <is>
          <t>Developer of life saving therapies for treating chronic diseases. The company develops pre-clinical and clinical oncology and cardiology products utilizing immunotherapy, gene therapy and peptide delivery methods for treating debilitating diseases.</t>
        </is>
      </c>
      <c r="E751" s="13" t="inlineStr">
        <is>
          <t>Biotechnology</t>
        </is>
      </c>
      <c r="F751" s="14" t="inlineStr">
        <is>
          <t>San Diego, CA</t>
        </is>
      </c>
      <c r="G751" s="15" t="inlineStr">
        <is>
          <t>Privately Held (backing)</t>
        </is>
      </c>
      <c r="H751" s="16" t="inlineStr">
        <is>
          <t>Angel-Backed</t>
        </is>
      </c>
      <c r="I751" s="17" t="inlineStr">
        <is>
          <t/>
        </is>
      </c>
      <c r="J751" s="18" t="inlineStr">
        <is>
          <t>www.theragenepharma.com</t>
        </is>
      </c>
      <c r="K751" s="19" t="inlineStr">
        <is>
          <t>info@theragenepharma.com</t>
        </is>
      </c>
      <c r="L751" s="20" t="inlineStr">
        <is>
          <t>+1 (619) 788-2383</t>
        </is>
      </c>
      <c r="M751" s="21" t="inlineStr">
        <is>
          <t>Jon Berglin</t>
        </is>
      </c>
      <c r="N751" s="22" t="inlineStr">
        <is>
          <t>Chief Executive Officer, Executive Director &amp; Board Member</t>
        </is>
      </c>
      <c r="O751" s="23" t="inlineStr">
        <is>
          <t>jonberglin@theragenepharma.com</t>
        </is>
      </c>
      <c r="P751" s="24" t="inlineStr">
        <is>
          <t>+1 (619) 788-2383</t>
        </is>
      </c>
      <c r="Q751" s="25" t="n">
        <v>2011.0</v>
      </c>
      <c r="R751" s="113">
        <f>HYPERLINK("https://my.pitchbook.com?c=92896-39", "View company online")</f>
      </c>
    </row>
    <row r="752">
      <c r="A752" s="27" t="inlineStr">
        <is>
          <t>94310-92</t>
        </is>
      </c>
      <c r="B752" s="28" t="inlineStr">
        <is>
          <t>TheraCell</t>
        </is>
      </c>
      <c r="C752" s="29" t="inlineStr">
        <is>
          <t>91324</t>
        </is>
      </c>
      <c r="D752" s="30" t="inlineStr">
        <is>
          <t>Developer of healthcare technology for tissue repair. The company develops stem cell sorting device for research of adipose tissue and oxygenation technology to improve survival of stem cell solutions.</t>
        </is>
      </c>
      <c r="E752" s="31" t="inlineStr">
        <is>
          <t>Other Healthcare Technology Systems</t>
        </is>
      </c>
      <c r="F752" s="32" t="inlineStr">
        <is>
          <t>Los Angeles, CA</t>
        </is>
      </c>
      <c r="G752" s="33" t="inlineStr">
        <is>
          <t>Privately Held (backing)</t>
        </is>
      </c>
      <c r="H752" s="34" t="inlineStr">
        <is>
          <t>Angel-Backed</t>
        </is>
      </c>
      <c r="I752" s="35" t="inlineStr">
        <is>
          <t/>
        </is>
      </c>
      <c r="J752" s="36" t="inlineStr">
        <is>
          <t>www.theracellinc.com</t>
        </is>
      </c>
      <c r="K752" s="37" t="inlineStr">
        <is>
          <t>info@theracell.com</t>
        </is>
      </c>
      <c r="L752" s="38" t="inlineStr">
        <is>
          <t>+1 (800) 603-6035</t>
        </is>
      </c>
      <c r="M752" s="39" t="inlineStr">
        <is>
          <t>Bradley Patt</t>
        </is>
      </c>
      <c r="N752" s="40" t="inlineStr">
        <is>
          <t>Chief Executive Officer &amp; Chairman</t>
        </is>
      </c>
      <c r="O752" s="41" t="inlineStr">
        <is>
          <t/>
        </is>
      </c>
      <c r="P752" s="42" t="inlineStr">
        <is>
          <t/>
        </is>
      </c>
      <c r="Q752" s="43" t="n">
        <v>2008.0</v>
      </c>
      <c r="R752" s="114">
        <f>HYPERLINK("https://my.pitchbook.com?c=94310-92", "View company online")</f>
      </c>
    </row>
    <row r="753">
      <c r="A753" s="9" t="inlineStr">
        <is>
          <t>160116-58</t>
        </is>
      </c>
      <c r="B753" s="10" t="inlineStr">
        <is>
          <t>Theracaine</t>
        </is>
      </c>
      <c r="C753" s="11" t="inlineStr">
        <is>
          <t>94108</t>
        </is>
      </c>
      <c r="D753" s="12" t="inlineStr">
        <is>
          <t>The company is currently operating in Stealth mode.</t>
        </is>
      </c>
      <c r="E753" s="13" t="inlineStr">
        <is>
          <t>Other Business Products and Services</t>
        </is>
      </c>
      <c r="F753" s="14" t="inlineStr">
        <is>
          <t>San Francisco, CA</t>
        </is>
      </c>
      <c r="G753" s="15" t="inlineStr">
        <is>
          <t>Privately Held (backing)</t>
        </is>
      </c>
      <c r="H753" s="16" t="inlineStr">
        <is>
          <t>Angel-Backed</t>
        </is>
      </c>
      <c r="I753" s="17" t="inlineStr">
        <is>
          <t/>
        </is>
      </c>
      <c r="J753" s="18" t="inlineStr">
        <is>
          <t/>
        </is>
      </c>
      <c r="K753" s="19" t="inlineStr">
        <is>
          <t/>
        </is>
      </c>
      <c r="L753" s="20" t="inlineStr">
        <is>
          <t>+1 (650) 278-2548</t>
        </is>
      </c>
      <c r="M753" s="21" t="inlineStr">
        <is>
          <t>Ajit Shah</t>
        </is>
      </c>
      <c r="N753" s="22" t="inlineStr">
        <is>
          <t>Manager &amp; Board Member</t>
        </is>
      </c>
      <c r="O753" s="23" t="inlineStr">
        <is>
          <t/>
        </is>
      </c>
      <c r="P753" s="24" t="inlineStr">
        <is>
          <t>+1 (650) 278-2548</t>
        </is>
      </c>
      <c r="Q753" s="25" t="n">
        <v>2016.0</v>
      </c>
      <c r="R753" s="113">
        <f>HYPERLINK("https://my.pitchbook.com?c=160116-58", "View company online")</f>
      </c>
    </row>
    <row r="754">
      <c r="A754" s="27" t="inlineStr">
        <is>
          <t>103178-62</t>
        </is>
      </c>
      <c r="B754" s="28" t="inlineStr">
        <is>
          <t>TheraBiologics</t>
        </is>
      </c>
      <c r="C754" s="29" t="inlineStr">
        <is>
          <t>91006</t>
        </is>
      </c>
      <c r="D754" s="30" t="inlineStr">
        <is>
          <t>Developer of stem cell mediated cancer therapies. The company develops human neural stem cell to provide anti-cancer agents that are specific to invasive cancer sites in order to maximize therapeutic concentrations of the targeted disease and minimize off target toxicities.</t>
        </is>
      </c>
      <c r="E754" s="31" t="inlineStr">
        <is>
          <t>Biotechnology</t>
        </is>
      </c>
      <c r="F754" s="32" t="inlineStr">
        <is>
          <t>Arcadia, CA</t>
        </is>
      </c>
      <c r="G754" s="33" t="inlineStr">
        <is>
          <t>Privately Held (backing)</t>
        </is>
      </c>
      <c r="H754" s="34" t="inlineStr">
        <is>
          <t>Angel-Backed</t>
        </is>
      </c>
      <c r="I754" s="35" t="inlineStr">
        <is>
          <t>California Institute for Regenerative Medicine</t>
        </is>
      </c>
      <c r="J754" s="36" t="inlineStr">
        <is>
          <t>www.therabiologics.com</t>
        </is>
      </c>
      <c r="K754" s="37" t="inlineStr">
        <is>
          <t/>
        </is>
      </c>
      <c r="L754" s="38" t="inlineStr">
        <is>
          <t>+1 (626) 590-4481</t>
        </is>
      </c>
      <c r="M754" s="39" t="inlineStr">
        <is>
          <t>Tom Smart</t>
        </is>
      </c>
      <c r="N754" s="40" t="inlineStr">
        <is>
          <t>Interim Chief Executive Officer &amp; Chairman</t>
        </is>
      </c>
      <c r="O754" s="41" t="inlineStr">
        <is>
          <t>tsmart@therabiologics.com</t>
        </is>
      </c>
      <c r="P754" s="42" t="inlineStr">
        <is>
          <t>+1 (858) 228-6827</t>
        </is>
      </c>
      <c r="Q754" s="43" t="n">
        <v>2011.0</v>
      </c>
      <c r="R754" s="114">
        <f>HYPERLINK("https://my.pitchbook.com?c=103178-62", "View company online")</f>
      </c>
    </row>
    <row r="755">
      <c r="A755" s="9" t="inlineStr">
        <is>
          <t>90114-67</t>
        </is>
      </c>
      <c r="B755" s="10" t="inlineStr">
        <is>
          <t>Therabiol</t>
        </is>
      </c>
      <c r="C755" s="11" t="inlineStr">
        <is>
          <t>94107</t>
        </is>
      </c>
      <c r="D755" s="12" t="inlineStr">
        <is>
          <t>Developer of immunodeficiency virus therapies. The company develops safe and effective antibody therapies for the prevention, treatment and cure of HIV infection.</t>
        </is>
      </c>
      <c r="E755" s="13" t="inlineStr">
        <is>
          <t>Biotechnology</t>
        </is>
      </c>
      <c r="F755" s="14" t="inlineStr">
        <is>
          <t>San Francisco, CA</t>
        </is>
      </c>
      <c r="G755" s="15" t="inlineStr">
        <is>
          <t>Privately Held (backing)</t>
        </is>
      </c>
      <c r="H755" s="16" t="inlineStr">
        <is>
          <t>Accelerator/Incubator Backed</t>
        </is>
      </c>
      <c r="I755" s="17" t="inlineStr">
        <is>
          <t>BayBio FAST, California Institute for Quantitative Biosciences</t>
        </is>
      </c>
      <c r="J755" s="18" t="inlineStr">
        <is>
          <t>therabiol.com</t>
        </is>
      </c>
      <c r="K755" s="19" t="inlineStr">
        <is>
          <t>info@therabiol.com</t>
        </is>
      </c>
      <c r="L755" s="20" t="inlineStr">
        <is>
          <t>+1 (415) 600-1693</t>
        </is>
      </c>
      <c r="M755" s="21" t="inlineStr">
        <is>
          <t>Robert Pressley</t>
        </is>
      </c>
      <c r="N755" s="22" t="inlineStr">
        <is>
          <t>Chairman of the Board</t>
        </is>
      </c>
      <c r="O755" s="23" t="inlineStr">
        <is>
          <t>robert.pressley@therabiol.com</t>
        </is>
      </c>
      <c r="P755" s="24" t="inlineStr">
        <is>
          <t>+1 (415) 600-1693</t>
        </is>
      </c>
      <c r="Q755" s="25" t="n">
        <v>2012.0</v>
      </c>
      <c r="R755" s="113">
        <f>HYPERLINK("https://my.pitchbook.com?c=90114-67", "View company online")</f>
      </c>
    </row>
    <row r="756">
      <c r="A756" s="27" t="inlineStr">
        <is>
          <t>103178-53</t>
        </is>
      </c>
      <c r="B756" s="28" t="inlineStr">
        <is>
          <t>Theo</t>
        </is>
      </c>
      <c r="C756" s="29" t="inlineStr">
        <is>
          <t>94107</t>
        </is>
      </c>
      <c r="D756" s="30" t="inlineStr">
        <is>
          <t>Developer of an integrated mobile platform for real estate professionals. The company's software offers information regarding various real estate transactions and deals to real estate professionals and their clientele.</t>
        </is>
      </c>
      <c r="E756" s="31" t="inlineStr">
        <is>
          <t>Information Services (B2C)</t>
        </is>
      </c>
      <c r="F756" s="32" t="inlineStr">
        <is>
          <t>San Francisco, CA</t>
        </is>
      </c>
      <c r="G756" s="33" t="inlineStr">
        <is>
          <t>Privately Held (backing)</t>
        </is>
      </c>
      <c r="H756" s="34" t="inlineStr">
        <is>
          <t>Accelerator/Incubator Backed</t>
        </is>
      </c>
      <c r="I756" s="35" t="inlineStr">
        <is>
          <t>Founder Institute, RocketSpace</t>
        </is>
      </c>
      <c r="J756" s="36" t="inlineStr">
        <is>
          <t>www.mytheo.com</t>
        </is>
      </c>
      <c r="K756" s="37" t="inlineStr">
        <is>
          <t/>
        </is>
      </c>
      <c r="L756" s="38" t="inlineStr">
        <is>
          <t>+1 (888) 981-9709</t>
        </is>
      </c>
      <c r="M756" s="39" t="inlineStr">
        <is>
          <t>Gilbert Fleitas</t>
        </is>
      </c>
      <c r="N756" s="40" t="inlineStr">
        <is>
          <t>Co-Founder, President, Chief Executive Officer &amp; Board Member</t>
        </is>
      </c>
      <c r="O756" s="41" t="inlineStr">
        <is>
          <t>gil@mytheo.com</t>
        </is>
      </c>
      <c r="P756" s="42" t="inlineStr">
        <is>
          <t>+1 (415) 662-8436</t>
        </is>
      </c>
      <c r="Q756" s="43" t="n">
        <v>2010.0</v>
      </c>
      <c r="R756" s="114">
        <f>HYPERLINK("https://my.pitchbook.com?c=103178-53", "View company online")</f>
      </c>
    </row>
    <row r="757">
      <c r="A757" s="9" t="inlineStr">
        <is>
          <t>163506-07</t>
        </is>
      </c>
      <c r="B757" s="10" t="inlineStr">
        <is>
          <t>TheMetaverseChannel</t>
        </is>
      </c>
      <c r="C757" s="11" t="inlineStr">
        <is>
          <t>90038</t>
        </is>
      </c>
      <c r="D757" s="12" t="inlineStr">
        <is>
          <t>Provider of an interactive educational platform. The company's software uses virtual reality based technologies to create a virtual shared space for educating students.</t>
        </is>
      </c>
      <c r="E757" s="13" t="inlineStr">
        <is>
          <t>Social/Platform Software</t>
        </is>
      </c>
      <c r="F757" s="14" t="inlineStr">
        <is>
          <t>Los Angeles, CA</t>
        </is>
      </c>
      <c r="G757" s="15" t="inlineStr">
        <is>
          <t>Privately Held (backing)</t>
        </is>
      </c>
      <c r="H757" s="16" t="inlineStr">
        <is>
          <t>Accelerator/Incubator Backed</t>
        </is>
      </c>
      <c r="I757" s="17" t="inlineStr">
        <is>
          <t>Vive X Accelerator</t>
        </is>
      </c>
      <c r="J757" s="18" t="inlineStr">
        <is>
          <t>www.themetaversechannel.com</t>
        </is>
      </c>
      <c r="K757" s="19" t="inlineStr">
        <is>
          <t>sean@themetaversechannel.com</t>
        </is>
      </c>
      <c r="L757" s="20" t="inlineStr">
        <is>
          <t>+1 (310) 363-2078</t>
        </is>
      </c>
      <c r="M757" s="21" t="inlineStr">
        <is>
          <t>Sean McGinn</t>
        </is>
      </c>
      <c r="N757" s="22" t="inlineStr">
        <is>
          <t>Chief Marketing Officer</t>
        </is>
      </c>
      <c r="O757" s="23" t="inlineStr">
        <is>
          <t>sean@themetaversechannel.com</t>
        </is>
      </c>
      <c r="P757" s="24" t="inlineStr">
        <is>
          <t>+1 (310) 363-2078</t>
        </is>
      </c>
      <c r="Q757" s="25" t="inlineStr">
        <is>
          <t/>
        </is>
      </c>
      <c r="R757" s="113">
        <f>HYPERLINK("https://my.pitchbook.com?c=163506-07", "View company online")</f>
      </c>
    </row>
    <row r="758">
      <c r="A758" s="27" t="inlineStr">
        <is>
          <t>180358-39</t>
        </is>
      </c>
      <c r="B758" s="28" t="inlineStr">
        <is>
          <t>TheHintBox!</t>
        </is>
      </c>
      <c r="C758" s="86">
        <f>HYPERLINK("https://my.pitchbook.com?rrp=180358-39&amp;type=c", "This Company's information is not available to download. Need this Company? Request availability")</f>
      </c>
      <c r="D758" s="30" t="inlineStr">
        <is>
          <t/>
        </is>
      </c>
      <c r="E758" s="31" t="inlineStr">
        <is>
          <t/>
        </is>
      </c>
      <c r="F758" s="32" t="inlineStr">
        <is>
          <t/>
        </is>
      </c>
      <c r="G758" s="33" t="inlineStr">
        <is>
          <t/>
        </is>
      </c>
      <c r="H758" s="34" t="inlineStr">
        <is>
          <t/>
        </is>
      </c>
      <c r="I758" s="35" t="inlineStr">
        <is>
          <t/>
        </is>
      </c>
      <c r="J758" s="36" t="inlineStr">
        <is>
          <t/>
        </is>
      </c>
      <c r="K758" s="37" t="inlineStr">
        <is>
          <t/>
        </is>
      </c>
      <c r="L758" s="38" t="inlineStr">
        <is>
          <t/>
        </is>
      </c>
      <c r="M758" s="39" t="inlineStr">
        <is>
          <t/>
        </is>
      </c>
      <c r="N758" s="40" t="inlineStr">
        <is>
          <t/>
        </is>
      </c>
      <c r="O758" s="41" t="inlineStr">
        <is>
          <t/>
        </is>
      </c>
      <c r="P758" s="42" t="inlineStr">
        <is>
          <t/>
        </is>
      </c>
      <c r="Q758" s="43" t="inlineStr">
        <is>
          <t/>
        </is>
      </c>
      <c r="R758" s="44" t="inlineStr">
        <is>
          <t/>
        </is>
      </c>
    </row>
    <row r="759">
      <c r="A759" s="9" t="inlineStr">
        <is>
          <t>95197-51</t>
        </is>
      </c>
      <c r="B759" s="10" t="inlineStr">
        <is>
          <t>TheBankCloud</t>
        </is>
      </c>
      <c r="C759" s="11" t="inlineStr">
        <is>
          <t>94105</t>
        </is>
      </c>
      <c r="D759" s="12" t="inlineStr">
        <is>
          <t>Provider of a digital banking platform. The company provides a platform for financial institutions to deploy mobile technology for serving their customers.</t>
        </is>
      </c>
      <c r="E759" s="13" t="inlineStr">
        <is>
          <t>Other Information Technology</t>
        </is>
      </c>
      <c r="F759" s="14" t="inlineStr">
        <is>
          <t>San Francisco, CA</t>
        </is>
      </c>
      <c r="G759" s="15" t="inlineStr">
        <is>
          <t>Privately Held (backing)</t>
        </is>
      </c>
      <c r="H759" s="16" t="inlineStr">
        <is>
          <t>Accelerator/Incubator Backed</t>
        </is>
      </c>
      <c r="I759" s="17" t="inlineStr">
        <is>
          <t>Microsoft Accelerator</t>
        </is>
      </c>
      <c r="J759" s="18" t="inlineStr">
        <is>
          <t>www.thebankcloud.com</t>
        </is>
      </c>
      <c r="K759" s="19" t="inlineStr">
        <is>
          <t>info@thebankcloud.com</t>
        </is>
      </c>
      <c r="L759" s="20" t="inlineStr">
        <is>
          <t>+1 (925) 272-9065</t>
        </is>
      </c>
      <c r="M759" s="21" t="inlineStr">
        <is>
          <t/>
        </is>
      </c>
      <c r="N759" s="22" t="inlineStr">
        <is>
          <t/>
        </is>
      </c>
      <c r="O759" s="23" t="inlineStr">
        <is>
          <t/>
        </is>
      </c>
      <c r="P759" s="24" t="inlineStr">
        <is>
          <t/>
        </is>
      </c>
      <c r="Q759" s="25" t="n">
        <v>2013.0</v>
      </c>
      <c r="R759" s="113">
        <f>HYPERLINK("https://my.pitchbook.com?c=95197-51", "View company online")</f>
      </c>
    </row>
    <row r="760">
      <c r="A760" s="27" t="inlineStr">
        <is>
          <t>62424-91</t>
        </is>
      </c>
      <c r="B760" s="28" t="inlineStr">
        <is>
          <t>The Young Turks</t>
        </is>
      </c>
      <c r="C760" s="29" t="inlineStr">
        <is>
          <t>90048</t>
        </is>
      </c>
      <c r="D760" s="30" t="inlineStr">
        <is>
          <t>Operator of a multi platform network of an online video talk show. The company provides a network of online news shows covering politics, economics, pop culture, social trends and lifestyle.</t>
        </is>
      </c>
      <c r="E760" s="31" t="inlineStr">
        <is>
          <t>Broadcasting, Radio and Television</t>
        </is>
      </c>
      <c r="F760" s="32" t="inlineStr">
        <is>
          <t>Los Angeles, CA</t>
        </is>
      </c>
      <c r="G760" s="33" t="inlineStr">
        <is>
          <t>Privately Held (backing)</t>
        </is>
      </c>
      <c r="H760" s="34" t="inlineStr">
        <is>
          <t>Angel-Backed</t>
        </is>
      </c>
      <c r="I760" s="35" t="inlineStr">
        <is>
          <t>Roemer, Robinson, Melville and Co</t>
        </is>
      </c>
      <c r="J760" s="36" t="inlineStr">
        <is>
          <t>www.tytnetwork.com</t>
        </is>
      </c>
      <c r="K760" s="37" t="inlineStr">
        <is>
          <t/>
        </is>
      </c>
      <c r="L760" s="38" t="inlineStr">
        <is>
          <t/>
        </is>
      </c>
      <c r="M760" s="39" t="inlineStr">
        <is>
          <t>Cenk Uygur</t>
        </is>
      </c>
      <c r="N760" s="40" t="inlineStr">
        <is>
          <t>Chief Executive Officer &amp; Founder</t>
        </is>
      </c>
      <c r="O760" s="41" t="inlineStr">
        <is>
          <t>cenk@tytnetwork.com</t>
        </is>
      </c>
      <c r="P760" s="42" t="inlineStr">
        <is>
          <t/>
        </is>
      </c>
      <c r="Q760" s="43" t="n">
        <v>2002.0</v>
      </c>
      <c r="R760" s="114">
        <f>HYPERLINK("https://my.pitchbook.com?c=62424-91", "View company online")</f>
      </c>
    </row>
    <row r="761">
      <c r="A761" s="9" t="inlineStr">
        <is>
          <t>156501-28</t>
        </is>
      </c>
      <c r="B761" s="10" t="inlineStr">
        <is>
          <t>The Worldwide Exchange</t>
        </is>
      </c>
      <c r="C761" s="11" t="inlineStr">
        <is>
          <t>90292</t>
        </is>
      </c>
      <c r="D761" s="12" t="inlineStr">
        <is>
          <t>Developer of digital applications. The company offers Px2, a marketing tool to create video classified advertisements for businesses and individuals, and Cobo, a dating and chat-enabled mobile application.</t>
        </is>
      </c>
      <c r="E761" s="13" t="inlineStr">
        <is>
          <t>Information Services (B2C)</t>
        </is>
      </c>
      <c r="F761" s="14" t="inlineStr">
        <is>
          <t>Marina Del Rey, CA</t>
        </is>
      </c>
      <c r="G761" s="15" t="inlineStr">
        <is>
          <t>Privately Held (backing)</t>
        </is>
      </c>
      <c r="H761" s="16" t="inlineStr">
        <is>
          <t>Angel-Backed</t>
        </is>
      </c>
      <c r="I761" s="17" t="inlineStr">
        <is>
          <t/>
        </is>
      </c>
      <c r="J761" s="18" t="inlineStr">
        <is>
          <t>www.theworldwideexchange.com</t>
        </is>
      </c>
      <c r="K761" s="19" t="inlineStr">
        <is>
          <t>theworldwideexchange@msn.com</t>
        </is>
      </c>
      <c r="L761" s="20" t="inlineStr">
        <is>
          <t>+1 (424) 205-1898 x1</t>
        </is>
      </c>
      <c r="M761" s="21" t="inlineStr">
        <is>
          <t>Steven Butler</t>
        </is>
      </c>
      <c r="N761" s="22" t="inlineStr">
        <is>
          <t>Chief Executive Officer &amp; President</t>
        </is>
      </c>
      <c r="O761" s="23" t="inlineStr">
        <is>
          <t>stevenbutler@theworldwideexchange.com</t>
        </is>
      </c>
      <c r="P761" s="24" t="inlineStr">
        <is>
          <t>+1 (424) 205-1898 x1</t>
        </is>
      </c>
      <c r="Q761" s="25" t="n">
        <v>2008.0</v>
      </c>
      <c r="R761" s="113">
        <f>HYPERLINK("https://my.pitchbook.com?c=156501-28", "View company online")</f>
      </c>
    </row>
    <row r="762">
      <c r="A762" s="27" t="inlineStr">
        <is>
          <t>119961-82</t>
        </is>
      </c>
      <c r="B762" s="28" t="inlineStr">
        <is>
          <t>The Town Kitchen</t>
        </is>
      </c>
      <c r="C762" s="29" t="inlineStr">
        <is>
          <t>94609</t>
        </is>
      </c>
      <c r="D762" s="30" t="inlineStr">
        <is>
          <t>Developer of a food delivery application designed to deliver box meals and food. The company's food delivery application offers food preparation and delivery service which employs low-income youths to cook, package and deliver lunch boxes to companies and individuals, enabling people to get home made food.</t>
        </is>
      </c>
      <c r="E762" s="31" t="inlineStr">
        <is>
          <t>Food Products</t>
        </is>
      </c>
      <c r="F762" s="32" t="inlineStr">
        <is>
          <t>Oakland, CA</t>
        </is>
      </c>
      <c r="G762" s="33" t="inlineStr">
        <is>
          <t>Privately Held (backing)</t>
        </is>
      </c>
      <c r="H762" s="34" t="inlineStr">
        <is>
          <t>Accelerator/Incubator Backed</t>
        </is>
      </c>
      <c r="I762" s="35" t="inlineStr">
        <is>
          <t>Skydeck | Berkeley, Telecare, Tumml</t>
        </is>
      </c>
      <c r="J762" s="36" t="inlineStr">
        <is>
          <t>www.thetownkitchen.com</t>
        </is>
      </c>
      <c r="K762" s="37" t="inlineStr">
        <is>
          <t>hello@thetownkitchen.com</t>
        </is>
      </c>
      <c r="L762" s="38" t="inlineStr">
        <is>
          <t>+1 (510) 925-2561</t>
        </is>
      </c>
      <c r="M762" s="39" t="inlineStr">
        <is>
          <t>Sabrina Mutukisna</t>
        </is>
      </c>
      <c r="N762" s="40" t="inlineStr">
        <is>
          <t>Co-Founder, President, Board Member &amp; Chief Executive Officer</t>
        </is>
      </c>
      <c r="O762" s="41" t="inlineStr">
        <is>
          <t>sabrina@thetownkitchen.com</t>
        </is>
      </c>
      <c r="P762" s="42" t="inlineStr">
        <is>
          <t>+1 (510) 925-2561</t>
        </is>
      </c>
      <c r="Q762" s="43" t="n">
        <v>2014.0</v>
      </c>
      <c r="R762" s="114">
        <f>HYPERLINK("https://my.pitchbook.com?c=119961-82", "View company online")</f>
      </c>
    </row>
    <row r="763">
      <c r="A763" s="9" t="inlineStr">
        <is>
          <t>109002-25</t>
        </is>
      </c>
      <c r="B763" s="10" t="inlineStr">
        <is>
          <t>The Swatch Box</t>
        </is>
      </c>
      <c r="C763" s="11" t="inlineStr">
        <is>
          <t>90266</t>
        </is>
      </c>
      <c r="D763" s="12" t="inlineStr">
        <is>
          <t>Provider of a platform for residential interior designing. The company provides an online platform for residential interior designing where users can shop for their home, get it delivered and decide to keep it or not.</t>
        </is>
      </c>
      <c r="E763" s="13" t="inlineStr">
        <is>
          <t>Other Services (B2C Non-Financial)</t>
        </is>
      </c>
      <c r="F763" s="14" t="inlineStr">
        <is>
          <t>Manhattan Beach, CA</t>
        </is>
      </c>
      <c r="G763" s="15" t="inlineStr">
        <is>
          <t>Privately Held (backing)</t>
        </is>
      </c>
      <c r="H763" s="16" t="inlineStr">
        <is>
          <t>Angel-Backed</t>
        </is>
      </c>
      <c r="I763" s="17" t="inlineStr">
        <is>
          <t/>
        </is>
      </c>
      <c r="J763" s="18" t="inlineStr">
        <is>
          <t>www.theswatchbox.com</t>
        </is>
      </c>
      <c r="K763" s="19" t="inlineStr">
        <is>
          <t/>
        </is>
      </c>
      <c r="L763" s="20" t="inlineStr">
        <is>
          <t>+1 (312) 560-1005</t>
        </is>
      </c>
      <c r="M763" s="21" t="inlineStr">
        <is>
          <t>Ryan Moore</t>
        </is>
      </c>
      <c r="N763" s="22" t="inlineStr">
        <is>
          <t>Co-Founder &amp; Chief Executive Officer</t>
        </is>
      </c>
      <c r="O763" s="23" t="inlineStr">
        <is>
          <t/>
        </is>
      </c>
      <c r="P763" s="24" t="inlineStr">
        <is>
          <t>+1 (312) 560-1005</t>
        </is>
      </c>
      <c r="Q763" s="25" t="n">
        <v>2014.0</v>
      </c>
      <c r="R763" s="113">
        <f>HYPERLINK("https://my.pitchbook.com?c=109002-25", "View company online")</f>
      </c>
    </row>
    <row r="764">
      <c r="A764" s="27" t="inlineStr">
        <is>
          <t>54885-07</t>
        </is>
      </c>
      <c r="B764" s="28" t="inlineStr">
        <is>
          <t>The Style Club</t>
        </is>
      </c>
      <c r="C764" s="29" t="inlineStr">
        <is>
          <t/>
        </is>
      </c>
      <c r="D764" s="30" t="inlineStr">
        <is>
          <t>Provider of social networking platform for online fashion. The company provides a friendly experience where one can shop online with their friends.</t>
        </is>
      </c>
      <c r="E764" s="31" t="inlineStr">
        <is>
          <t>Internet Retail</t>
        </is>
      </c>
      <c r="F764" s="32" t="inlineStr">
        <is>
          <t>Los Angeles, CA</t>
        </is>
      </c>
      <c r="G764" s="33" t="inlineStr">
        <is>
          <t>Privately Held (backing)</t>
        </is>
      </c>
      <c r="H764" s="34" t="inlineStr">
        <is>
          <t>Accelerator/Incubator Backed</t>
        </is>
      </c>
      <c r="I764" s="35" t="inlineStr">
        <is>
          <t>StartEngine.com</t>
        </is>
      </c>
      <c r="J764" s="36" t="inlineStr">
        <is>
          <t>www.thestyleclub.com</t>
        </is>
      </c>
      <c r="K764" s="37" t="inlineStr">
        <is>
          <t/>
        </is>
      </c>
      <c r="L764" s="38" t="inlineStr">
        <is>
          <t/>
        </is>
      </c>
      <c r="M764" s="39" t="inlineStr">
        <is>
          <t>Hilary Novelle</t>
        </is>
      </c>
      <c r="N764" s="40" t="inlineStr">
        <is>
          <t>Co-Founder &amp; Chief Executive Officer</t>
        </is>
      </c>
      <c r="O764" s="41" t="inlineStr">
        <is>
          <t>hilary@thestyleclub.com</t>
        </is>
      </c>
      <c r="P764" s="42" t="inlineStr">
        <is>
          <t/>
        </is>
      </c>
      <c r="Q764" s="43" t="n">
        <v>2012.0</v>
      </c>
      <c r="R764" s="114">
        <f>HYPERLINK("https://my.pitchbook.com?c=54885-07", "View company online")</f>
      </c>
    </row>
    <row r="765">
      <c r="A765" s="9" t="inlineStr">
        <is>
          <t>112510-90</t>
        </is>
      </c>
      <c r="B765" s="10" t="inlineStr">
        <is>
          <t>The Story of Stuff Project</t>
        </is>
      </c>
      <c r="C765" s="11" t="inlineStr">
        <is>
          <t>94709</t>
        </is>
      </c>
      <c r="D765" s="12" t="inlineStr">
        <is>
          <t>Provider of online movies. The company provides educational resources to teachers, people of faith, and business and community leaders; and support the learning and collective action of 500,000 members of the Story of Stuff community.</t>
        </is>
      </c>
      <c r="E765" s="13" t="inlineStr">
        <is>
          <t>Movies, Music and Entertainment</t>
        </is>
      </c>
      <c r="F765" s="14" t="inlineStr">
        <is>
          <t>Berkeley, CA</t>
        </is>
      </c>
      <c r="G765" s="15" t="inlineStr">
        <is>
          <t>Privately Held (backing)</t>
        </is>
      </c>
      <c r="H765" s="16" t="inlineStr">
        <is>
          <t>Angel-Backed</t>
        </is>
      </c>
      <c r="I765" s="17" t="inlineStr">
        <is>
          <t>New Media Ventures</t>
        </is>
      </c>
      <c r="J765" s="18" t="inlineStr">
        <is>
          <t>www.storyofstuff.org</t>
        </is>
      </c>
      <c r="K765" s="19" t="inlineStr">
        <is>
          <t>info@storyofstuff.org</t>
        </is>
      </c>
      <c r="L765" s="20" t="inlineStr">
        <is>
          <t>+1 (510) 883-1055</t>
        </is>
      </c>
      <c r="M765" s="21" t="inlineStr">
        <is>
          <t>Annie Leonard</t>
        </is>
      </c>
      <c r="N765" s="22" t="inlineStr">
        <is>
          <t>Founder &amp; Board Member</t>
        </is>
      </c>
      <c r="O765" s="23" t="inlineStr">
        <is>
          <t>annie@storyofstuff.org</t>
        </is>
      </c>
      <c r="P765" s="24" t="inlineStr">
        <is>
          <t>+1 (510) 883-1055</t>
        </is>
      </c>
      <c r="Q765" s="25" t="n">
        <v>2008.0</v>
      </c>
      <c r="R765" s="113">
        <f>HYPERLINK("https://my.pitchbook.com?c=112510-90", "View company online")</f>
      </c>
    </row>
    <row r="766">
      <c r="A766" s="27" t="inlineStr">
        <is>
          <t>102654-28</t>
        </is>
      </c>
      <c r="B766" s="28" t="inlineStr">
        <is>
          <t>The Sports Skinny</t>
        </is>
      </c>
      <c r="C766" s="29" t="inlineStr">
        <is>
          <t/>
        </is>
      </c>
      <c r="D766" s="30" t="inlineStr">
        <is>
          <t>Developer of a a daily email newsletter. The company delivers the news in a daily e-mail newsletter so that people can stay up to date with the top stories in sports and can participate in the conversation.</t>
        </is>
      </c>
      <c r="E766" s="31" t="inlineStr">
        <is>
          <t>Publishing</t>
        </is>
      </c>
      <c r="F766" s="32" t="inlineStr">
        <is>
          <t>Los Angeles, CA</t>
        </is>
      </c>
      <c r="G766" s="33" t="inlineStr">
        <is>
          <t>Privately Held (backing)</t>
        </is>
      </c>
      <c r="H766" s="34" t="inlineStr">
        <is>
          <t>Angel-Backed</t>
        </is>
      </c>
      <c r="I766" s="35" t="inlineStr">
        <is>
          <t/>
        </is>
      </c>
      <c r="J766" s="36" t="inlineStr">
        <is>
          <t>www.thesportsskinny.com</t>
        </is>
      </c>
      <c r="K766" s="37" t="inlineStr">
        <is>
          <t>info@thesportsskinny.com</t>
        </is>
      </c>
      <c r="L766" s="38" t="inlineStr">
        <is>
          <t/>
        </is>
      </c>
      <c r="M766" s="39" t="inlineStr">
        <is>
          <t>Madelyn Burke</t>
        </is>
      </c>
      <c r="N766" s="40" t="inlineStr">
        <is>
          <t>Co-Founder &amp; Editor In Chief</t>
        </is>
      </c>
      <c r="O766" s="41" t="inlineStr">
        <is>
          <t/>
        </is>
      </c>
      <c r="P766" s="42" t="inlineStr">
        <is>
          <t/>
        </is>
      </c>
      <c r="Q766" s="43" t="n">
        <v>2014.0</v>
      </c>
      <c r="R766" s="114">
        <f>HYPERLINK("https://my.pitchbook.com?c=102654-28", "View company online")</f>
      </c>
    </row>
    <row r="767">
      <c r="A767" s="9" t="inlineStr">
        <is>
          <t>115537-15</t>
        </is>
      </c>
      <c r="B767" s="10" t="inlineStr">
        <is>
          <t>The Smooth Company</t>
        </is>
      </c>
      <c r="C767" s="11" t="inlineStr">
        <is>
          <t/>
        </is>
      </c>
      <c r="D767" s="12" t="inlineStr">
        <is>
          <t>Manufacturer of health drinks. The company manufactures protein drink made up of oat meal in different flavors such as vanilla and chocolate.</t>
        </is>
      </c>
      <c r="E767" s="13" t="inlineStr">
        <is>
          <t>Beverages</t>
        </is>
      </c>
      <c r="F767" s="14" t="inlineStr">
        <is>
          <t>Santa Monica, CA</t>
        </is>
      </c>
      <c r="G767" s="15" t="inlineStr">
        <is>
          <t>Privately Held (backing)</t>
        </is>
      </c>
      <c r="H767" s="16" t="inlineStr">
        <is>
          <t>Angel-Backed</t>
        </is>
      </c>
      <c r="I767" s="17" t="inlineStr">
        <is>
          <t>Morris Paulson</t>
        </is>
      </c>
      <c r="J767" s="18" t="inlineStr">
        <is>
          <t>www.smoothcompany.com</t>
        </is>
      </c>
      <c r="K767" s="19" t="inlineStr">
        <is>
          <t>info@smoothcompany.com</t>
        </is>
      </c>
      <c r="L767" s="20" t="inlineStr">
        <is>
          <t/>
        </is>
      </c>
      <c r="M767" s="21" t="inlineStr">
        <is>
          <t>Helena Lumme</t>
        </is>
      </c>
      <c r="N767" s="22" t="inlineStr">
        <is>
          <t>Co-Founder</t>
        </is>
      </c>
      <c r="O767" s="23" t="inlineStr">
        <is>
          <t>helena.lumme@smoothcompany.com</t>
        </is>
      </c>
      <c r="P767" s="24" t="inlineStr">
        <is>
          <t/>
        </is>
      </c>
      <c r="Q767" s="25" t="n">
        <v>2015.0</v>
      </c>
      <c r="R767" s="113">
        <f>HYPERLINK("https://my.pitchbook.com?c=115537-15", "View company online")</f>
      </c>
    </row>
    <row r="768">
      <c r="A768" s="27" t="inlineStr">
        <is>
          <t>179457-76</t>
        </is>
      </c>
      <c r="B768" s="28" t="inlineStr">
        <is>
          <t>The Shade Room</t>
        </is>
      </c>
      <c r="C768" s="29" t="inlineStr">
        <is>
          <t>90009</t>
        </is>
      </c>
      <c r="D768" s="30" t="inlineStr">
        <is>
          <t>Provider on an online celebrity and fashion blogging platform designed to provide news regarding celebrities and fashion. The company's online celebrity and fashion blogging platform is designed to provide news relating to trending topics in the world of fashion and entertainment, celebrities and sports, enabling users to stay connected and receive news on trending subjects from the world of fashion and entertainment. It also sells caps, hats and other accessories via its website.</t>
        </is>
      </c>
      <c r="E768" s="31" t="inlineStr">
        <is>
          <t>Information Services (B2C)</t>
        </is>
      </c>
      <c r="F768" s="32" t="inlineStr">
        <is>
          <t>Los Angeles, CA</t>
        </is>
      </c>
      <c r="G768" s="33" t="inlineStr">
        <is>
          <t>Privately Held (backing)</t>
        </is>
      </c>
      <c r="H768" s="34" t="inlineStr">
        <is>
          <t>Accelerator/Incubator Backed</t>
        </is>
      </c>
      <c r="I768" s="35" t="inlineStr">
        <is>
          <t>INDIE DOT VC</t>
        </is>
      </c>
      <c r="J768" s="36" t="inlineStr">
        <is>
          <t>www.theshaderoom.com</t>
        </is>
      </c>
      <c r="K768" s="37" t="inlineStr">
        <is>
          <t>info@theshaderoom.com</t>
        </is>
      </c>
      <c r="L768" s="38" t="inlineStr">
        <is>
          <t/>
        </is>
      </c>
      <c r="M768" s="39" t="inlineStr">
        <is>
          <t>Angelica Nwandu</t>
        </is>
      </c>
      <c r="N768" s="40" t="inlineStr">
        <is>
          <t>Founder &amp; Chief Executive Officer</t>
        </is>
      </c>
      <c r="O768" s="41" t="inlineStr">
        <is>
          <t>angelica@theshaderoom.com</t>
        </is>
      </c>
      <c r="P768" s="42" t="inlineStr">
        <is>
          <t/>
        </is>
      </c>
      <c r="Q768" s="43" t="n">
        <v>2014.0</v>
      </c>
      <c r="R768" s="114">
        <f>HYPERLINK("https://my.pitchbook.com?c=179457-76", "View company online")</f>
      </c>
    </row>
    <row r="769">
      <c r="A769" s="9" t="inlineStr">
        <is>
          <t>161644-78</t>
        </is>
      </c>
      <c r="B769" s="10" t="inlineStr">
        <is>
          <t>The Rocket Fizz Soda Pop and Candy Shops</t>
        </is>
      </c>
      <c r="C769" s="11" t="inlineStr">
        <is>
          <t>93011</t>
        </is>
      </c>
      <c r="D769" s="12" t="inlineStr">
        <is>
          <t>Operator of a soda and candy shop franchise. The company operates stores, online portals and franchise shops offering different flavored soda and candies.</t>
        </is>
      </c>
      <c r="E769" s="13" t="inlineStr">
        <is>
          <t>Other Retail</t>
        </is>
      </c>
      <c r="F769" s="14" t="inlineStr">
        <is>
          <t>Camarillo, CA</t>
        </is>
      </c>
      <c r="G769" s="15" t="inlineStr">
        <is>
          <t>Privately Held (backing)</t>
        </is>
      </c>
      <c r="H769" s="16" t="inlineStr">
        <is>
          <t>Angel-Backed</t>
        </is>
      </c>
      <c r="I769" s="17" t="inlineStr">
        <is>
          <t>Michael Santullo</t>
        </is>
      </c>
      <c r="J769" s="18" t="inlineStr">
        <is>
          <t>www.rocketfizz.com</t>
        </is>
      </c>
      <c r="K769" s="19" t="inlineStr">
        <is>
          <t>info@rocketfizz.com</t>
        </is>
      </c>
      <c r="L769" s="20" t="inlineStr">
        <is>
          <t>+1 (805) 987-7632</t>
        </is>
      </c>
      <c r="M769" s="21" t="inlineStr">
        <is>
          <t>Rich Shane</t>
        </is>
      </c>
      <c r="N769" s="22" t="inlineStr">
        <is>
          <t>Co-Chief Executive Officer</t>
        </is>
      </c>
      <c r="O769" s="23" t="inlineStr">
        <is>
          <t>rich@rocketfizz.com</t>
        </is>
      </c>
      <c r="P769" s="24" t="inlineStr">
        <is>
          <t>+1 (805) 987-7632</t>
        </is>
      </c>
      <c r="Q769" s="25" t="n">
        <v>2007.0</v>
      </c>
      <c r="R769" s="113">
        <f>HYPERLINK("https://my.pitchbook.com?c=161644-78", "View company online")</f>
      </c>
    </row>
    <row r="770">
      <c r="A770" s="27" t="inlineStr">
        <is>
          <t>118806-67</t>
        </is>
      </c>
      <c r="B770" s="28" t="inlineStr">
        <is>
          <t>The Reliant Group</t>
        </is>
      </c>
      <c r="C770" s="29" t="inlineStr">
        <is>
          <t>94111</t>
        </is>
      </c>
      <c r="D770" s="30" t="inlineStr">
        <is>
          <t>Owner and operator of a real estate company. The company offers real estate services such as spanning tax-exempt bonds, low income housing tax credits, structured finance, construction, rehabilitation, asset management and other social services.</t>
        </is>
      </c>
      <c r="E770" s="31" t="inlineStr">
        <is>
          <t>Real Estate Services (B2C)</t>
        </is>
      </c>
      <c r="F770" s="32" t="inlineStr">
        <is>
          <t>San Francisco, CA</t>
        </is>
      </c>
      <c r="G770" s="33" t="inlineStr">
        <is>
          <t>Privately Held (backing)</t>
        </is>
      </c>
      <c r="H770" s="34" t="inlineStr">
        <is>
          <t>Angel-Backed</t>
        </is>
      </c>
      <c r="I770" s="35" t="inlineStr">
        <is>
          <t>Barry Gilbert, Keiretsu Forum, Pete Barovich</t>
        </is>
      </c>
      <c r="J770" s="36" t="inlineStr">
        <is>
          <t>www.reliantgroup.com</t>
        </is>
      </c>
      <c r="K770" s="37" t="inlineStr">
        <is>
          <t>info@reliantgroup.com</t>
        </is>
      </c>
      <c r="L770" s="38" t="inlineStr">
        <is>
          <t>+1 (415) 788-0700</t>
        </is>
      </c>
      <c r="M770" s="39" t="inlineStr">
        <is>
          <t>Joseph Sherman</t>
        </is>
      </c>
      <c r="N770" s="40" t="inlineStr">
        <is>
          <t>Co-Founder, Principal &amp; President</t>
        </is>
      </c>
      <c r="O770" s="41" t="inlineStr">
        <is>
          <t>jsherman@reliantgroup.com</t>
        </is>
      </c>
      <c r="P770" s="42" t="inlineStr">
        <is>
          <t>+1 (415) 788-0700</t>
        </is>
      </c>
      <c r="Q770" s="43" t="n">
        <v>1992.0</v>
      </c>
      <c r="R770" s="114">
        <f>HYPERLINK("https://my.pitchbook.com?c=118806-67", "View company online")</f>
      </c>
    </row>
    <row r="771">
      <c r="A771" s="9" t="inlineStr">
        <is>
          <t>92710-18</t>
        </is>
      </c>
      <c r="B771" s="10" t="inlineStr">
        <is>
          <t>The Political Student</t>
        </is>
      </c>
      <c r="C771" s="11" t="inlineStr">
        <is>
          <t/>
        </is>
      </c>
      <c r="D771" s="12" t="inlineStr">
        <is>
          <t>Developer of a news and opinion website. The company develops and maintains news and opinion website to create a product that will keep users across the nation abreast of the latest developments in politics and current events.</t>
        </is>
      </c>
      <c r="E771" s="13" t="inlineStr">
        <is>
          <t>Media and Information Services (B2B)</t>
        </is>
      </c>
      <c r="F771" s="14" t="inlineStr">
        <is>
          <t>Saratoga, CA</t>
        </is>
      </c>
      <c r="G771" s="15" t="inlineStr">
        <is>
          <t>Privately Held (backing)</t>
        </is>
      </c>
      <c r="H771" s="16" t="inlineStr">
        <is>
          <t>Angel-Backed</t>
        </is>
      </c>
      <c r="I771" s="17" t="inlineStr">
        <is>
          <t/>
        </is>
      </c>
      <c r="J771" s="18" t="inlineStr">
        <is>
          <t>www.thepoliticalstudent.com</t>
        </is>
      </c>
      <c r="K771" s="19" t="inlineStr">
        <is>
          <t/>
        </is>
      </c>
      <c r="L771" s="20" t="inlineStr">
        <is>
          <t/>
        </is>
      </c>
      <c r="M771" s="21" t="inlineStr">
        <is>
          <t>Shahab Moghadam</t>
        </is>
      </c>
      <c r="N771" s="22" t="inlineStr">
        <is>
          <t>Co-Founder &amp; Chief Executive Officer</t>
        </is>
      </c>
      <c r="O771" s="23" t="inlineStr">
        <is>
          <t>smoghadam@thepoliticalstudent.com</t>
        </is>
      </c>
      <c r="P771" s="24" t="inlineStr">
        <is>
          <t/>
        </is>
      </c>
      <c r="Q771" s="25" t="n">
        <v>2012.0</v>
      </c>
      <c r="R771" s="113">
        <f>HYPERLINK("https://my.pitchbook.com?c=92710-18", "View company online")</f>
      </c>
    </row>
    <row r="772">
      <c r="A772" s="27" t="inlineStr">
        <is>
          <t>176725-54</t>
        </is>
      </c>
      <c r="B772" s="28" t="inlineStr">
        <is>
          <t>The Players Guide</t>
        </is>
      </c>
      <c r="C772" s="86">
        <f>HYPERLINK("https://my.pitchbook.com?rrp=176725-54&amp;type=c", "This Company's information is not available to download. Need this Company? Request availability")</f>
      </c>
      <c r="D772" s="30" t="inlineStr">
        <is>
          <t/>
        </is>
      </c>
      <c r="E772" s="31" t="inlineStr">
        <is>
          <t/>
        </is>
      </c>
      <c r="F772" s="32" t="inlineStr">
        <is>
          <t/>
        </is>
      </c>
      <c r="G772" s="33" t="inlineStr">
        <is>
          <t/>
        </is>
      </c>
      <c r="H772" s="34" t="inlineStr">
        <is>
          <t/>
        </is>
      </c>
      <c r="I772" s="35" t="inlineStr">
        <is>
          <t/>
        </is>
      </c>
      <c r="J772" s="36" t="inlineStr">
        <is>
          <t/>
        </is>
      </c>
      <c r="K772" s="37" t="inlineStr">
        <is>
          <t/>
        </is>
      </c>
      <c r="L772" s="38" t="inlineStr">
        <is>
          <t/>
        </is>
      </c>
      <c r="M772" s="39" t="inlineStr">
        <is>
          <t/>
        </is>
      </c>
      <c r="N772" s="40" t="inlineStr">
        <is>
          <t/>
        </is>
      </c>
      <c r="O772" s="41" t="inlineStr">
        <is>
          <t/>
        </is>
      </c>
      <c r="P772" s="42" t="inlineStr">
        <is>
          <t/>
        </is>
      </c>
      <c r="Q772" s="43" t="inlineStr">
        <is>
          <t/>
        </is>
      </c>
      <c r="R772" s="44" t="inlineStr">
        <is>
          <t/>
        </is>
      </c>
    </row>
    <row r="773">
      <c r="A773" s="9" t="inlineStr">
        <is>
          <t>102557-26</t>
        </is>
      </c>
      <c r="B773" s="10" t="inlineStr">
        <is>
          <t>The Planetary Society</t>
        </is>
      </c>
      <c r="C773" s="11" t="inlineStr">
        <is>
          <t>91101</t>
        </is>
      </c>
      <c r="D773" s="12" t="inlineStr">
        <is>
          <t>Provider of a platform for space science and exploration technology and knowledge. The company provides a platform which helps users to develop space technology knowledge, guidance for future space policy and space science and exploration knowledge.</t>
        </is>
      </c>
      <c r="E773" s="13" t="inlineStr">
        <is>
          <t>Other Commercial Services</t>
        </is>
      </c>
      <c r="F773" s="14" t="inlineStr">
        <is>
          <t>Pasadena, CA</t>
        </is>
      </c>
      <c r="G773" s="15" t="inlineStr">
        <is>
          <t>Privately Held (backing)</t>
        </is>
      </c>
      <c r="H773" s="16" t="inlineStr">
        <is>
          <t>Angel-Backed</t>
        </is>
      </c>
      <c r="I773" s="17" t="inlineStr">
        <is>
          <t/>
        </is>
      </c>
      <c r="J773" s="18" t="inlineStr">
        <is>
          <t>www.planetary.org</t>
        </is>
      </c>
      <c r="K773" s="19" t="inlineStr">
        <is>
          <t>tps@planetary.org</t>
        </is>
      </c>
      <c r="L773" s="20" t="inlineStr">
        <is>
          <t>+1 (626) 793-5100</t>
        </is>
      </c>
      <c r="M773" s="21" t="inlineStr">
        <is>
          <t>Lu Coffing</t>
        </is>
      </c>
      <c r="N773" s="22" t="inlineStr">
        <is>
          <t>Chief Financial Officer</t>
        </is>
      </c>
      <c r="O773" s="23" t="inlineStr">
        <is>
          <t>lul@planetary.org</t>
        </is>
      </c>
      <c r="P773" s="24" t="inlineStr">
        <is>
          <t>+1 (626) 793-5100</t>
        </is>
      </c>
      <c r="Q773" s="25" t="n">
        <v>1980.0</v>
      </c>
      <c r="R773" s="113">
        <f>HYPERLINK("https://my.pitchbook.com?c=102557-26", "View company online")</f>
      </c>
    </row>
    <row r="774">
      <c r="A774" s="27" t="inlineStr">
        <is>
          <t>115479-82</t>
        </is>
      </c>
      <c r="B774" s="28" t="inlineStr">
        <is>
          <t>The Pill Club</t>
        </is>
      </c>
      <c r="C774" s="29" t="inlineStr">
        <is>
          <t>94062</t>
        </is>
      </c>
      <c r="D774" s="30" t="inlineStr">
        <is>
          <t>Developer of a mobile application software for medicine delivery. The company designs a mobile application for delivering medicines at users door steps and allows them to manage and refill their prescriptions. It also provides information about birth control, emergency contraception and other related issues.</t>
        </is>
      </c>
      <c r="E774" s="31" t="inlineStr">
        <is>
          <t>Other Healthcare</t>
        </is>
      </c>
      <c r="F774" s="32" t="inlineStr">
        <is>
          <t>Redwood City, CA</t>
        </is>
      </c>
      <c r="G774" s="33" t="inlineStr">
        <is>
          <t>Privately Held (backing)</t>
        </is>
      </c>
      <c r="H774" s="34" t="inlineStr">
        <is>
          <t>Accelerator/Incubator Backed</t>
        </is>
      </c>
      <c r="I774" s="35" t="inlineStr">
        <is>
          <t>500 Startups, StartX</t>
        </is>
      </c>
      <c r="J774" s="36" t="inlineStr">
        <is>
          <t>www.thepillclub.com</t>
        </is>
      </c>
      <c r="K774" s="37" t="inlineStr">
        <is>
          <t/>
        </is>
      </c>
      <c r="L774" s="38" t="inlineStr">
        <is>
          <t>+1 (772) 217-4557</t>
        </is>
      </c>
      <c r="M774" s="39" t="inlineStr">
        <is>
          <t>Nicholas Chang</t>
        </is>
      </c>
      <c r="N774" s="40" t="inlineStr">
        <is>
          <t>Co-Founder, Board Member &amp; Chief Executive Officer</t>
        </is>
      </c>
      <c r="O774" s="41" t="inlineStr">
        <is>
          <t>nick@thepillclub.com</t>
        </is>
      </c>
      <c r="P774" s="42" t="inlineStr">
        <is>
          <t>+1 (772) 217-4557</t>
        </is>
      </c>
      <c r="Q774" s="43" t="n">
        <v>2014.0</v>
      </c>
      <c r="R774" s="114">
        <f>HYPERLINK("https://my.pitchbook.com?c=115479-82", "View company online")</f>
      </c>
    </row>
    <row r="775">
      <c r="A775" s="9" t="inlineStr">
        <is>
          <t>165984-49</t>
        </is>
      </c>
      <c r="B775" s="10" t="inlineStr">
        <is>
          <t>The Peak Beyond</t>
        </is>
      </c>
      <c r="C775" s="11" t="inlineStr">
        <is>
          <t>94901</t>
        </is>
      </c>
      <c r="D775" s="12" t="inlineStr">
        <is>
          <t>Manufacturer of interactive smart tables for cannabis retail spaces. The company designs and manufactures a digitized smart table that helps businesses to market and advertise their products by interacting with customers via a pre-installed point of sale system for lead generation.</t>
        </is>
      </c>
      <c r="E775" s="13" t="inlineStr">
        <is>
          <t>Other Commercial Products</t>
        </is>
      </c>
      <c r="F775" s="14" t="inlineStr">
        <is>
          <t>San Rafael, CA</t>
        </is>
      </c>
      <c r="G775" s="15" t="inlineStr">
        <is>
          <t>Privately Held (backing)</t>
        </is>
      </c>
      <c r="H775" s="16" t="inlineStr">
        <is>
          <t>Accelerator/Incubator Backed</t>
        </is>
      </c>
      <c r="I775" s="17" t="inlineStr">
        <is>
          <t>CanopyBoulder</t>
        </is>
      </c>
      <c r="J775" s="18" t="inlineStr">
        <is>
          <t>www.thepeakbeyond.com</t>
        </is>
      </c>
      <c r="K775" s="19" t="inlineStr">
        <is>
          <t>info@thepeakbeyond.com</t>
        </is>
      </c>
      <c r="L775" s="20" t="inlineStr">
        <is>
          <t>+1 (415) 579-1609</t>
        </is>
      </c>
      <c r="M775" s="21" t="inlineStr">
        <is>
          <t>Jeffery LaPenna</t>
        </is>
      </c>
      <c r="N775" s="22" t="inlineStr">
        <is>
          <t>Co-Founder &amp; Chief Executive Officer</t>
        </is>
      </c>
      <c r="O775" s="23" t="inlineStr">
        <is>
          <t>jeff@thepeakbeyond.com</t>
        </is>
      </c>
      <c r="P775" s="24" t="inlineStr">
        <is>
          <t>+1 (415) 579-1609</t>
        </is>
      </c>
      <c r="Q775" s="25" t="n">
        <v>2016.0</v>
      </c>
      <c r="R775" s="113">
        <f>HYPERLINK("https://my.pitchbook.com?c=165984-49", "View company online")</f>
      </c>
    </row>
    <row r="776">
      <c r="A776" s="27" t="inlineStr">
        <is>
          <t>94165-66</t>
        </is>
      </c>
      <c r="B776" s="28" t="inlineStr">
        <is>
          <t>The Party Network</t>
        </is>
      </c>
      <c r="C776" s="29" t="inlineStr">
        <is>
          <t>95110</t>
        </is>
      </c>
      <c r="D776" s="30" t="inlineStr">
        <is>
          <t>Developer of a social search platform for event planning. The company designs and builds a localized search platform for wedding, event and party planning.</t>
        </is>
      </c>
      <c r="E776" s="31" t="inlineStr">
        <is>
          <t>Social/Platform Software</t>
        </is>
      </c>
      <c r="F776" s="32" t="inlineStr">
        <is>
          <t>San Jose, CA</t>
        </is>
      </c>
      <c r="G776" s="33" t="inlineStr">
        <is>
          <t>Privately Held (backing)</t>
        </is>
      </c>
      <c r="H776" s="34" t="inlineStr">
        <is>
          <t>Angel-Backed</t>
        </is>
      </c>
      <c r="I776" s="35" t="inlineStr">
        <is>
          <t/>
        </is>
      </c>
      <c r="J776" s="36" t="inlineStr">
        <is>
          <t>www.theparty.net</t>
        </is>
      </c>
      <c r="K776" s="37" t="inlineStr">
        <is>
          <t>contact@theparty.net</t>
        </is>
      </c>
      <c r="L776" s="38" t="inlineStr">
        <is>
          <t/>
        </is>
      </c>
      <c r="M776" s="39" t="inlineStr">
        <is>
          <t>Richard Rudometkin</t>
        </is>
      </c>
      <c r="N776" s="40" t="inlineStr">
        <is>
          <t>Co-Founder</t>
        </is>
      </c>
      <c r="O776" s="41" t="inlineStr">
        <is>
          <t>richard@theparty.net</t>
        </is>
      </c>
      <c r="P776" s="42" t="inlineStr">
        <is>
          <t/>
        </is>
      </c>
      <c r="Q776" s="43" t="inlineStr">
        <is>
          <t/>
        </is>
      </c>
      <c r="R776" s="114">
        <f>HYPERLINK("https://my.pitchbook.com?c=94165-66", "View company online")</f>
      </c>
    </row>
    <row r="777">
      <c r="A777" s="9" t="inlineStr">
        <is>
          <t>172135-00</t>
        </is>
      </c>
      <c r="B777" s="10" t="inlineStr">
        <is>
          <t>The ODIN</t>
        </is>
      </c>
      <c r="C777" s="85">
        <f>HYPERLINK("https://my.pitchbook.com?rrp=172135-00&amp;type=c", "This Company's information is not available to download. Need this Company? Request availability")</f>
      </c>
      <c r="D777" s="12" t="inlineStr">
        <is>
          <t/>
        </is>
      </c>
      <c r="E777" s="13" t="inlineStr">
        <is>
          <t/>
        </is>
      </c>
      <c r="F777" s="14" t="inlineStr">
        <is>
          <t/>
        </is>
      </c>
      <c r="G777" s="15" t="inlineStr">
        <is>
          <t/>
        </is>
      </c>
      <c r="H777" s="16" t="inlineStr">
        <is>
          <t/>
        </is>
      </c>
      <c r="I777" s="17" t="inlineStr">
        <is>
          <t/>
        </is>
      </c>
      <c r="J777" s="18" t="inlineStr">
        <is>
          <t/>
        </is>
      </c>
      <c r="K777" s="19" t="inlineStr">
        <is>
          <t/>
        </is>
      </c>
      <c r="L777" s="20" t="inlineStr">
        <is>
          <t/>
        </is>
      </c>
      <c r="M777" s="21" t="inlineStr">
        <is>
          <t/>
        </is>
      </c>
      <c r="N777" s="22" t="inlineStr">
        <is>
          <t/>
        </is>
      </c>
      <c r="O777" s="23" t="inlineStr">
        <is>
          <t/>
        </is>
      </c>
      <c r="P777" s="24" t="inlineStr">
        <is>
          <t/>
        </is>
      </c>
      <c r="Q777" s="25" t="inlineStr">
        <is>
          <t/>
        </is>
      </c>
      <c r="R777" s="26" t="inlineStr">
        <is>
          <t/>
        </is>
      </c>
    </row>
    <row r="778">
      <c r="A778" s="27" t="inlineStr">
        <is>
          <t>167726-62</t>
        </is>
      </c>
      <c r="B778" s="28" t="inlineStr">
        <is>
          <t>The Nectar Company</t>
        </is>
      </c>
      <c r="C778" s="29" t="inlineStr">
        <is>
          <t>08015</t>
        </is>
      </c>
      <c r="D778" s="30" t="inlineStr">
        <is>
          <t>Developer of a telecommunications software. The company's software allows businesses to improve their productivity and reduce spending on communications.</t>
        </is>
      </c>
      <c r="E778" s="31" t="inlineStr">
        <is>
          <t>Communication Software</t>
        </is>
      </c>
      <c r="F778" s="32" t="inlineStr">
        <is>
          <t>Barcelona, Spain</t>
        </is>
      </c>
      <c r="G778" s="33" t="inlineStr">
        <is>
          <t>Privately Held (backing)</t>
        </is>
      </c>
      <c r="H778" s="34" t="inlineStr">
        <is>
          <t>Accelerator/Incubator Backed</t>
        </is>
      </c>
      <c r="I778" s="35" t="inlineStr">
        <is>
          <t>Conector Startup Accelerator</t>
        </is>
      </c>
      <c r="J778" s="36" t="inlineStr">
        <is>
          <t>www.nectarcompany.com</t>
        </is>
      </c>
      <c r="K778" s="37" t="inlineStr">
        <is>
          <t/>
        </is>
      </c>
      <c r="L778" s="38" t="inlineStr">
        <is>
          <t>+34 90 083 4633</t>
        </is>
      </c>
      <c r="M778" s="39" t="inlineStr">
        <is>
          <t>Daniel Rubio</t>
        </is>
      </c>
      <c r="N778" s="40" t="inlineStr">
        <is>
          <t>Co-Founder</t>
        </is>
      </c>
      <c r="O778" s="41" t="inlineStr">
        <is>
          <t>drubio@nectarcompany.com</t>
        </is>
      </c>
      <c r="P778" s="42" t="inlineStr">
        <is>
          <t>+34 90 083 4633</t>
        </is>
      </c>
      <c r="Q778" s="43" t="n">
        <v>2009.0</v>
      </c>
      <c r="R778" s="114">
        <f>HYPERLINK("https://my.pitchbook.com?c=167726-62", "View company online")</f>
      </c>
    </row>
    <row r="779">
      <c r="A779" s="9" t="inlineStr">
        <is>
          <t>128431-90</t>
        </is>
      </c>
      <c r="B779" s="10" t="inlineStr">
        <is>
          <t>The Natural Repellent Co.</t>
        </is>
      </c>
      <c r="C779" s="11" t="inlineStr">
        <is>
          <t>90254</t>
        </is>
      </c>
      <c r="D779" s="12" t="inlineStr">
        <is>
          <t>Manufacturer of mosquito repellent products. The company specializes in manufacturing and selling mosquito repellent products through its online platform.</t>
        </is>
      </c>
      <c r="E779" s="13" t="inlineStr">
        <is>
          <t>Other Consumer Non-Durables</t>
        </is>
      </c>
      <c r="F779" s="14" t="inlineStr">
        <is>
          <t>Hermosa Beach, CA</t>
        </is>
      </c>
      <c r="G779" s="15" t="inlineStr">
        <is>
          <t>Privately Held (backing)</t>
        </is>
      </c>
      <c r="H779" s="16" t="inlineStr">
        <is>
          <t>Angel-Backed</t>
        </is>
      </c>
      <c r="I779" s="17" t="inlineStr">
        <is>
          <t>Rani Aliahmad</t>
        </is>
      </c>
      <c r="J779" s="18" t="inlineStr">
        <is>
          <t>www.bugbam.com</t>
        </is>
      </c>
      <c r="K779" s="19" t="inlineStr">
        <is>
          <t/>
        </is>
      </c>
      <c r="L779" s="20" t="inlineStr">
        <is>
          <t>+1 (888) 899-3308</t>
        </is>
      </c>
      <c r="M779" s="21" t="inlineStr">
        <is>
          <t>Joseph Symond</t>
        </is>
      </c>
      <c r="N779" s="22" t="inlineStr">
        <is>
          <t>Founder &amp; Chief Executive Officer</t>
        </is>
      </c>
      <c r="O779" s="23" t="inlineStr">
        <is>
          <t/>
        </is>
      </c>
      <c r="P779" s="24" t="inlineStr">
        <is>
          <t>+1 (888) 899-3308</t>
        </is>
      </c>
      <c r="Q779" s="25" t="n">
        <v>1997.0</v>
      </c>
      <c r="R779" s="113">
        <f>HYPERLINK("https://my.pitchbook.com?c=128431-90", "View company online")</f>
      </c>
    </row>
    <row r="780">
      <c r="A780" s="27" t="inlineStr">
        <is>
          <t>97354-54</t>
        </is>
      </c>
      <c r="B780" s="28" t="inlineStr">
        <is>
          <t>The Muse Factory</t>
        </is>
      </c>
      <c r="C780" s="29" t="inlineStr">
        <is>
          <t>94102</t>
        </is>
      </c>
      <c r="D780" s="30" t="inlineStr">
        <is>
          <t>Developer of a gift giving platform. The company is building AwesomeBox, a platform for giving a social gift for a friend's birthday or other special occasion.</t>
        </is>
      </c>
      <c r="E780" s="31" t="inlineStr">
        <is>
          <t>Social/Platform Software</t>
        </is>
      </c>
      <c r="F780" s="32" t="inlineStr">
        <is>
          <t>San Francisco, CA</t>
        </is>
      </c>
      <c r="G780" s="33" t="inlineStr">
        <is>
          <t>Privately Held (backing)</t>
        </is>
      </c>
      <c r="H780" s="34" t="inlineStr">
        <is>
          <t>Accelerator/Incubator Backed</t>
        </is>
      </c>
      <c r="I780" s="35" t="inlineStr">
        <is>
          <t>Individual Investor, Launchpad LA</t>
        </is>
      </c>
      <c r="J780" s="36" t="inlineStr">
        <is>
          <t>www.musefactoryinc.com</t>
        </is>
      </c>
      <c r="K780" s="37" t="inlineStr">
        <is>
          <t>contact@awesomebox.com</t>
        </is>
      </c>
      <c r="L780" s="38" t="inlineStr">
        <is>
          <t/>
        </is>
      </c>
      <c r="M780" s="39" t="inlineStr">
        <is>
          <t>Tony Deifell</t>
        </is>
      </c>
      <c r="N780" s="40" t="inlineStr">
        <is>
          <t>Co-Founder &amp; Chief Executive Officer</t>
        </is>
      </c>
      <c r="O780" s="41" t="inlineStr">
        <is>
          <t>tony@musefactoryinc.com</t>
        </is>
      </c>
      <c r="P780" s="42" t="inlineStr">
        <is>
          <t/>
        </is>
      </c>
      <c r="Q780" s="43" t="inlineStr">
        <is>
          <t/>
        </is>
      </c>
      <c r="R780" s="114">
        <f>HYPERLINK("https://my.pitchbook.com?c=97354-54", "View company online")</f>
      </c>
    </row>
    <row r="781">
      <c r="A781" s="9" t="inlineStr">
        <is>
          <t>160900-03</t>
        </is>
      </c>
      <c r="B781" s="10" t="inlineStr">
        <is>
          <t>The Loyal Subjects</t>
        </is>
      </c>
      <c r="C781" s="11" t="inlineStr">
        <is>
          <t>90015</t>
        </is>
      </c>
      <c r="D781" s="12" t="inlineStr">
        <is>
          <t>Manufacturer of artistic collectibles. The company develops art driven collectibles such as Vinyl Toys, Fiberglass Multiples, Apparel and Inflatables.</t>
        </is>
      </c>
      <c r="E781" s="13" t="inlineStr">
        <is>
          <t>Other Consumer Durables</t>
        </is>
      </c>
      <c r="F781" s="14" t="inlineStr">
        <is>
          <t>Los Angeles, CA</t>
        </is>
      </c>
      <c r="G781" s="15" t="inlineStr">
        <is>
          <t>Privately Held (backing)</t>
        </is>
      </c>
      <c r="H781" s="16" t="inlineStr">
        <is>
          <t>Angel-Backed</t>
        </is>
      </c>
      <c r="I781" s="17" t="inlineStr">
        <is>
          <t/>
        </is>
      </c>
      <c r="J781" s="18" t="inlineStr">
        <is>
          <t>www.theloyalsubjects.com</t>
        </is>
      </c>
      <c r="K781" s="19" t="inlineStr">
        <is>
          <t>info@theloyalsubjects.com</t>
        </is>
      </c>
      <c r="L781" s="20" t="inlineStr">
        <is>
          <t>+1 (213) 744-1280</t>
        </is>
      </c>
      <c r="M781" s="21" t="inlineStr">
        <is>
          <t>Jonathan Cathey</t>
        </is>
      </c>
      <c r="N781" s="22" t="inlineStr">
        <is>
          <t>Founder, Chief Executive Officer, President &amp; Board Member</t>
        </is>
      </c>
      <c r="O781" s="23" t="inlineStr">
        <is>
          <t>jonathan@theloyalsubjects.com</t>
        </is>
      </c>
      <c r="P781" s="24" t="inlineStr">
        <is>
          <t>+1 (213) 744-1280</t>
        </is>
      </c>
      <c r="Q781" s="25" t="n">
        <v>2009.0</v>
      </c>
      <c r="R781" s="113">
        <f>HYPERLINK("https://my.pitchbook.com?c=160900-03", "View company online")</f>
      </c>
    </row>
    <row r="782">
      <c r="A782" s="27" t="inlineStr">
        <is>
          <t>172731-88</t>
        </is>
      </c>
      <c r="B782" s="28" t="inlineStr">
        <is>
          <t>The Live Box</t>
        </is>
      </c>
      <c r="C782" s="86">
        <f>HYPERLINK("https://my.pitchbook.com?rrp=172731-88&amp;type=c", "This Company's information is not available to download. Need this Company? Request availability")</f>
      </c>
      <c r="D782" s="30" t="inlineStr">
        <is>
          <t/>
        </is>
      </c>
      <c r="E782" s="31" t="inlineStr">
        <is>
          <t/>
        </is>
      </c>
      <c r="F782" s="32" t="inlineStr">
        <is>
          <t/>
        </is>
      </c>
      <c r="G782" s="33" t="inlineStr">
        <is>
          <t/>
        </is>
      </c>
      <c r="H782" s="34" t="inlineStr">
        <is>
          <t/>
        </is>
      </c>
      <c r="I782" s="35" t="inlineStr">
        <is>
          <t/>
        </is>
      </c>
      <c r="J782" s="36" t="inlineStr">
        <is>
          <t/>
        </is>
      </c>
      <c r="K782" s="37" t="inlineStr">
        <is>
          <t/>
        </is>
      </c>
      <c r="L782" s="38" t="inlineStr">
        <is>
          <t/>
        </is>
      </c>
      <c r="M782" s="39" t="inlineStr">
        <is>
          <t/>
        </is>
      </c>
      <c r="N782" s="40" t="inlineStr">
        <is>
          <t/>
        </is>
      </c>
      <c r="O782" s="41" t="inlineStr">
        <is>
          <t/>
        </is>
      </c>
      <c r="P782" s="42" t="inlineStr">
        <is>
          <t/>
        </is>
      </c>
      <c r="Q782" s="43" t="inlineStr">
        <is>
          <t/>
        </is>
      </c>
      <c r="R782" s="44" t="inlineStr">
        <is>
          <t/>
        </is>
      </c>
    </row>
    <row r="783">
      <c r="A783" s="9" t="inlineStr">
        <is>
          <t>55622-89</t>
        </is>
      </c>
      <c r="B783" s="10" t="inlineStr">
        <is>
          <t>The Kive Company</t>
        </is>
      </c>
      <c r="C783" s="11" t="inlineStr">
        <is>
          <t>91403</t>
        </is>
      </c>
      <c r="D783" s="12" t="inlineStr">
        <is>
          <t>Provider of a mobile art application. The company offers a mobile application that allows users to take photos of their kid's art, then tag it with their name, grade, date and title.</t>
        </is>
      </c>
      <c r="E783" s="13" t="inlineStr">
        <is>
          <t>Application Software</t>
        </is>
      </c>
      <c r="F783" s="14" t="inlineStr">
        <is>
          <t>Los Angeles, CA</t>
        </is>
      </c>
      <c r="G783" s="15" t="inlineStr">
        <is>
          <t>Privately Held (backing)</t>
        </is>
      </c>
      <c r="H783" s="16" t="inlineStr">
        <is>
          <t>Accelerator/Incubator Backed</t>
        </is>
      </c>
      <c r="I783" s="17" t="inlineStr">
        <is>
          <t>Amplify.LA, Kris Bjornerud, Michael Liou, Richard Wolpert</t>
        </is>
      </c>
      <c r="J783" s="18" t="inlineStr">
        <is>
          <t>www.artkiveapp.com</t>
        </is>
      </c>
      <c r="K783" s="19" t="inlineStr">
        <is>
          <t>help@artkiveapp.com</t>
        </is>
      </c>
      <c r="L783" s="20" t="inlineStr">
        <is>
          <t>+1 (310) 714-0240</t>
        </is>
      </c>
      <c r="M783" s="21" t="inlineStr">
        <is>
          <t>Jedd Gold</t>
        </is>
      </c>
      <c r="N783" s="22" t="inlineStr">
        <is>
          <t>Co-Founder &amp; Chief Executive Officer</t>
        </is>
      </c>
      <c r="O783" s="23" t="inlineStr">
        <is>
          <t>jedd@thekivecompany.com</t>
        </is>
      </c>
      <c r="P783" s="24" t="inlineStr">
        <is>
          <t>+1 (310) 714-0240</t>
        </is>
      </c>
      <c r="Q783" s="25" t="n">
        <v>2012.0</v>
      </c>
      <c r="R783" s="113">
        <f>HYPERLINK("https://my.pitchbook.com?c=55622-89", "View company online")</f>
      </c>
    </row>
    <row r="784">
      <c r="A784" s="27" t="inlineStr">
        <is>
          <t>172691-83</t>
        </is>
      </c>
      <c r="B784" s="28" t="inlineStr">
        <is>
          <t>The Kinney Group</t>
        </is>
      </c>
      <c r="C784" s="86">
        <f>HYPERLINK("https://my.pitchbook.com?rrp=172691-83&amp;type=c", "This Company's information is not available to download. Need this Company? Request availability")</f>
      </c>
      <c r="D784" s="30" t="inlineStr">
        <is>
          <t/>
        </is>
      </c>
      <c r="E784" s="31" t="inlineStr">
        <is>
          <t/>
        </is>
      </c>
      <c r="F784" s="32" t="inlineStr">
        <is>
          <t/>
        </is>
      </c>
      <c r="G784" s="33" t="inlineStr">
        <is>
          <t/>
        </is>
      </c>
      <c r="H784" s="34" t="inlineStr">
        <is>
          <t/>
        </is>
      </c>
      <c r="I784" s="35" t="inlineStr">
        <is>
          <t/>
        </is>
      </c>
      <c r="J784" s="36" t="inlineStr">
        <is>
          <t/>
        </is>
      </c>
      <c r="K784" s="37" t="inlineStr">
        <is>
          <t/>
        </is>
      </c>
      <c r="L784" s="38" t="inlineStr">
        <is>
          <t/>
        </is>
      </c>
      <c r="M784" s="39" t="inlineStr">
        <is>
          <t/>
        </is>
      </c>
      <c r="N784" s="40" t="inlineStr">
        <is>
          <t/>
        </is>
      </c>
      <c r="O784" s="41" t="inlineStr">
        <is>
          <t/>
        </is>
      </c>
      <c r="P784" s="42" t="inlineStr">
        <is>
          <t/>
        </is>
      </c>
      <c r="Q784" s="43" t="inlineStr">
        <is>
          <t/>
        </is>
      </c>
      <c r="R784" s="44" t="inlineStr">
        <is>
          <t/>
        </is>
      </c>
    </row>
    <row r="785">
      <c r="A785" s="9" t="inlineStr">
        <is>
          <t>119767-06</t>
        </is>
      </c>
      <c r="B785" s="10" t="inlineStr">
        <is>
          <t>The Information</t>
        </is>
      </c>
      <c r="C785" s="11" t="inlineStr">
        <is>
          <t>94104</t>
        </is>
      </c>
      <c r="D785" s="12" t="inlineStr">
        <is>
          <t>Owner and Operator of a magazine subscription site. The company operates a subscription-based publication and online magazine which provides articles, news current trends and information in the field of technology.</t>
        </is>
      </c>
      <c r="E785" s="13" t="inlineStr">
        <is>
          <t>Publishing</t>
        </is>
      </c>
      <c r="F785" s="14" t="inlineStr">
        <is>
          <t>San Francisco, CA</t>
        </is>
      </c>
      <c r="G785" s="15" t="inlineStr">
        <is>
          <t>Privately Held (backing)</t>
        </is>
      </c>
      <c r="H785" s="16" t="inlineStr">
        <is>
          <t>Accelerator/Incubator Backed</t>
        </is>
      </c>
      <c r="I785" s="17" t="inlineStr">
        <is>
          <t>Katalyst Philippines</t>
        </is>
      </c>
      <c r="J785" s="18" t="inlineStr">
        <is>
          <t>www.theinformation.com</t>
        </is>
      </c>
      <c r="K785" s="19" t="inlineStr">
        <is>
          <t>hello@theinformation.com</t>
        </is>
      </c>
      <c r="L785" s="20" t="inlineStr">
        <is>
          <t/>
        </is>
      </c>
      <c r="M785" s="21" t="inlineStr">
        <is>
          <t>Jessica Lessin</t>
        </is>
      </c>
      <c r="N785" s="22" t="inlineStr">
        <is>
          <t>Founder, Editor-in-Chief &amp; Chief Executive Officer</t>
        </is>
      </c>
      <c r="O785" s="23" t="inlineStr">
        <is>
          <t>jessica@theinformation.com</t>
        </is>
      </c>
      <c r="P785" s="24" t="inlineStr">
        <is>
          <t/>
        </is>
      </c>
      <c r="Q785" s="25" t="n">
        <v>2013.0</v>
      </c>
      <c r="R785" s="113">
        <f>HYPERLINK("https://my.pitchbook.com?c=119767-06", "View company online")</f>
      </c>
    </row>
    <row r="786">
      <c r="A786" s="27" t="inlineStr">
        <is>
          <t>170867-71</t>
        </is>
      </c>
      <c r="B786" s="28" t="inlineStr">
        <is>
          <t>The Hotels Network</t>
        </is>
      </c>
      <c r="C786" s="29" t="inlineStr">
        <is>
          <t>94114</t>
        </is>
      </c>
      <c r="D786" s="30" t="inlineStr">
        <is>
          <t>Developer of a marketing technology designed to increase their direct online bookings by adding tools to the website and booking engine.
The company's marketing technology tools is designed to increase direct bookings, spend less on commissions and regain direct communication with their clients enabling hotels to increase direct bookings and compete for customers online.</t>
        </is>
      </c>
      <c r="E786" s="31" t="inlineStr">
        <is>
          <t>Other Software</t>
        </is>
      </c>
      <c r="F786" s="32" t="inlineStr">
        <is>
          <t>San Francisco, CA</t>
        </is>
      </c>
      <c r="G786" s="33" t="inlineStr">
        <is>
          <t>Privately Held (backing)</t>
        </is>
      </c>
      <c r="H786" s="34" t="inlineStr">
        <is>
          <t>Accelerator/Incubator Backed</t>
        </is>
      </c>
      <c r="I786" s="35" t="inlineStr">
        <is>
          <t>NFX Guild</t>
        </is>
      </c>
      <c r="J786" s="36" t="inlineStr">
        <is>
          <t>www.thehotelsnetwork.com</t>
        </is>
      </c>
      <c r="K786" s="37" t="inlineStr">
        <is>
          <t>info@thehotelsnetwork.com</t>
        </is>
      </c>
      <c r="L786" s="38" t="inlineStr">
        <is>
          <t>+1 (415) 490-6058</t>
        </is>
      </c>
      <c r="M786" s="39" t="inlineStr">
        <is>
          <t>Juanjo Rodriguez</t>
        </is>
      </c>
      <c r="N786" s="40" t="inlineStr">
        <is>
          <t>Co-Founder &amp; Chief Executive Officer</t>
        </is>
      </c>
      <c r="O786" s="41" t="inlineStr">
        <is>
          <t/>
        </is>
      </c>
      <c r="P786" s="42" t="inlineStr">
        <is>
          <t>+1 (415) 490-6058</t>
        </is>
      </c>
      <c r="Q786" s="43" t="n">
        <v>2015.0</v>
      </c>
      <c r="R786" s="114">
        <f>HYPERLINK("https://my.pitchbook.com?c=170867-71", "View company online")</f>
      </c>
    </row>
    <row r="787">
      <c r="A787" s="9" t="inlineStr">
        <is>
          <t>155368-54</t>
        </is>
      </c>
      <c r="B787" s="10" t="inlineStr">
        <is>
          <t>The Guru</t>
        </is>
      </c>
      <c r="C787" s="11" t="inlineStr">
        <is>
          <t>92111</t>
        </is>
      </c>
      <c r="D787" s="12" t="inlineStr">
        <is>
          <t>Developer of a digital storytelling mobile application. The company develops a mobile application that helps museums, zoos and aquariums to record a virtual tour of the facility and offer games and other interactive content for users.</t>
        </is>
      </c>
      <c r="E787" s="13" t="inlineStr">
        <is>
          <t>Application Software</t>
        </is>
      </c>
      <c r="F787" s="14" t="inlineStr">
        <is>
          <t>San Diego, CA</t>
        </is>
      </c>
      <c r="G787" s="15" t="inlineStr">
        <is>
          <t>Privately Held (backing)</t>
        </is>
      </c>
      <c r="H787" s="16" t="inlineStr">
        <is>
          <t>Accelerator/Incubator Backed</t>
        </is>
      </c>
      <c r="I787" s="17" t="inlineStr">
        <is>
          <t>EvoNexus</t>
        </is>
      </c>
      <c r="J787" s="18" t="inlineStr">
        <is>
          <t>www.theguru.co</t>
        </is>
      </c>
      <c r="K787" s="19" t="inlineStr">
        <is>
          <t>pburke@theguru.co</t>
        </is>
      </c>
      <c r="L787" s="20" t="inlineStr">
        <is>
          <t/>
        </is>
      </c>
      <c r="M787" s="21" t="inlineStr">
        <is>
          <t>Paul Burke</t>
        </is>
      </c>
      <c r="N787" s="22" t="inlineStr">
        <is>
          <t>Co-Founder &amp; Chief Executive Officer</t>
        </is>
      </c>
      <c r="O787" s="23" t="inlineStr">
        <is>
          <t>pburke@theguru.co</t>
        </is>
      </c>
      <c r="P787" s="24" t="inlineStr">
        <is>
          <t/>
        </is>
      </c>
      <c r="Q787" s="25" t="n">
        <v>2015.0</v>
      </c>
      <c r="R787" s="113">
        <f>HYPERLINK("https://my.pitchbook.com?c=155368-54", "View company online")</f>
      </c>
    </row>
    <row r="788">
      <c r="A788" s="27" t="inlineStr">
        <is>
          <t>125404-12</t>
        </is>
      </c>
      <c r="B788" s="28" t="inlineStr">
        <is>
          <t>The Green Exchange</t>
        </is>
      </c>
      <c r="C788" s="29" t="inlineStr">
        <is>
          <t>95428</t>
        </is>
      </c>
      <c r="D788" s="30" t="inlineStr">
        <is>
          <t>Developer of an online platform for providing legal marijuana. The company develops an application software for providing medical marijuana and connecting providers with patients.</t>
        </is>
      </c>
      <c r="E788" s="31" t="inlineStr">
        <is>
          <t>Other Healthcare</t>
        </is>
      </c>
      <c r="F788" s="32" t="inlineStr">
        <is>
          <t>Covelo, CA</t>
        </is>
      </c>
      <c r="G788" s="33" t="inlineStr">
        <is>
          <t>Privately Held (backing)</t>
        </is>
      </c>
      <c r="H788" s="34" t="inlineStr">
        <is>
          <t>Angel-Backed</t>
        </is>
      </c>
      <c r="I788" s="35" t="inlineStr">
        <is>
          <t/>
        </is>
      </c>
      <c r="J788" s="36" t="inlineStr">
        <is>
          <t>www.biggreenexchange.com</t>
        </is>
      </c>
      <c r="K788" s="37" t="inlineStr">
        <is>
          <t>support@tgx.ninja</t>
        </is>
      </c>
      <c r="L788" s="38" t="inlineStr">
        <is>
          <t>+1 (510) 982-6052</t>
        </is>
      </c>
      <c r="M788" s="39" t="inlineStr">
        <is>
          <t>Joshua Artman</t>
        </is>
      </c>
      <c r="N788" s="40" t="inlineStr">
        <is>
          <t>Co-Founder &amp; Chief Executive Officer</t>
        </is>
      </c>
      <c r="O788" s="41" t="inlineStr">
        <is>
          <t/>
        </is>
      </c>
      <c r="P788" s="42" t="inlineStr">
        <is>
          <t>+1 (510) 982-6052</t>
        </is>
      </c>
      <c r="Q788" s="43" t="n">
        <v>2014.0</v>
      </c>
      <c r="R788" s="114">
        <f>HYPERLINK("https://my.pitchbook.com?c=125404-12", "View company online")</f>
      </c>
    </row>
    <row r="789">
      <c r="A789" s="9" t="inlineStr">
        <is>
          <t>95435-74</t>
        </is>
      </c>
      <c r="B789" s="10" t="inlineStr">
        <is>
          <t>The Glampire Group</t>
        </is>
      </c>
      <c r="C789" s="11" t="inlineStr">
        <is>
          <t>90068</t>
        </is>
      </c>
      <c r="D789" s="12" t="inlineStr">
        <is>
          <t>Operator of a digital agency. The company operates a digital agency focusing in social technology, interactive media for entertainment industry, professionals and other brands.</t>
        </is>
      </c>
      <c r="E789" s="13" t="inlineStr">
        <is>
          <t>Media and Information Services (B2B)</t>
        </is>
      </c>
      <c r="F789" s="14" t="inlineStr">
        <is>
          <t>Los Angeles, CA</t>
        </is>
      </c>
      <c r="G789" s="15" t="inlineStr">
        <is>
          <t>Privately Held (backing)</t>
        </is>
      </c>
      <c r="H789" s="16" t="inlineStr">
        <is>
          <t>Angel-Backed</t>
        </is>
      </c>
      <c r="I789" s="17" t="inlineStr">
        <is>
          <t>ROSEMAX MEDIA</t>
        </is>
      </c>
      <c r="J789" s="18" t="inlineStr">
        <is>
          <t>www.theglampiregroup.com</t>
        </is>
      </c>
      <c r="K789" s="19" t="inlineStr">
        <is>
          <t>info@theglampiregroup.com</t>
        </is>
      </c>
      <c r="L789" s="20" t="inlineStr">
        <is>
          <t/>
        </is>
      </c>
      <c r="M789" s="21" t="inlineStr">
        <is>
          <t>Moira Ross</t>
        </is>
      </c>
      <c r="N789" s="22" t="inlineStr">
        <is>
          <t>Co-Founder &amp; Vice President</t>
        </is>
      </c>
      <c r="O789" s="23" t="inlineStr">
        <is>
          <t>moira@theglampiregroup.com</t>
        </is>
      </c>
      <c r="P789" s="24" t="inlineStr">
        <is>
          <t/>
        </is>
      </c>
      <c r="Q789" s="25" t="n">
        <v>2009.0</v>
      </c>
      <c r="R789" s="113">
        <f>HYPERLINK("https://my.pitchbook.com?c=95435-74", "View company online")</f>
      </c>
    </row>
    <row r="790">
      <c r="A790" s="27" t="inlineStr">
        <is>
          <t>123417-46</t>
        </is>
      </c>
      <c r="B790" s="28" t="inlineStr">
        <is>
          <t>The Gift of Education</t>
        </is>
      </c>
      <c r="C790" s="29" t="inlineStr">
        <is>
          <t>95616</t>
        </is>
      </c>
      <c r="D790" s="30" t="inlineStr">
        <is>
          <t>Provider of an online gift registry for educational funds. The company helps users to register an existing educational savings account where friends and family can contribute directly into the account online for future educational purposes.</t>
        </is>
      </c>
      <c r="E790" s="31" t="inlineStr">
        <is>
          <t>Other Services (B2C Non-Financial)</t>
        </is>
      </c>
      <c r="F790" s="32" t="inlineStr">
        <is>
          <t>Davis, CA</t>
        </is>
      </c>
      <c r="G790" s="33" t="inlineStr">
        <is>
          <t>Privately Held (backing)</t>
        </is>
      </c>
      <c r="H790" s="34" t="inlineStr">
        <is>
          <t>Accelerator/Incubator Backed</t>
        </is>
      </c>
      <c r="I790" s="35" t="inlineStr">
        <is>
          <t>Davis Roots</t>
        </is>
      </c>
      <c r="J790" s="36" t="inlineStr">
        <is>
          <t>www.thegiftofeducation.com</t>
        </is>
      </c>
      <c r="K790" s="37" t="inlineStr">
        <is>
          <t>info@thegiftofeducation.com</t>
        </is>
      </c>
      <c r="L790" s="38" t="inlineStr">
        <is>
          <t/>
        </is>
      </c>
      <c r="M790" s="39" t="inlineStr">
        <is>
          <t>Aimee Hasson</t>
        </is>
      </c>
      <c r="N790" s="40" t="inlineStr">
        <is>
          <t>Founder &amp; Chief Executive Officer</t>
        </is>
      </c>
      <c r="O790" s="41" t="inlineStr">
        <is>
          <t>ahasson@thegiftofeducation.com</t>
        </is>
      </c>
      <c r="P790" s="42" t="inlineStr">
        <is>
          <t/>
        </is>
      </c>
      <c r="Q790" s="43" t="n">
        <v>2010.0</v>
      </c>
      <c r="R790" s="114">
        <f>HYPERLINK("https://my.pitchbook.com?c=123417-46", "View company online")</f>
      </c>
    </row>
    <row r="791">
      <c r="A791" s="9" t="inlineStr">
        <is>
          <t>169102-72</t>
        </is>
      </c>
      <c r="B791" s="10" t="inlineStr">
        <is>
          <t>The Fresh Mat</t>
        </is>
      </c>
      <c r="C791" s="11" t="inlineStr">
        <is>
          <t>94114</t>
        </is>
      </c>
      <c r="D791" s="12" t="inlineStr">
        <is>
          <t>Developer of a device to clean fitness equipment. The company designs and develops a cleaning machine that automates the cleaning of multi-user fitness equipment such as yoga mats, yoga blocks and small-size dumbbells.</t>
        </is>
      </c>
      <c r="E791" s="13" t="inlineStr">
        <is>
          <t>Machinery (B2B)</t>
        </is>
      </c>
      <c r="F791" s="14" t="inlineStr">
        <is>
          <t>San Francisco, CA</t>
        </is>
      </c>
      <c r="G791" s="15" t="inlineStr">
        <is>
          <t>Privately Held (backing)</t>
        </is>
      </c>
      <c r="H791" s="16" t="inlineStr">
        <is>
          <t>Angel-Backed</t>
        </is>
      </c>
      <c r="I791" s="17" t="inlineStr">
        <is>
          <t>New Orleans Startup Fund</t>
        </is>
      </c>
      <c r="J791" s="18" t="inlineStr">
        <is>
          <t>www.thefreshmat.com</t>
        </is>
      </c>
      <c r="K791" s="19" t="inlineStr">
        <is>
          <t/>
        </is>
      </c>
      <c r="L791" s="20" t="inlineStr">
        <is>
          <t>+1 (857) 222-1274</t>
        </is>
      </c>
      <c r="M791" s="21" t="inlineStr">
        <is>
          <t>John Butler</t>
        </is>
      </c>
      <c r="N791" s="22" t="inlineStr">
        <is>
          <t>Chief Executive Officer</t>
        </is>
      </c>
      <c r="O791" s="23" t="inlineStr">
        <is>
          <t>johncbutler@thefreshmat.com</t>
        </is>
      </c>
      <c r="P791" s="24" t="inlineStr">
        <is>
          <t>+1 (857) 222-1274</t>
        </is>
      </c>
      <c r="Q791" s="25" t="n">
        <v>2016.0</v>
      </c>
      <c r="R791" s="113">
        <f>HYPERLINK("https://my.pitchbook.com?c=169102-72", "View company online")</f>
      </c>
    </row>
    <row r="792">
      <c r="A792" s="27" t="inlineStr">
        <is>
          <t>162380-26</t>
        </is>
      </c>
      <c r="B792" s="28" t="inlineStr">
        <is>
          <t>The Fetch</t>
        </is>
      </c>
      <c r="C792" s="29" t="inlineStr">
        <is>
          <t>94105</t>
        </is>
      </c>
      <c r="D792" s="30" t="inlineStr">
        <is>
          <t>Provider of an event discovery platform. The company offers a online curated guide to various events and industry reads for professionals.</t>
        </is>
      </c>
      <c r="E792" s="31" t="inlineStr">
        <is>
          <t>Social/Platform Software</t>
        </is>
      </c>
      <c r="F792" s="32" t="inlineStr">
        <is>
          <t>San Francisco, CA</t>
        </is>
      </c>
      <c r="G792" s="33" t="inlineStr">
        <is>
          <t>Privately Held (backing)</t>
        </is>
      </c>
      <c r="H792" s="34" t="inlineStr">
        <is>
          <t>Angel-Backed</t>
        </is>
      </c>
      <c r="I792" s="35" t="inlineStr">
        <is>
          <t/>
        </is>
      </c>
      <c r="J792" s="36" t="inlineStr">
        <is>
          <t>www.thefetch.com</t>
        </is>
      </c>
      <c r="K792" s="37" t="inlineStr">
        <is>
          <t>hello@thefetch.com</t>
        </is>
      </c>
      <c r="L792" s="38" t="inlineStr">
        <is>
          <t>+1 (650) 382-2050</t>
        </is>
      </c>
      <c r="M792" s="39" t="inlineStr">
        <is>
          <t/>
        </is>
      </c>
      <c r="N792" s="40" t="inlineStr">
        <is>
          <t/>
        </is>
      </c>
      <c r="O792" s="41" t="inlineStr">
        <is>
          <t/>
        </is>
      </c>
      <c r="P792" s="42" t="inlineStr">
        <is>
          <t/>
        </is>
      </c>
      <c r="Q792" s="43" t="n">
        <v>2011.0</v>
      </c>
      <c r="R792" s="114">
        <f>HYPERLINK("https://my.pitchbook.com?c=162380-26", "View company online")</f>
      </c>
    </row>
    <row r="793">
      <c r="A793" s="9" t="inlineStr">
        <is>
          <t>117713-98</t>
        </is>
      </c>
      <c r="B793" s="10" t="inlineStr">
        <is>
          <t>The Eye Machine</t>
        </is>
      </c>
      <c r="C793" s="11" t="inlineStr">
        <is>
          <t>92210</t>
        </is>
      </c>
      <c r="D793" s="12" t="inlineStr">
        <is>
          <t>Manufacturer of a medical device to treat macular degeneration. The company develops a medical device to treat macular degeneration by condensing current from direct current barriers in order to deliver energy around the eye, mitigating the effects of age-related macular degeneration and diabetic retinopathy</t>
        </is>
      </c>
      <c r="E793" s="13" t="inlineStr">
        <is>
          <t>Therapeutic Devices</t>
        </is>
      </c>
      <c r="F793" s="14" t="inlineStr">
        <is>
          <t>Indian Wells, CA</t>
        </is>
      </c>
      <c r="G793" s="15" t="inlineStr">
        <is>
          <t>Privately Held (backing)</t>
        </is>
      </c>
      <c r="H793" s="16" t="inlineStr">
        <is>
          <t>Angel-Backed</t>
        </is>
      </c>
      <c r="I793" s="17" t="inlineStr">
        <is>
          <t/>
        </is>
      </c>
      <c r="J793" s="18" t="inlineStr">
        <is>
          <t>www.theeyemachine.com</t>
        </is>
      </c>
      <c r="K793" s="19" t="inlineStr">
        <is>
          <t>info@theeyemachine.com</t>
        </is>
      </c>
      <c r="L793" s="20" t="inlineStr">
        <is>
          <t>+1 (760) 292-2805</t>
        </is>
      </c>
      <c r="M793" s="21" t="inlineStr">
        <is>
          <t>Walter O'Rourke</t>
        </is>
      </c>
      <c r="N793" s="22" t="inlineStr">
        <is>
          <t>Chief Operating Officer</t>
        </is>
      </c>
      <c r="O793" s="23" t="inlineStr">
        <is>
          <t/>
        </is>
      </c>
      <c r="P793" s="24" t="inlineStr">
        <is>
          <t>+1 (760) 292-2805</t>
        </is>
      </c>
      <c r="Q793" s="25" t="n">
        <v>2014.0</v>
      </c>
      <c r="R793" s="113">
        <f>HYPERLINK("https://my.pitchbook.com?c=117713-98", "View company online")</f>
      </c>
    </row>
    <row r="794">
      <c r="A794" s="27" t="inlineStr">
        <is>
          <t>86250-70</t>
        </is>
      </c>
      <c r="B794" s="28" t="inlineStr">
        <is>
          <t>The Ditlo</t>
        </is>
      </c>
      <c r="C794" s="29" t="inlineStr">
        <is>
          <t>90232</t>
        </is>
      </c>
      <c r="D794" s="30" t="inlineStr">
        <is>
          <t>Provider of an information platform software. The company provides an online platform and a mobile application that offers information about various personalities, places and things in the form of interviews, photos and videos.</t>
        </is>
      </c>
      <c r="E794" s="31" t="inlineStr">
        <is>
          <t>Social/Platform Software</t>
        </is>
      </c>
      <c r="F794" s="32" t="inlineStr">
        <is>
          <t>Culver City, CA</t>
        </is>
      </c>
      <c r="G794" s="33" t="inlineStr">
        <is>
          <t>Privately Held (backing)</t>
        </is>
      </c>
      <c r="H794" s="34" t="inlineStr">
        <is>
          <t>Angel-Backed</t>
        </is>
      </c>
      <c r="I794" s="35" t="inlineStr">
        <is>
          <t/>
        </is>
      </c>
      <c r="J794" s="36" t="inlineStr">
        <is>
          <t>www.ditlo.com</t>
        </is>
      </c>
      <c r="K794" s="37" t="inlineStr">
        <is>
          <t>info@ditlo.com</t>
        </is>
      </c>
      <c r="L794" s="38" t="inlineStr">
        <is>
          <t>+1 (310) 943-8100</t>
        </is>
      </c>
      <c r="M794" s="39" t="inlineStr">
        <is>
          <t>Bruce Kramer</t>
        </is>
      </c>
      <c r="N794" s="40" t="inlineStr">
        <is>
          <t>Founder &amp; Chief Executive Officer</t>
        </is>
      </c>
      <c r="O794" s="41" t="inlineStr">
        <is>
          <t/>
        </is>
      </c>
      <c r="P794" s="42" t="inlineStr">
        <is>
          <t>+1 (310) 943-8100</t>
        </is>
      </c>
      <c r="Q794" s="43" t="n">
        <v>2011.0</v>
      </c>
      <c r="R794" s="114">
        <f>HYPERLINK("https://my.pitchbook.com?c=86250-70", "View company online")</f>
      </c>
    </row>
    <row r="795">
      <c r="A795" s="9" t="inlineStr">
        <is>
          <t>95565-07</t>
        </is>
      </c>
      <c r="B795" s="10" t="inlineStr">
        <is>
          <t>The Design Accelerator</t>
        </is>
      </c>
      <c r="C795" s="11" t="inlineStr">
        <is>
          <t>91103</t>
        </is>
      </c>
      <c r="D795" s="12" t="inlineStr">
        <is>
          <t>Provider of acceleration services for early stage design and technology businesses. The company helps early stage, design-driven technology companies with training and other services for an intensive three-month program. It also offers seed-stage investment services.</t>
        </is>
      </c>
      <c r="E795" s="13" t="inlineStr">
        <is>
          <t>Specialized Finance</t>
        </is>
      </c>
      <c r="F795" s="14" t="inlineStr">
        <is>
          <t>Pasadena, CA</t>
        </is>
      </c>
      <c r="G795" s="15" t="inlineStr">
        <is>
          <t>Privately Held (backing)</t>
        </is>
      </c>
      <c r="H795" s="16" t="inlineStr">
        <is>
          <t>Accelerator/Incubator Backed</t>
        </is>
      </c>
      <c r="I795" s="17" t="inlineStr">
        <is>
          <t>Idealab</t>
        </is>
      </c>
      <c r="J795" s="18" t="inlineStr">
        <is>
          <t>www.thedesignaccelerator.com</t>
        </is>
      </c>
      <c r="K795" s="19" t="inlineStr">
        <is>
          <t>info@thedesignaccelerator.com</t>
        </is>
      </c>
      <c r="L795" s="20" t="inlineStr">
        <is>
          <t/>
        </is>
      </c>
      <c r="M795" s="21" t="inlineStr">
        <is>
          <t>Mark Breitenberg</t>
        </is>
      </c>
      <c r="N795" s="22" t="inlineStr">
        <is>
          <t>Co-Founder</t>
        </is>
      </c>
      <c r="O795" s="23" t="inlineStr">
        <is>
          <t>mbreitenberg@thedesignaccelerator.com</t>
        </is>
      </c>
      <c r="P795" s="24" t="inlineStr">
        <is>
          <t/>
        </is>
      </c>
      <c r="Q795" s="25" t="n">
        <v>2013.0</v>
      </c>
      <c r="R795" s="113">
        <f>HYPERLINK("https://my.pitchbook.com?c=95565-07", "View company online")</f>
      </c>
    </row>
    <row r="796">
      <c r="A796" s="27" t="inlineStr">
        <is>
          <t>55439-20</t>
        </is>
      </c>
      <c r="B796" s="28" t="inlineStr">
        <is>
          <t>The Daily Dot</t>
        </is>
      </c>
      <c r="C796" s="29" t="inlineStr">
        <is>
          <t>78703</t>
        </is>
      </c>
      <c r="D796" s="30" t="inlineStr">
        <is>
          <t>Provider of an online newspaper. The company provides online news for the Web and internet community and covers various topics such as trending, entertainment, lifestyle, politics and business.</t>
        </is>
      </c>
      <c r="E796" s="31" t="inlineStr">
        <is>
          <t>Information Services (B2C)</t>
        </is>
      </c>
      <c r="F796" s="32" t="inlineStr">
        <is>
          <t>Austin, TX</t>
        </is>
      </c>
      <c r="G796" s="33" t="inlineStr">
        <is>
          <t>Privately Held (backing)</t>
        </is>
      </c>
      <c r="H796" s="34" t="inlineStr">
        <is>
          <t>Angel-Backed</t>
        </is>
      </c>
      <c r="I796" s="35" t="inlineStr">
        <is>
          <t/>
        </is>
      </c>
      <c r="J796" s="36" t="inlineStr">
        <is>
          <t>www.dailydot.com</t>
        </is>
      </c>
      <c r="K796" s="37" t="inlineStr">
        <is>
          <t>info@dailydot.com</t>
        </is>
      </c>
      <c r="L796" s="38" t="inlineStr">
        <is>
          <t>+1 (512) 588-2805</t>
        </is>
      </c>
      <c r="M796" s="39" t="inlineStr">
        <is>
          <t>Nicholas White</t>
        </is>
      </c>
      <c r="N796" s="40" t="inlineStr">
        <is>
          <t>Co-Founder, Chief Executive Officer and Editor-in-Chief</t>
        </is>
      </c>
      <c r="O796" s="41" t="inlineStr">
        <is>
          <t>nick@dailydot.com</t>
        </is>
      </c>
      <c r="P796" s="42" t="inlineStr">
        <is>
          <t>+1 (512) 588-2805</t>
        </is>
      </c>
      <c r="Q796" s="43" t="n">
        <v>2010.0</v>
      </c>
      <c r="R796" s="114">
        <f>HYPERLINK("https://my.pitchbook.com?c=55439-20", "View company online")</f>
      </c>
    </row>
    <row r="797">
      <c r="A797" s="9" t="inlineStr">
        <is>
          <t>166267-54</t>
        </is>
      </c>
      <c r="B797" s="10" t="inlineStr">
        <is>
          <t>The Chopra Center</t>
        </is>
      </c>
      <c r="C797" s="11" t="inlineStr">
        <is>
          <t>92009</t>
        </is>
      </c>
      <c r="D797" s="12" t="inlineStr">
        <is>
          <t>Owner and operator of a meditation center in the States. The company operates a destination center for well-being, which features meditation, yoga and Ayurveda, a holistic whole-body healing approach.</t>
        </is>
      </c>
      <c r="E797" s="13" t="inlineStr">
        <is>
          <t>Leisure Facilities</t>
        </is>
      </c>
      <c r="F797" s="14" t="inlineStr">
        <is>
          <t>Carlsbad, CA</t>
        </is>
      </c>
      <c r="G797" s="15" t="inlineStr">
        <is>
          <t>Privately Held (backing)</t>
        </is>
      </c>
      <c r="H797" s="16" t="inlineStr">
        <is>
          <t>Angel-Backed</t>
        </is>
      </c>
      <c r="I797" s="17" t="inlineStr">
        <is>
          <t/>
        </is>
      </c>
      <c r="J797" s="18" t="inlineStr">
        <is>
          <t>www.chopra.com</t>
        </is>
      </c>
      <c r="K797" s="19" t="inlineStr">
        <is>
          <t>chopracenter@chopra.com</t>
        </is>
      </c>
      <c r="L797" s="20" t="inlineStr">
        <is>
          <t>+1 (888) 736-6895</t>
        </is>
      </c>
      <c r="M797" s="21" t="inlineStr">
        <is>
          <t>Deepak Chopra</t>
        </is>
      </c>
      <c r="N797" s="22" t="inlineStr">
        <is>
          <t>Co-Founder</t>
        </is>
      </c>
      <c r="O797" s="23" t="inlineStr">
        <is>
          <t/>
        </is>
      </c>
      <c r="P797" s="24" t="inlineStr">
        <is>
          <t>+1 (888) 736-6895</t>
        </is>
      </c>
      <c r="Q797" s="25" t="n">
        <v>1996.0</v>
      </c>
      <c r="R797" s="113">
        <f>HYPERLINK("https://my.pitchbook.com?c=166267-54", "View company online")</f>
      </c>
    </row>
    <row r="798">
      <c r="A798" s="27" t="inlineStr">
        <is>
          <t>172750-60</t>
        </is>
      </c>
      <c r="B798" s="28" t="inlineStr">
        <is>
          <t>The Caves At Soda Canyon</t>
        </is>
      </c>
      <c r="C798" s="86">
        <f>HYPERLINK("https://my.pitchbook.com?rrp=172750-60&amp;type=c", "This Company's information is not available to download. Need this Company? Request availability")</f>
      </c>
      <c r="D798" s="30" t="inlineStr">
        <is>
          <t/>
        </is>
      </c>
      <c r="E798" s="31" t="inlineStr">
        <is>
          <t/>
        </is>
      </c>
      <c r="F798" s="32" t="inlineStr">
        <is>
          <t/>
        </is>
      </c>
      <c r="G798" s="33" t="inlineStr">
        <is>
          <t/>
        </is>
      </c>
      <c r="H798" s="34" t="inlineStr">
        <is>
          <t/>
        </is>
      </c>
      <c r="I798" s="35" t="inlineStr">
        <is>
          <t/>
        </is>
      </c>
      <c r="J798" s="36" t="inlineStr">
        <is>
          <t/>
        </is>
      </c>
      <c r="K798" s="37" t="inlineStr">
        <is>
          <t/>
        </is>
      </c>
      <c r="L798" s="38" t="inlineStr">
        <is>
          <t/>
        </is>
      </c>
      <c r="M798" s="39" t="inlineStr">
        <is>
          <t/>
        </is>
      </c>
      <c r="N798" s="40" t="inlineStr">
        <is>
          <t/>
        </is>
      </c>
      <c r="O798" s="41" t="inlineStr">
        <is>
          <t/>
        </is>
      </c>
      <c r="P798" s="42" t="inlineStr">
        <is>
          <t/>
        </is>
      </c>
      <c r="Q798" s="43" t="inlineStr">
        <is>
          <t/>
        </is>
      </c>
      <c r="R798" s="44" t="inlineStr">
        <is>
          <t/>
        </is>
      </c>
    </row>
    <row r="799">
      <c r="A799" s="9" t="inlineStr">
        <is>
          <t>94226-59</t>
        </is>
      </c>
      <c r="B799" s="10" t="inlineStr">
        <is>
          <t>The Cameron Group</t>
        </is>
      </c>
      <c r="C799" s="11" t="inlineStr">
        <is>
          <t>94539</t>
        </is>
      </c>
      <c r="D799" s="12" t="inlineStr">
        <is>
          <t>Provider of consulting services in the areas of nuclear systems. The company provides professional consulting services for nuclear and space systems technology programs.</t>
        </is>
      </c>
      <c r="E799" s="13" t="inlineStr">
        <is>
          <t>Consulting Services (B2B)</t>
        </is>
      </c>
      <c r="F799" s="14" t="inlineStr">
        <is>
          <t>Fremont, CA</t>
        </is>
      </c>
      <c r="G799" s="15" t="inlineStr">
        <is>
          <t>Privately Held (backing)</t>
        </is>
      </c>
      <c r="H799" s="16" t="inlineStr">
        <is>
          <t>Angel-Backed</t>
        </is>
      </c>
      <c r="I799" s="17" t="inlineStr">
        <is>
          <t/>
        </is>
      </c>
      <c r="J799" s="18" t="inlineStr">
        <is>
          <t>www.thecamerongroupinc.com</t>
        </is>
      </c>
      <c r="K799" s="19" t="inlineStr">
        <is>
          <t>cameronconsults@comcast.net</t>
        </is>
      </c>
      <c r="L799" s="20" t="inlineStr">
        <is>
          <t>+1 (408) 621-0337</t>
        </is>
      </c>
      <c r="M799" s="21" t="inlineStr">
        <is>
          <t>David Paul</t>
        </is>
      </c>
      <c r="N799" s="22" t="inlineStr">
        <is>
          <t>Owner, Founder, Chief Executive Officer &amp; President</t>
        </is>
      </c>
      <c r="O799" s="23" t="inlineStr">
        <is>
          <t>cameronconsults@comcast.net</t>
        </is>
      </c>
      <c r="P799" s="24" t="inlineStr">
        <is>
          <t>+1 (408) 621-0337</t>
        </is>
      </c>
      <c r="Q799" s="25" t="n">
        <v>2004.0</v>
      </c>
      <c r="R799" s="113">
        <f>HYPERLINK("https://my.pitchbook.com?c=94226-59", "View company online")</f>
      </c>
    </row>
    <row r="800">
      <c r="A800" s="27" t="inlineStr">
        <is>
          <t>154944-82</t>
        </is>
      </c>
      <c r="B800" s="28" t="inlineStr">
        <is>
          <t>The Butterfly Joint</t>
        </is>
      </c>
      <c r="C800" s="29" t="inlineStr">
        <is>
          <t>94110</t>
        </is>
      </c>
      <c r="D800" s="30" t="inlineStr">
        <is>
          <t>Operator of a woodworking and design studio. The company operates a woodworking and design studio for children aged 18 months and above.</t>
        </is>
      </c>
      <c r="E800" s="31" t="inlineStr">
        <is>
          <t>Educational and Training Services (B2C)</t>
        </is>
      </c>
      <c r="F800" s="32" t="inlineStr">
        <is>
          <t>San Francisco, CA</t>
        </is>
      </c>
      <c r="G800" s="33" t="inlineStr">
        <is>
          <t>Privately Held (backing)</t>
        </is>
      </c>
      <c r="H800" s="34" t="inlineStr">
        <is>
          <t>Angel-Backed</t>
        </is>
      </c>
      <c r="I800" s="35" t="inlineStr">
        <is>
          <t/>
        </is>
      </c>
      <c r="J800" s="36" t="inlineStr">
        <is>
          <t>www.thebutterflyjoint.com</t>
        </is>
      </c>
      <c r="K800" s="37" t="inlineStr">
        <is>
          <t>make@thebutterflyjoint.com</t>
        </is>
      </c>
      <c r="L800" s="38" t="inlineStr">
        <is>
          <t>+1 (415) 894-2685</t>
        </is>
      </c>
      <c r="M800" s="39" t="inlineStr">
        <is>
          <t>Danny Montoya</t>
        </is>
      </c>
      <c r="N800" s="40" t="inlineStr">
        <is>
          <t>Founder</t>
        </is>
      </c>
      <c r="O800" s="41" t="inlineStr">
        <is>
          <t>danny@thebutterflyjoint.com</t>
        </is>
      </c>
      <c r="P800" s="42" t="inlineStr">
        <is>
          <t>+1 (415) 894-2685</t>
        </is>
      </c>
      <c r="Q800" s="43" t="inlineStr">
        <is>
          <t/>
        </is>
      </c>
      <c r="R800" s="114">
        <f>HYPERLINK("https://my.pitchbook.com?c=154944-82", "View company online")</f>
      </c>
    </row>
    <row r="801">
      <c r="A801" s="9" t="inlineStr">
        <is>
          <t>169424-83</t>
        </is>
      </c>
      <c r="B801" s="10" t="inlineStr">
        <is>
          <t>The Bridge Initiative</t>
        </is>
      </c>
      <c r="C801" s="11" t="inlineStr">
        <is>
          <t/>
        </is>
      </c>
      <c r="D801" s="12" t="inlineStr">
        <is>
          <t>Provider of an employment assistance platform for disabled persons. The company provides a Web based platform that helps the disabled to find and apply for jobs by connecting them to job training centers and employers.</t>
        </is>
      </c>
      <c r="E801" s="13" t="inlineStr">
        <is>
          <t>Social/Platform Software</t>
        </is>
      </c>
      <c r="F801" s="14" t="inlineStr">
        <is>
          <t>San Diego, CA</t>
        </is>
      </c>
      <c r="G801" s="15" t="inlineStr">
        <is>
          <t>Privately Held (backing)</t>
        </is>
      </c>
      <c r="H801" s="16" t="inlineStr">
        <is>
          <t>Accelerator/Incubator Backed</t>
        </is>
      </c>
      <c r="I801" s="17" t="inlineStr">
        <is>
          <t>Catapult Ideas, MIT Launch</t>
        </is>
      </c>
      <c r="J801" s="18" t="inlineStr">
        <is>
          <t>www.bridgeinitiative.org</t>
        </is>
      </c>
      <c r="K801" s="19" t="inlineStr">
        <is>
          <t>info@bridgeinitiative.org</t>
        </is>
      </c>
      <c r="L801" s="20" t="inlineStr">
        <is>
          <t/>
        </is>
      </c>
      <c r="M801" s="21" t="inlineStr">
        <is>
          <t>Russell Reed</t>
        </is>
      </c>
      <c r="N801" s="22" t="inlineStr">
        <is>
          <t>Co-Founder &amp; Chief Executive Officer</t>
        </is>
      </c>
      <c r="O801" s="23" t="inlineStr">
        <is>
          <t>russell@bridgeinitiative.org</t>
        </is>
      </c>
      <c r="P801" s="24" t="inlineStr">
        <is>
          <t/>
        </is>
      </c>
      <c r="Q801" s="25" t="n">
        <v>2014.0</v>
      </c>
      <c r="R801" s="113">
        <f>HYPERLINK("https://my.pitchbook.com?c=169424-83", "View company online")</f>
      </c>
    </row>
    <row r="802">
      <c r="A802" s="27" t="inlineStr">
        <is>
          <t>169469-83</t>
        </is>
      </c>
      <c r="B802" s="28" t="inlineStr">
        <is>
          <t>The Beans</t>
        </is>
      </c>
      <c r="C802" s="29" t="inlineStr">
        <is>
          <t/>
        </is>
      </c>
      <c r="D802" s="30" t="inlineStr">
        <is>
          <t>Provider of financial management services.</t>
        </is>
      </c>
      <c r="E802" s="31" t="inlineStr">
        <is>
          <t>Other Financial Services</t>
        </is>
      </c>
      <c r="F802" s="32" t="inlineStr">
        <is>
          <t>San Francisco, CA</t>
        </is>
      </c>
      <c r="G802" s="33" t="inlineStr">
        <is>
          <t>Privately Held (backing)</t>
        </is>
      </c>
      <c r="H802" s="34" t="inlineStr">
        <is>
          <t>Angel-Backed</t>
        </is>
      </c>
      <c r="I802" s="35" t="inlineStr">
        <is>
          <t>Vidinovo</t>
        </is>
      </c>
      <c r="J802" s="36" t="inlineStr">
        <is>
          <t>www.thebeans.io</t>
        </is>
      </c>
      <c r="K802" s="37" t="inlineStr">
        <is>
          <t/>
        </is>
      </c>
      <c r="L802" s="38" t="inlineStr">
        <is>
          <t/>
        </is>
      </c>
      <c r="M802" s="39" t="inlineStr">
        <is>
          <t>Melissa Pancoast</t>
        </is>
      </c>
      <c r="N802" s="40" t="inlineStr">
        <is>
          <t>Founder</t>
        </is>
      </c>
      <c r="O802" s="41" t="inlineStr">
        <is>
          <t>melissa@thebeans.io</t>
        </is>
      </c>
      <c r="P802" s="42" t="inlineStr">
        <is>
          <t/>
        </is>
      </c>
      <c r="Q802" s="43" t="inlineStr">
        <is>
          <t/>
        </is>
      </c>
      <c r="R802" s="114">
        <f>HYPERLINK("https://my.pitchbook.com?c=169469-83", "View company online")</f>
      </c>
    </row>
    <row r="803">
      <c r="A803" s="9" t="inlineStr">
        <is>
          <t>64136-44</t>
        </is>
      </c>
      <c r="B803" s="10" t="inlineStr">
        <is>
          <t>The Bay Lights</t>
        </is>
      </c>
      <c r="C803" s="11" t="inlineStr">
        <is>
          <t>94901</t>
        </is>
      </c>
      <c r="D803" s="12" t="inlineStr">
        <is>
          <t>Creator of a public art. The company creates contemporary public art with civic impact, social activation and global reach.</t>
        </is>
      </c>
      <c r="E803" s="13" t="inlineStr">
        <is>
          <t>Other Consumer Products and Services</t>
        </is>
      </c>
      <c r="F803" s="14" t="inlineStr">
        <is>
          <t>San Rafael, CA</t>
        </is>
      </c>
      <c r="G803" s="15" t="inlineStr">
        <is>
          <t>Privately Held (backing)</t>
        </is>
      </c>
      <c r="H803" s="16" t="inlineStr">
        <is>
          <t>Angel-Backed</t>
        </is>
      </c>
      <c r="I803" s="17" t="inlineStr">
        <is>
          <t/>
        </is>
      </c>
      <c r="J803" s="18" t="inlineStr">
        <is>
          <t>www.thebaylights.org</t>
        </is>
      </c>
      <c r="K803" s="19" t="inlineStr">
        <is>
          <t>info@illuminatethearts.org</t>
        </is>
      </c>
      <c r="L803" s="20" t="inlineStr">
        <is>
          <t>+1 (415) 728-1605</t>
        </is>
      </c>
      <c r="M803" s="21" t="inlineStr">
        <is>
          <t>Leo Villareal</t>
        </is>
      </c>
      <c r="N803" s="22" t="inlineStr">
        <is>
          <t>Co-Founder</t>
        </is>
      </c>
      <c r="O803" s="23" t="inlineStr">
        <is>
          <t/>
        </is>
      </c>
      <c r="P803" s="24" t="inlineStr">
        <is>
          <t>+1 (415) 728-1605</t>
        </is>
      </c>
      <c r="Q803" s="25" t="n">
        <v>2013.0</v>
      </c>
      <c r="R803" s="113">
        <f>HYPERLINK("https://my.pitchbook.com?c=64136-44", "View company online")</f>
      </c>
    </row>
    <row r="804">
      <c r="A804" s="27" t="inlineStr">
        <is>
          <t>122353-84</t>
        </is>
      </c>
      <c r="B804" s="28" t="inlineStr">
        <is>
          <t>The Bark</t>
        </is>
      </c>
      <c r="C804" s="29" t="inlineStr">
        <is>
          <t>94710</t>
        </is>
      </c>
      <c r="D804" s="30" t="inlineStr">
        <is>
          <t>Publisher of a dog culture magazine. The company publishes a dog culture magazine that provides a guide to life with dogs, showing readers how to live with their canine companions.</t>
        </is>
      </c>
      <c r="E804" s="31" t="inlineStr">
        <is>
          <t>Publishing</t>
        </is>
      </c>
      <c r="F804" s="32" t="inlineStr">
        <is>
          <t>Berkeley, CA</t>
        </is>
      </c>
      <c r="G804" s="33" t="inlineStr">
        <is>
          <t>Privately Held (backing)</t>
        </is>
      </c>
      <c r="H804" s="34" t="inlineStr">
        <is>
          <t>Angel-Backed</t>
        </is>
      </c>
      <c r="I804" s="35" t="inlineStr">
        <is>
          <t>Greg Kidd</t>
        </is>
      </c>
      <c r="J804" s="36" t="inlineStr">
        <is>
          <t>www.thebark.com</t>
        </is>
      </c>
      <c r="K804" s="37" t="inlineStr">
        <is>
          <t>editor@thebark.com</t>
        </is>
      </c>
      <c r="L804" s="38" t="inlineStr">
        <is>
          <t>+1 (510) 704-0827</t>
        </is>
      </c>
      <c r="M804" s="39" t="inlineStr">
        <is>
          <t>Claudia Kawczynska</t>
        </is>
      </c>
      <c r="N804" s="40" t="inlineStr">
        <is>
          <t>Co-Founder, Chief Executive Officer &amp; Editor-In-Chief</t>
        </is>
      </c>
      <c r="O804" s="41" t="inlineStr">
        <is>
          <t>claudia@thebark.com</t>
        </is>
      </c>
      <c r="P804" s="42" t="inlineStr">
        <is>
          <t>+1 (510) 704-0827</t>
        </is>
      </c>
      <c r="Q804" s="43" t="n">
        <v>1997.0</v>
      </c>
      <c r="R804" s="114">
        <f>HYPERLINK("https://my.pitchbook.com?c=122353-84", "View company online")</f>
      </c>
    </row>
    <row r="805">
      <c r="A805" s="9" t="inlineStr">
        <is>
          <t>126529-48</t>
        </is>
      </c>
      <c r="B805" s="10" t="inlineStr">
        <is>
          <t>The Awesome Game Studio</t>
        </is>
      </c>
      <c r="C805" s="11" t="inlineStr">
        <is>
          <t>94538</t>
        </is>
      </c>
      <c r="D805" s="12" t="inlineStr">
        <is>
          <t>Operator of a game development studio. The company specializes in designing and developing gaming applications.</t>
        </is>
      </c>
      <c r="E805" s="13" t="inlineStr">
        <is>
          <t>Entertainment Software</t>
        </is>
      </c>
      <c r="F805" s="14" t="inlineStr">
        <is>
          <t>Fremont, CA</t>
        </is>
      </c>
      <c r="G805" s="15" t="inlineStr">
        <is>
          <t>Privately Held (backing)</t>
        </is>
      </c>
      <c r="H805" s="16" t="inlineStr">
        <is>
          <t>Accelerator/Incubator Backed</t>
        </is>
      </c>
      <c r="I805" s="17" t="inlineStr">
        <is>
          <t>YetiZen</t>
        </is>
      </c>
      <c r="J805" s="18" t="inlineStr">
        <is>
          <t>www.theawesomegamestudio.com</t>
        </is>
      </c>
      <c r="K805" s="19" t="inlineStr">
        <is>
          <t>info@theawesomegamestudio.com</t>
        </is>
      </c>
      <c r="L805" s="20" t="inlineStr">
        <is>
          <t>+1 (406) 999-2230</t>
        </is>
      </c>
      <c r="M805" s="21" t="inlineStr">
        <is>
          <t>Rajat Ojha</t>
        </is>
      </c>
      <c r="N805" s="22" t="inlineStr">
        <is>
          <t>Founder, Managing Director &amp; Chief Executive Officer</t>
        </is>
      </c>
      <c r="O805" s="23" t="inlineStr">
        <is>
          <t>rajat@theawesomegamestudio.com</t>
        </is>
      </c>
      <c r="P805" s="24" t="inlineStr">
        <is>
          <t>+1 (406) 999-2230</t>
        </is>
      </c>
      <c r="Q805" s="25" t="n">
        <v>2012.0</v>
      </c>
      <c r="R805" s="113">
        <f>HYPERLINK("https://my.pitchbook.com?c=126529-48", "View company online")</f>
      </c>
    </row>
    <row r="806">
      <c r="A806" s="27" t="inlineStr">
        <is>
          <t>95427-19</t>
        </is>
      </c>
      <c r="B806" s="28" t="inlineStr">
        <is>
          <t>The 1947 Partition Archive</t>
        </is>
      </c>
      <c r="C806" s="29" t="inlineStr">
        <is>
          <t>94709</t>
        </is>
      </c>
      <c r="D806" s="30" t="inlineStr">
        <is>
          <t>Provider of a platform for collecting live stories at the time of Indian partition. The company offers an archive for citizens to record and share experiences at the time of India-Pakistan partition.</t>
        </is>
      </c>
      <c r="E806" s="31" t="inlineStr">
        <is>
          <t>Other Consumer Products and Services</t>
        </is>
      </c>
      <c r="F806" s="32" t="inlineStr">
        <is>
          <t>Berkeley, CA</t>
        </is>
      </c>
      <c r="G806" s="33" t="inlineStr">
        <is>
          <t>Privately Held (backing)</t>
        </is>
      </c>
      <c r="H806" s="34" t="inlineStr">
        <is>
          <t>Accelerator/Incubator Backed</t>
        </is>
      </c>
      <c r="I806" s="35" t="inlineStr">
        <is>
          <t>Skydeck | Berkeley</t>
        </is>
      </c>
      <c r="J806" s="36" t="inlineStr">
        <is>
          <t>www.1947partitionarchive.org</t>
        </is>
      </c>
      <c r="K806" s="37" t="inlineStr">
        <is>
          <t>info@1947partitionarchive.org</t>
        </is>
      </c>
      <c r="L806" s="38" t="inlineStr">
        <is>
          <t/>
        </is>
      </c>
      <c r="M806" s="39" t="inlineStr">
        <is>
          <t>Guneeta Singh Bhalla</t>
        </is>
      </c>
      <c r="N806" s="40" t="inlineStr">
        <is>
          <t>Founder &amp; Executive Director</t>
        </is>
      </c>
      <c r="O806" s="41" t="inlineStr">
        <is>
          <t>guneeta@1947partitionarchive.org</t>
        </is>
      </c>
      <c r="P806" s="42" t="inlineStr">
        <is>
          <t/>
        </is>
      </c>
      <c r="Q806" s="43" t="n">
        <v>2011.0</v>
      </c>
      <c r="R806" s="114">
        <f>HYPERLINK("https://my.pitchbook.com?c=95427-19", "View company online")</f>
      </c>
    </row>
    <row r="807">
      <c r="A807" s="9" t="inlineStr">
        <is>
          <t>176409-37</t>
        </is>
      </c>
      <c r="B807" s="10" t="inlineStr">
        <is>
          <t>The 100 Mile Network</t>
        </is>
      </c>
      <c r="C807" s="85">
        <f>HYPERLINK("https://my.pitchbook.com?rrp=176409-37&amp;type=c", "This Company's information is not available to download. Need this Company? Request availability")</f>
      </c>
      <c r="D807" s="12" t="inlineStr">
        <is>
          <t/>
        </is>
      </c>
      <c r="E807" s="13" t="inlineStr">
        <is>
          <t/>
        </is>
      </c>
      <c r="F807" s="14" t="inlineStr">
        <is>
          <t/>
        </is>
      </c>
      <c r="G807" s="15" t="inlineStr">
        <is>
          <t/>
        </is>
      </c>
      <c r="H807" s="16" t="inlineStr">
        <is>
          <t/>
        </is>
      </c>
      <c r="I807" s="17" t="inlineStr">
        <is>
          <t/>
        </is>
      </c>
      <c r="J807" s="18" t="inlineStr">
        <is>
          <t/>
        </is>
      </c>
      <c r="K807" s="19" t="inlineStr">
        <is>
          <t/>
        </is>
      </c>
      <c r="L807" s="20" t="inlineStr">
        <is>
          <t/>
        </is>
      </c>
      <c r="M807" s="21" t="inlineStr">
        <is>
          <t/>
        </is>
      </c>
      <c r="N807" s="22" t="inlineStr">
        <is>
          <t/>
        </is>
      </c>
      <c r="O807" s="23" t="inlineStr">
        <is>
          <t/>
        </is>
      </c>
      <c r="P807" s="24" t="inlineStr">
        <is>
          <t/>
        </is>
      </c>
      <c r="Q807" s="25" t="inlineStr">
        <is>
          <t/>
        </is>
      </c>
      <c r="R807" s="26" t="inlineStr">
        <is>
          <t/>
        </is>
      </c>
    </row>
    <row r="808">
      <c r="A808" s="27" t="inlineStr">
        <is>
          <t>157872-25</t>
        </is>
      </c>
      <c r="B808" s="28" t="inlineStr">
        <is>
          <t>ThankRoll</t>
        </is>
      </c>
      <c r="C808" s="29" t="inlineStr">
        <is>
          <t/>
        </is>
      </c>
      <c r="D808" s="30" t="inlineStr">
        <is>
          <t>Provider of a platform for fans to collect products of artists. The company provides a platform where fans can enter their credit card information and purchase products and services trough a white-label widget.</t>
        </is>
      </c>
      <c r="E808" s="31" t="inlineStr">
        <is>
          <t>Social/Platform Software</t>
        </is>
      </c>
      <c r="F808" s="32" t="inlineStr">
        <is>
          <t>San Francisco, CA</t>
        </is>
      </c>
      <c r="G808" s="33" t="inlineStr">
        <is>
          <t>Privately Held (backing)</t>
        </is>
      </c>
      <c r="H808" s="34" t="inlineStr">
        <is>
          <t>Accelerator/Incubator Backed</t>
        </is>
      </c>
      <c r="I808" s="35" t="inlineStr">
        <is>
          <t>Matter</t>
        </is>
      </c>
      <c r="J808" s="36" t="inlineStr">
        <is>
          <t>www.thankroll.com</t>
        </is>
      </c>
      <c r="K808" s="37" t="inlineStr">
        <is>
          <t/>
        </is>
      </c>
      <c r="L808" s="38" t="inlineStr">
        <is>
          <t/>
        </is>
      </c>
      <c r="M808" s="39" t="inlineStr">
        <is>
          <t>Cyan Banister</t>
        </is>
      </c>
      <c r="N808" s="40" t="inlineStr">
        <is>
          <t>Co-Founder</t>
        </is>
      </c>
      <c r="O808" s="41" t="inlineStr">
        <is>
          <t>cbanister@foundersfund.com</t>
        </is>
      </c>
      <c r="P808" s="42" t="inlineStr">
        <is>
          <t>+1 (415) 230-5800</t>
        </is>
      </c>
      <c r="Q808" s="43" t="n">
        <v>2016.0</v>
      </c>
      <c r="R808" s="114">
        <f>HYPERLINK("https://my.pitchbook.com?c=157872-25", "View company online")</f>
      </c>
    </row>
    <row r="809">
      <c r="A809" s="9" t="inlineStr">
        <is>
          <t>170396-74</t>
        </is>
      </c>
      <c r="B809" s="10" t="inlineStr">
        <is>
          <t>Text To Ticket</t>
        </is>
      </c>
      <c r="C809" s="11" t="inlineStr">
        <is>
          <t>94109</t>
        </is>
      </c>
      <c r="D809" s="12" t="inlineStr">
        <is>
          <t>Provider of an application intended to save lives and injuries by paying user-submitted videos that catch texting and driving in the act. The company offers an application to assist law enforcement in ticketing those who violate distracted driving safety laws and develops an enforcement process for drivers who break minor traffic safety laws using crowdsourced video evidence enabling people save lives and reduce injuries.</t>
        </is>
      </c>
      <c r="E809" s="13" t="inlineStr">
        <is>
          <t>Application Software</t>
        </is>
      </c>
      <c r="F809" s="14" t="inlineStr">
        <is>
          <t>San Francisco, CA</t>
        </is>
      </c>
      <c r="G809" s="15" t="inlineStr">
        <is>
          <t>Privately Held (backing)</t>
        </is>
      </c>
      <c r="H809" s="16" t="inlineStr">
        <is>
          <t>Accelerator/Incubator Backed</t>
        </is>
      </c>
      <c r="I809" s="17" t="inlineStr">
        <is>
          <t>500 Startups</t>
        </is>
      </c>
      <c r="J809" s="18" t="inlineStr">
        <is>
          <t>www.texttoticket.com</t>
        </is>
      </c>
      <c r="K809" s="19" t="inlineStr">
        <is>
          <t>info@texttoticket.com</t>
        </is>
      </c>
      <c r="L809" s="20" t="inlineStr">
        <is>
          <t>+1 (415) 909-0221</t>
        </is>
      </c>
      <c r="M809" s="21" t="inlineStr">
        <is>
          <t>Jesse Day</t>
        </is>
      </c>
      <c r="N809" s="22" t="inlineStr">
        <is>
          <t>Co-Founder &amp; Chief Executive Officer</t>
        </is>
      </c>
      <c r="O809" s="23" t="inlineStr">
        <is>
          <t>jesse@texttoticket.com</t>
        </is>
      </c>
      <c r="P809" s="24" t="inlineStr">
        <is>
          <t>+1 (415) 909-0221</t>
        </is>
      </c>
      <c r="Q809" s="25" t="n">
        <v>2016.0</v>
      </c>
      <c r="R809" s="113">
        <f>HYPERLINK("https://my.pitchbook.com?c=170396-74", "View company online")</f>
      </c>
    </row>
    <row r="810">
      <c r="A810" s="27" t="inlineStr">
        <is>
          <t>167681-62</t>
        </is>
      </c>
      <c r="B810" s="28" t="inlineStr">
        <is>
          <t>Tetracube Technologies</t>
        </is>
      </c>
      <c r="C810" s="29" t="inlineStr">
        <is>
          <t>94597</t>
        </is>
      </c>
      <c r="D810" s="30" t="inlineStr">
        <is>
          <t>The company is currently operating in Stealth mode.</t>
        </is>
      </c>
      <c r="E810" s="31" t="inlineStr">
        <is>
          <t>Other Business Products and Services</t>
        </is>
      </c>
      <c r="F810" s="32" t="inlineStr">
        <is>
          <t>Walnut Creek, CA</t>
        </is>
      </c>
      <c r="G810" s="33" t="inlineStr">
        <is>
          <t>Privately Held (backing)</t>
        </is>
      </c>
      <c r="H810" s="34" t="inlineStr">
        <is>
          <t>Angel-Backed</t>
        </is>
      </c>
      <c r="I810" s="35" t="inlineStr">
        <is>
          <t/>
        </is>
      </c>
      <c r="J810" s="36" t="inlineStr">
        <is>
          <t/>
        </is>
      </c>
      <c r="K810" s="37" t="inlineStr">
        <is>
          <t/>
        </is>
      </c>
      <c r="L810" s="38" t="inlineStr">
        <is>
          <t>+1 (954) 214-0669</t>
        </is>
      </c>
      <c r="M810" s="39" t="inlineStr">
        <is>
          <t>Andrew Lin</t>
        </is>
      </c>
      <c r="N810" s="40" t="inlineStr">
        <is>
          <t>Manager</t>
        </is>
      </c>
      <c r="O810" s="41" t="inlineStr">
        <is>
          <t/>
        </is>
      </c>
      <c r="P810" s="42" t="inlineStr">
        <is>
          <t>+1 (954) 214-0669</t>
        </is>
      </c>
      <c r="Q810" s="43" t="n">
        <v>2016.0</v>
      </c>
      <c r="R810" s="114">
        <f>HYPERLINK("https://my.pitchbook.com?c=167681-62", "View company online")</f>
      </c>
    </row>
    <row r="811">
      <c r="A811" s="9" t="inlineStr">
        <is>
          <t>180669-70</t>
        </is>
      </c>
      <c r="B811" s="10" t="inlineStr">
        <is>
          <t>Tetra Health Centers</t>
        </is>
      </c>
      <c r="C811" s="11" t="inlineStr">
        <is>
          <t>33759</t>
        </is>
      </c>
      <c r="D811" s="12" t="inlineStr">
        <is>
          <t>Operator of medical marijuana recommendation clinics to provide treatment of medical conditions using medical marijuana. The company's marijuana clinics specialize in the diagnosis and prescription of natural healing processes of a wide range of medical conditions by educated medical marijuana doctors, enabling patients to address individual medical needs and get cured of chronic illnesses.</t>
        </is>
      </c>
      <c r="E811" s="13" t="inlineStr">
        <is>
          <t>Clinics/Outpatient Services</t>
        </is>
      </c>
      <c r="F811" s="14" t="inlineStr">
        <is>
          <t>Clearwater, FL</t>
        </is>
      </c>
      <c r="G811" s="15" t="inlineStr">
        <is>
          <t>Privately Held (backing)</t>
        </is>
      </c>
      <c r="H811" s="16" t="inlineStr">
        <is>
          <t>Angel-Backed</t>
        </is>
      </c>
      <c r="I811" s="17" t="inlineStr">
        <is>
          <t/>
        </is>
      </c>
      <c r="J811" s="18" t="inlineStr">
        <is>
          <t>www.tetrahealthcenters.com</t>
        </is>
      </c>
      <c r="K811" s="19" t="inlineStr">
        <is>
          <t>info@tetrahealthcenters.com</t>
        </is>
      </c>
      <c r="L811" s="20" t="inlineStr">
        <is>
          <t>+1 (727) 351-5117</t>
        </is>
      </c>
      <c r="M811" s="21" t="inlineStr">
        <is>
          <t>Tracilea Young</t>
        </is>
      </c>
      <c r="N811" s="22" t="inlineStr">
        <is>
          <t>Founder &amp; Manager</t>
        </is>
      </c>
      <c r="O811" s="23" t="inlineStr">
        <is>
          <t>tyoung@tetrahealthcenters.com</t>
        </is>
      </c>
      <c r="P811" s="24" t="inlineStr">
        <is>
          <t>+1 (727) 351-5117</t>
        </is>
      </c>
      <c r="Q811" s="25" t="n">
        <v>2015.0</v>
      </c>
      <c r="R811" s="113">
        <f>HYPERLINK("https://my.pitchbook.com?c=180669-70", "View company online")</f>
      </c>
    </row>
    <row r="812">
      <c r="A812" s="27" t="inlineStr">
        <is>
          <t>178894-54</t>
        </is>
      </c>
      <c r="B812" s="28" t="inlineStr">
        <is>
          <t>Tetra (Automatic notes)</t>
        </is>
      </c>
      <c r="C812" s="29" t="inlineStr">
        <is>
          <t>94025</t>
        </is>
      </c>
      <c r="D812" s="30" t="inlineStr">
        <is>
          <t>Developer of a call note mobile application designed to send notes on entire conversation. The company's call note mobile application dials into calls and automatically takes notes then send the entire conversations to users, enabling them to concentrate on the conversations and remember everything later.</t>
        </is>
      </c>
      <c r="E812" s="31" t="inlineStr">
        <is>
          <t>Application Software</t>
        </is>
      </c>
      <c r="F812" s="32" t="inlineStr">
        <is>
          <t>Menlo Park, CA</t>
        </is>
      </c>
      <c r="G812" s="33" t="inlineStr">
        <is>
          <t>Privately Held (backing)</t>
        </is>
      </c>
      <c r="H812" s="34" t="inlineStr">
        <is>
          <t>Accelerator/Incubator Backed</t>
        </is>
      </c>
      <c r="I812" s="35" t="inlineStr">
        <is>
          <t>Y Combinator</t>
        </is>
      </c>
      <c r="J812" s="36" t="inlineStr">
        <is>
          <t>www.asktetra.com</t>
        </is>
      </c>
      <c r="K812" s="37" t="inlineStr">
        <is>
          <t/>
        </is>
      </c>
      <c r="L812" s="38" t="inlineStr">
        <is>
          <t/>
        </is>
      </c>
      <c r="M812" s="39" t="inlineStr">
        <is>
          <t/>
        </is>
      </c>
      <c r="N812" s="40" t="inlineStr">
        <is>
          <t/>
        </is>
      </c>
      <c r="O812" s="41" t="inlineStr">
        <is>
          <t/>
        </is>
      </c>
      <c r="P812" s="42" t="inlineStr">
        <is>
          <t/>
        </is>
      </c>
      <c r="Q812" s="43" t="n">
        <v>2016.0</v>
      </c>
      <c r="R812" s="114">
        <f>HYPERLINK("https://my.pitchbook.com?c=178894-54", "View company online")</f>
      </c>
    </row>
    <row r="813">
      <c r="A813" s="9" t="inlineStr">
        <is>
          <t>103103-74</t>
        </is>
      </c>
      <c r="B813" s="10" t="inlineStr">
        <is>
          <t>TestNest</t>
        </is>
      </c>
      <c r="C813" s="85">
        <f>HYPERLINK("https://my.pitchbook.com?rrp=103103-74&amp;type=c", "This Company's information is not available to download. Need this Company? Request availability")</f>
      </c>
      <c r="D813" s="12" t="inlineStr">
        <is>
          <t/>
        </is>
      </c>
      <c r="E813" s="13" t="inlineStr">
        <is>
          <t/>
        </is>
      </c>
      <c r="F813" s="14" t="inlineStr">
        <is>
          <t/>
        </is>
      </c>
      <c r="G813" s="15" t="inlineStr">
        <is>
          <t/>
        </is>
      </c>
      <c r="H813" s="16" t="inlineStr">
        <is>
          <t/>
        </is>
      </c>
      <c r="I813" s="17" t="inlineStr">
        <is>
          <t/>
        </is>
      </c>
      <c r="J813" s="18" t="inlineStr">
        <is>
          <t/>
        </is>
      </c>
      <c r="K813" s="19" t="inlineStr">
        <is>
          <t/>
        </is>
      </c>
      <c r="L813" s="20" t="inlineStr">
        <is>
          <t/>
        </is>
      </c>
      <c r="M813" s="21" t="inlineStr">
        <is>
          <t/>
        </is>
      </c>
      <c r="N813" s="22" t="inlineStr">
        <is>
          <t/>
        </is>
      </c>
      <c r="O813" s="23" t="inlineStr">
        <is>
          <t/>
        </is>
      </c>
      <c r="P813" s="24" t="inlineStr">
        <is>
          <t/>
        </is>
      </c>
      <c r="Q813" s="25" t="inlineStr">
        <is>
          <t/>
        </is>
      </c>
      <c r="R813" s="26" t="inlineStr">
        <is>
          <t/>
        </is>
      </c>
    </row>
    <row r="814">
      <c r="A814" s="27" t="inlineStr">
        <is>
          <t>90012-25</t>
        </is>
      </c>
      <c r="B814" s="28" t="inlineStr">
        <is>
          <t>TeselaGen Biotechnology</t>
        </is>
      </c>
      <c r="C814" s="29" t="inlineStr">
        <is>
          <t>94107</t>
        </is>
      </c>
      <c r="D814" s="30" t="inlineStr">
        <is>
          <t>Developer of a software system for DNA assemblies. The company develops software systems for production of DNA assemblies and combination libraries.</t>
        </is>
      </c>
      <c r="E814" s="31" t="inlineStr">
        <is>
          <t>Biotechnology</t>
        </is>
      </c>
      <c r="F814" s="32" t="inlineStr">
        <is>
          <t>San Francisco, CA</t>
        </is>
      </c>
      <c r="G814" s="33" t="inlineStr">
        <is>
          <t>Privately Held (backing)</t>
        </is>
      </c>
      <c r="H814" s="34" t="inlineStr">
        <is>
          <t>Accelerator/Incubator Backed</t>
        </is>
      </c>
      <c r="I814" s="35" t="inlineStr">
        <is>
          <t>California Institute for Quantitative Biosciences, National Science Foundation</t>
        </is>
      </c>
      <c r="J814" s="36" t="inlineStr">
        <is>
          <t>www.teselagen.com</t>
        </is>
      </c>
      <c r="K814" s="37" t="inlineStr">
        <is>
          <t>contact@teselagen.com</t>
        </is>
      </c>
      <c r="L814" s="38" t="inlineStr">
        <is>
          <t/>
        </is>
      </c>
      <c r="M814" s="39" t="inlineStr">
        <is>
          <t>Mike Fero</t>
        </is>
      </c>
      <c r="N814" s="40" t="inlineStr">
        <is>
          <t>Co-Founder &amp; Chief Executive Officer</t>
        </is>
      </c>
      <c r="O814" s="41" t="inlineStr">
        <is>
          <t>mike.fero@teselagen.com</t>
        </is>
      </c>
      <c r="P814" s="42" t="inlineStr">
        <is>
          <t/>
        </is>
      </c>
      <c r="Q814" s="43" t="n">
        <v>2011.0</v>
      </c>
      <c r="R814" s="114">
        <f>HYPERLINK("https://my.pitchbook.com?c=90012-25", "View company online")</f>
      </c>
    </row>
    <row r="815">
      <c r="A815" s="9" t="inlineStr">
        <is>
          <t>152839-27</t>
        </is>
      </c>
      <c r="B815" s="10" t="inlineStr">
        <is>
          <t>Terzo Power Systems</t>
        </is>
      </c>
      <c r="C815" s="11" t="inlineStr">
        <is>
          <t>95826</t>
        </is>
      </c>
      <c r="D815" s="12" t="inlineStr">
        <is>
          <t>Manufacturer of electronic pump system. The company manufactures and designs electronic pump system for industrial hydraulics and offers cost effective, controlling and programming architecture.</t>
        </is>
      </c>
      <c r="E815" s="13" t="inlineStr">
        <is>
          <t>Electrical Equipment</t>
        </is>
      </c>
      <c r="F815" s="14" t="inlineStr">
        <is>
          <t>Sacramento, CA</t>
        </is>
      </c>
      <c r="G815" s="15" t="inlineStr">
        <is>
          <t>Privately Held (backing)</t>
        </is>
      </c>
      <c r="H815" s="16" t="inlineStr">
        <is>
          <t>Angel-Backed</t>
        </is>
      </c>
      <c r="I815" s="17" t="inlineStr">
        <is>
          <t>Sacramento Angels</t>
        </is>
      </c>
      <c r="J815" s="18" t="inlineStr">
        <is>
          <t>www.terzopower.com</t>
        </is>
      </c>
      <c r="K815" s="19" t="inlineStr">
        <is>
          <t/>
        </is>
      </c>
      <c r="L815" s="20" t="inlineStr">
        <is>
          <t>+1 (916) 226-5256</t>
        </is>
      </c>
      <c r="M815" s="21" t="inlineStr">
        <is>
          <t>Mike Terzo</t>
        </is>
      </c>
      <c r="N815" s="22" t="inlineStr">
        <is>
          <t>Founder &amp; Chief Technology Officer</t>
        </is>
      </c>
      <c r="O815" s="23" t="inlineStr">
        <is>
          <t>mterzo@terzopower.com</t>
        </is>
      </c>
      <c r="P815" s="24" t="inlineStr">
        <is>
          <t>+1 (916) 226-5256</t>
        </is>
      </c>
      <c r="Q815" s="25" t="n">
        <v>2014.0</v>
      </c>
      <c r="R815" s="113">
        <f>HYPERLINK("https://my.pitchbook.com?c=152839-27", "View company online")</f>
      </c>
    </row>
    <row r="816">
      <c r="A816" s="27" t="inlineStr">
        <is>
          <t>90743-14</t>
        </is>
      </c>
      <c r="B816" s="28" t="inlineStr">
        <is>
          <t>Terrace</t>
        </is>
      </c>
      <c r="C816" s="29" t="inlineStr">
        <is>
          <t>94119</t>
        </is>
      </c>
      <c r="D816" s="30" t="inlineStr">
        <is>
          <t>Developer of business software designed to build a connected workplace which makes an organization run smoothly. The company's business software uses innovative and latest technology that helps businesses to navigate the cloud, and can be customized according to the requirement, enabling companies to avail the software within time and on specified budget.</t>
        </is>
      </c>
      <c r="E816" s="31" t="inlineStr">
        <is>
          <t>Business/Productivity Software</t>
        </is>
      </c>
      <c r="F816" s="32" t="inlineStr">
        <is>
          <t>San Francisco, CA</t>
        </is>
      </c>
      <c r="G816" s="33" t="inlineStr">
        <is>
          <t>Privately Held (backing)</t>
        </is>
      </c>
      <c r="H816" s="34" t="inlineStr">
        <is>
          <t>Angel-Backed</t>
        </is>
      </c>
      <c r="I816" s="35" t="inlineStr">
        <is>
          <t/>
        </is>
      </c>
      <c r="J816" s="36" t="inlineStr">
        <is>
          <t>www.terrace.com</t>
        </is>
      </c>
      <c r="K816" s="37" t="inlineStr">
        <is>
          <t>contact.terrace@terrace.com</t>
        </is>
      </c>
      <c r="L816" s="38" t="inlineStr">
        <is>
          <t>+1 (415) 848-7300</t>
        </is>
      </c>
      <c r="M816" s="39" t="inlineStr">
        <is>
          <t>Todd Ziesing</t>
        </is>
      </c>
      <c r="N816" s="40" t="inlineStr">
        <is>
          <t>Chief Executive Officer, Board Member &amp; Founder</t>
        </is>
      </c>
      <c r="O816" s="41" t="inlineStr">
        <is>
          <t>toddz@terrace.com</t>
        </is>
      </c>
      <c r="P816" s="42" t="inlineStr">
        <is>
          <t>+1 (415) 848-7300</t>
        </is>
      </c>
      <c r="Q816" s="43" t="n">
        <v>1992.0</v>
      </c>
      <c r="R816" s="114">
        <f>HYPERLINK("https://my.pitchbook.com?c=90743-14", "View company online")</f>
      </c>
    </row>
    <row r="817">
      <c r="A817" s="9" t="inlineStr">
        <is>
          <t>53661-34</t>
        </is>
      </c>
      <c r="B817" s="10" t="inlineStr">
        <is>
          <t>Terra Matrix</t>
        </is>
      </c>
      <c r="C817" s="11" t="inlineStr">
        <is>
          <t>90404</t>
        </is>
      </c>
      <c r="D817" s="12" t="inlineStr">
        <is>
          <t>Provider of online marketing services.</t>
        </is>
      </c>
      <c r="E817" s="13" t="inlineStr">
        <is>
          <t>Information Services (B2C)</t>
        </is>
      </c>
      <c r="F817" s="14" t="inlineStr">
        <is>
          <t>Santa Monica, CA</t>
        </is>
      </c>
      <c r="G817" s="15" t="inlineStr">
        <is>
          <t>Privately Held (backing)</t>
        </is>
      </c>
      <c r="H817" s="16" t="inlineStr">
        <is>
          <t>Angel-Backed</t>
        </is>
      </c>
      <c r="I817" s="17" t="inlineStr">
        <is>
          <t>Individual Investor</t>
        </is>
      </c>
      <c r="J817" s="18" t="inlineStr">
        <is>
          <t>www.terramatrixmedia.com</t>
        </is>
      </c>
      <c r="K817" s="19" t="inlineStr">
        <is>
          <t/>
        </is>
      </c>
      <c r="L817" s="20" t="inlineStr">
        <is>
          <t>+1 (310) 995-1427</t>
        </is>
      </c>
      <c r="M817" s="21" t="inlineStr">
        <is>
          <t>Arthur Wang</t>
        </is>
      </c>
      <c r="N817" s="22" t="inlineStr">
        <is>
          <t>Manager &amp; Chief Executive Officer</t>
        </is>
      </c>
      <c r="O817" s="23" t="inlineStr">
        <is>
          <t>arthur.wang@terramatrixmedia.com</t>
        </is>
      </c>
      <c r="P817" s="24" t="inlineStr">
        <is>
          <t>+1 (310) 995-1427</t>
        </is>
      </c>
      <c r="Q817" s="25" t="n">
        <v>2007.0</v>
      </c>
      <c r="R817" s="113">
        <f>HYPERLINK("https://my.pitchbook.com?c=53661-34", "View company online")</f>
      </c>
    </row>
    <row r="818">
      <c r="A818" s="27" t="inlineStr">
        <is>
          <t>121496-86</t>
        </is>
      </c>
      <c r="B818" s="28" t="inlineStr">
        <is>
          <t>Terbine</t>
        </is>
      </c>
      <c r="C818" s="29" t="inlineStr">
        <is>
          <t/>
        </is>
      </c>
      <c r="D818" s="30" t="inlineStr">
        <is>
          <t>Provider of a digital marketplace which offers sensor data. The company offers a digital marketplace which curates sensor data and seeks to provide an accessible pool of data.</t>
        </is>
      </c>
      <c r="E818" s="31" t="inlineStr">
        <is>
          <t>Other IT Services</t>
        </is>
      </c>
      <c r="F818" s="32" t="inlineStr">
        <is>
          <t>Los Angeles, CA</t>
        </is>
      </c>
      <c r="G818" s="33" t="inlineStr">
        <is>
          <t>Privately Held (backing)</t>
        </is>
      </c>
      <c r="H818" s="34" t="inlineStr">
        <is>
          <t>Angel-Backed</t>
        </is>
      </c>
      <c r="I818" s="35" t="inlineStr">
        <is>
          <t>Bruce Macurda, Peter Knez</t>
        </is>
      </c>
      <c r="J818" s="36" t="inlineStr">
        <is>
          <t>www.terbine.com</t>
        </is>
      </c>
      <c r="K818" s="37" t="inlineStr">
        <is>
          <t>info@terbine.com</t>
        </is>
      </c>
      <c r="L818" s="38" t="inlineStr">
        <is>
          <t>+1 (415) 203-6200</t>
        </is>
      </c>
      <c r="M818" s="39" t="inlineStr">
        <is>
          <t>David Knight</t>
        </is>
      </c>
      <c r="N818" s="40" t="inlineStr">
        <is>
          <t>Founder, Board Member, Chief Executive Officer &amp; Chief Technology Officer</t>
        </is>
      </c>
      <c r="O818" s="41" t="inlineStr">
        <is>
          <t>dknight@terbine.com</t>
        </is>
      </c>
      <c r="P818" s="42" t="inlineStr">
        <is>
          <t>+1 (415) 203-6200</t>
        </is>
      </c>
      <c r="Q818" s="43" t="n">
        <v>2013.0</v>
      </c>
      <c r="R818" s="114">
        <f>HYPERLINK("https://my.pitchbook.com?c=121496-86", "View company online")</f>
      </c>
    </row>
    <row r="819">
      <c r="A819" s="9" t="inlineStr">
        <is>
          <t>162054-10</t>
        </is>
      </c>
      <c r="B819" s="10" t="inlineStr">
        <is>
          <t>TeraPore Technologies</t>
        </is>
      </c>
      <c r="C819" s="11" t="inlineStr">
        <is>
          <t>94080</t>
        </is>
      </c>
      <c r="D819" s="12" t="inlineStr">
        <is>
          <t>Developer and manufacturer of a membrane technology for protein separations. The company specializes in the manufacturing of filters for protein separations, membrane separations for purification of biological fluids.</t>
        </is>
      </c>
      <c r="E819" s="13" t="inlineStr">
        <is>
          <t>Biotechnology</t>
        </is>
      </c>
      <c r="F819" s="14" t="inlineStr">
        <is>
          <t>South San Francisco, CA</t>
        </is>
      </c>
      <c r="G819" s="15" t="inlineStr">
        <is>
          <t>Privately Held (backing)</t>
        </is>
      </c>
      <c r="H819" s="16" t="inlineStr">
        <is>
          <t>Angel-Backed</t>
        </is>
      </c>
      <c r="I819" s="17" t="inlineStr">
        <is>
          <t>BR Venture Fund, National Science Foundation, U.S. Department of Health and Human Services</t>
        </is>
      </c>
      <c r="J819" s="18" t="inlineStr">
        <is>
          <t>www.teraporetech.com</t>
        </is>
      </c>
      <c r="K819" s="19" t="inlineStr">
        <is>
          <t>contact@teraporetech.com</t>
        </is>
      </c>
      <c r="L819" s="20" t="inlineStr">
        <is>
          <t>+1 (415) 347-3732</t>
        </is>
      </c>
      <c r="M819" s="21" t="inlineStr">
        <is>
          <t>Rachel Dorin</t>
        </is>
      </c>
      <c r="N819" s="22" t="inlineStr">
        <is>
          <t>Co-Founder, Chief Technical Officer &amp; Board Member</t>
        </is>
      </c>
      <c r="O819" s="23" t="inlineStr">
        <is>
          <t>rachel.dorin@teraporetech.com</t>
        </is>
      </c>
      <c r="P819" s="24" t="inlineStr">
        <is>
          <t>+1 (585) 458-4416</t>
        </is>
      </c>
      <c r="Q819" s="25" t="n">
        <v>2013.0</v>
      </c>
      <c r="R819" s="113">
        <f>HYPERLINK("https://my.pitchbook.com?c=162054-10", "View company online")</f>
      </c>
    </row>
    <row r="820">
      <c r="A820" s="27" t="inlineStr">
        <is>
          <t>96813-64</t>
        </is>
      </c>
      <c r="B820" s="28" t="inlineStr">
        <is>
          <t>TeraFold Biologics</t>
        </is>
      </c>
      <c r="C820" s="29" t="inlineStr">
        <is>
          <t>94108</t>
        </is>
      </c>
      <c r="D820" s="30" t="inlineStr">
        <is>
          <t>Provider of a computational platform to accelerate the discovery and pre-clinical validation of biologic drugs for cancer and neuro-degenerative diseases. The company designs novel protein scaffolds for a range of applications including novel therapeutics and medical diagnostics.</t>
        </is>
      </c>
      <c r="E820" s="31" t="inlineStr">
        <is>
          <t>Biotechnology</t>
        </is>
      </c>
      <c r="F820" s="32" t="inlineStr">
        <is>
          <t>San Francisco, CA</t>
        </is>
      </c>
      <c r="G820" s="33" t="inlineStr">
        <is>
          <t>Privately Held (backing)</t>
        </is>
      </c>
      <c r="H820" s="34" t="inlineStr">
        <is>
          <t>Accelerator/Incubator Backed</t>
        </is>
      </c>
      <c r="I820" s="35" t="inlineStr">
        <is>
          <t>California Institute for Quantitative Biosciences, Start-Up Chile, SVB Accelerator, VentureLab</t>
        </is>
      </c>
      <c r="J820" s="36" t="inlineStr">
        <is>
          <t>www.terafold.com</t>
        </is>
      </c>
      <c r="K820" s="37" t="inlineStr">
        <is>
          <t/>
        </is>
      </c>
      <c r="L820" s="38" t="inlineStr">
        <is>
          <t/>
        </is>
      </c>
      <c r="M820" s="39" t="inlineStr">
        <is>
          <t/>
        </is>
      </c>
      <c r="N820" s="40" t="inlineStr">
        <is>
          <t/>
        </is>
      </c>
      <c r="O820" s="41" t="inlineStr">
        <is>
          <t/>
        </is>
      </c>
      <c r="P820" s="42" t="inlineStr">
        <is>
          <t/>
        </is>
      </c>
      <c r="Q820" s="43" t="n">
        <v>2012.0</v>
      </c>
      <c r="R820" s="114">
        <f>HYPERLINK("https://my.pitchbook.com?c=96813-64", "View company online")</f>
      </c>
    </row>
    <row r="821">
      <c r="A821" s="9" t="inlineStr">
        <is>
          <t>103103-56</t>
        </is>
      </c>
      <c r="B821" s="10" t="inlineStr">
        <is>
          <t>Terafina</t>
        </is>
      </c>
      <c r="C821" s="11" t="inlineStr">
        <is>
          <t>94127</t>
        </is>
      </c>
      <c r="D821" s="12" t="inlineStr">
        <is>
          <t>Provider of a cloud-based omni channel sales platform. The company offers a platform which allows lead generation, sales process management and sales performance tracking.</t>
        </is>
      </c>
      <c r="E821" s="13" t="inlineStr">
        <is>
          <t>Business/Productivity Software</t>
        </is>
      </c>
      <c r="F821" s="14" t="inlineStr">
        <is>
          <t>San Francisco, CA</t>
        </is>
      </c>
      <c r="G821" s="15" t="inlineStr">
        <is>
          <t>Privately Held (backing)</t>
        </is>
      </c>
      <c r="H821" s="16" t="inlineStr">
        <is>
          <t>Angel-Backed</t>
        </is>
      </c>
      <c r="I821" s="17" t="inlineStr">
        <is>
          <t/>
        </is>
      </c>
      <c r="J821" s="18" t="inlineStr">
        <is>
          <t>www.terafinainc.com</t>
        </is>
      </c>
      <c r="K821" s="19" t="inlineStr">
        <is>
          <t/>
        </is>
      </c>
      <c r="L821" s="20" t="inlineStr">
        <is>
          <t>+1 (510) 573-6210</t>
        </is>
      </c>
      <c r="M821" s="21" t="inlineStr">
        <is>
          <t>Meheriar Hasan</t>
        </is>
      </c>
      <c r="N821" s="22" t="inlineStr">
        <is>
          <t>Co-Founder &amp; Chief Executive Officer</t>
        </is>
      </c>
      <c r="O821" s="23" t="inlineStr">
        <is>
          <t>meheriar.hasan@terafinainc.com</t>
        </is>
      </c>
      <c r="P821" s="24" t="inlineStr">
        <is>
          <t>+1 (510) 573-6210</t>
        </is>
      </c>
      <c r="Q821" s="25" t="n">
        <v>2013.0</v>
      </c>
      <c r="R821" s="113">
        <f>HYPERLINK("https://my.pitchbook.com?c=103103-56", "View company online")</f>
      </c>
    </row>
    <row r="822">
      <c r="A822" s="27" t="inlineStr">
        <is>
          <t>119437-12</t>
        </is>
      </c>
      <c r="B822" s="28" t="inlineStr">
        <is>
          <t>Tenxor Technology</t>
        </is>
      </c>
      <c r="C822" s="29" t="inlineStr">
        <is>
          <t>95127</t>
        </is>
      </c>
      <c r="D822" s="30" t="inlineStr">
        <is>
          <t>Developer of a smart phone embedded wearable device. The company's product can be used to automatically examine, analyze, predict and monitor the vision problems.</t>
        </is>
      </c>
      <c r="E822" s="31" t="inlineStr">
        <is>
          <t>Electronics (B2C)</t>
        </is>
      </c>
      <c r="F822" s="32" t="inlineStr">
        <is>
          <t>San Jose, CA</t>
        </is>
      </c>
      <c r="G822" s="33" t="inlineStr">
        <is>
          <t>Privately Held (backing)</t>
        </is>
      </c>
      <c r="H822" s="34" t="inlineStr">
        <is>
          <t>Accelerator/Incubator Backed</t>
        </is>
      </c>
      <c r="I822" s="35" t="inlineStr">
        <is>
          <t>Microsoft Accelerator</t>
        </is>
      </c>
      <c r="J822" s="36" t="inlineStr">
        <is>
          <t>www.tenxor.com</t>
        </is>
      </c>
      <c r="K822" s="37" t="inlineStr">
        <is>
          <t/>
        </is>
      </c>
      <c r="L822" s="38" t="inlineStr">
        <is>
          <t/>
        </is>
      </c>
      <c r="M822" s="39" t="inlineStr">
        <is>
          <t>Jian Guo</t>
        </is>
      </c>
      <c r="N822" s="40" t="inlineStr">
        <is>
          <t>Co-Founder &amp; Chief Executive Officer</t>
        </is>
      </c>
      <c r="O822" s="41" t="inlineStr">
        <is>
          <t/>
        </is>
      </c>
      <c r="P822" s="42" t="inlineStr">
        <is>
          <t/>
        </is>
      </c>
      <c r="Q822" s="43" t="n">
        <v>2014.0</v>
      </c>
      <c r="R822" s="114">
        <f>HYPERLINK("https://my.pitchbook.com?c=119437-12", "View company online")</f>
      </c>
    </row>
    <row r="823">
      <c r="A823" s="9" t="inlineStr">
        <is>
          <t>60036-04</t>
        </is>
      </c>
      <c r="B823" s="10" t="inlineStr">
        <is>
          <t>Tensorcom</t>
        </is>
      </c>
      <c r="C823" s="11" t="inlineStr">
        <is>
          <t>92010</t>
        </is>
      </c>
      <c r="D823" s="12" t="inlineStr">
        <is>
          <t>Developer of low-power wireless chips. The company provides low-power chipsets and modules target wireless sync-and-go applications in smartphones, tablets, laptops, digital cameras, storage devices, and more.</t>
        </is>
      </c>
      <c r="E823" s="13" t="inlineStr">
        <is>
          <t>Other Semiconductors</t>
        </is>
      </c>
      <c r="F823" s="14" t="inlineStr">
        <is>
          <t>Carlsbad, CA</t>
        </is>
      </c>
      <c r="G823" s="15" t="inlineStr">
        <is>
          <t>Privately Held (backing)</t>
        </is>
      </c>
      <c r="H823" s="16" t="inlineStr">
        <is>
          <t>Angel-Backed</t>
        </is>
      </c>
      <c r="I823" s="17" t="inlineStr">
        <is>
          <t/>
        </is>
      </c>
      <c r="J823" s="18" t="inlineStr">
        <is>
          <t>www.tensorcom.com</t>
        </is>
      </c>
      <c r="K823" s="19" t="inlineStr">
        <is>
          <t>info@tensorcom.com</t>
        </is>
      </c>
      <c r="L823" s="20" t="inlineStr">
        <is>
          <t>+1 (844) 239-1300</t>
        </is>
      </c>
      <c r="M823" s="21" t="inlineStr">
        <is>
          <t>Hock Law</t>
        </is>
      </c>
      <c r="N823" s="22" t="inlineStr">
        <is>
          <t>Chief Executive Officer</t>
        </is>
      </c>
      <c r="O823" s="23" t="inlineStr">
        <is>
          <t/>
        </is>
      </c>
      <c r="P823" s="24" t="inlineStr">
        <is>
          <t>+1 (844) 239-1300</t>
        </is>
      </c>
      <c r="Q823" s="25" t="n">
        <v>2006.0</v>
      </c>
      <c r="R823" s="113">
        <f>HYPERLINK("https://my.pitchbook.com?c=60036-04", "View company online")</f>
      </c>
    </row>
    <row r="824">
      <c r="A824" s="27" t="inlineStr">
        <is>
          <t>99642-52</t>
        </is>
      </c>
      <c r="B824" s="28" t="inlineStr">
        <is>
          <t>Tensile-SSL Holdings</t>
        </is>
      </c>
      <c r="C824" s="29" t="inlineStr">
        <is>
          <t>94111</t>
        </is>
      </c>
      <c r="D824" s="30" t="inlineStr">
        <is>
          <t>The company is currently operating in stealth mode.</t>
        </is>
      </c>
      <c r="E824" s="31" t="inlineStr">
        <is>
          <t>Other Business Products and Services</t>
        </is>
      </c>
      <c r="F824" s="32" t="inlineStr">
        <is>
          <t>San Francisco, CA</t>
        </is>
      </c>
      <c r="G824" s="33" t="inlineStr">
        <is>
          <t>Privately Held (backing)</t>
        </is>
      </c>
      <c r="H824" s="34" t="inlineStr">
        <is>
          <t>Angel-Backed</t>
        </is>
      </c>
      <c r="I824" s="35" t="inlineStr">
        <is>
          <t/>
        </is>
      </c>
      <c r="J824" s="36" t="inlineStr">
        <is>
          <t/>
        </is>
      </c>
      <c r="K824" s="37" t="inlineStr">
        <is>
          <t/>
        </is>
      </c>
      <c r="L824" s="38" t="inlineStr">
        <is>
          <t>+1 (415) 830-8160</t>
        </is>
      </c>
      <c r="M824" s="39" t="inlineStr">
        <is>
          <t>Douglas Dossey</t>
        </is>
      </c>
      <c r="N824" s="40" t="inlineStr">
        <is>
          <t>President &amp; Board Member</t>
        </is>
      </c>
      <c r="O824" s="41" t="inlineStr">
        <is>
          <t/>
        </is>
      </c>
      <c r="P824" s="42" t="inlineStr">
        <is>
          <t>+1 (415) 830-8160</t>
        </is>
      </c>
      <c r="Q824" s="43" t="n">
        <v>2014.0</v>
      </c>
      <c r="R824" s="114">
        <f>HYPERLINK("https://my.pitchbook.com?c=99642-52", "View company online")</f>
      </c>
    </row>
    <row r="825">
      <c r="A825" s="9" t="inlineStr">
        <is>
          <t>170348-86</t>
        </is>
      </c>
      <c r="B825" s="10" t="inlineStr">
        <is>
          <t>Tenka Labs</t>
        </is>
      </c>
      <c r="C825" s="11" t="inlineStr">
        <is>
          <t>94965</t>
        </is>
      </c>
      <c r="D825" s="12" t="inlineStr">
        <is>
          <t>Developer of electronic building blocks designed to create tech-related fun projects for kids. The company designs and develops electronic building blocks that operate as parts of circuits and they can connect to LEGO bricks which can in turn be connected to build cars, creepy moving stuffed rabbit and so on enabling the kids learn the basic knowledge of circuitry and science through game.</t>
        </is>
      </c>
      <c r="E825" s="13" t="inlineStr">
        <is>
          <t>Electronics (B2C)</t>
        </is>
      </c>
      <c r="F825" s="14" t="inlineStr">
        <is>
          <t>Sausalito, CA</t>
        </is>
      </c>
      <c r="G825" s="15" t="inlineStr">
        <is>
          <t>Privately Held (backing)</t>
        </is>
      </c>
      <c r="H825" s="16" t="inlineStr">
        <is>
          <t>Angel-Backed</t>
        </is>
      </c>
      <c r="I825" s="17" t="inlineStr">
        <is>
          <t/>
        </is>
      </c>
      <c r="J825" s="18" t="inlineStr">
        <is>
          <t>www.tenkalabs.com</t>
        </is>
      </c>
      <c r="K825" s="19" t="inlineStr">
        <is>
          <t>info@tenkalabs.com</t>
        </is>
      </c>
      <c r="L825" s="20" t="inlineStr">
        <is>
          <t/>
        </is>
      </c>
      <c r="M825" s="21" t="inlineStr">
        <is>
          <t>Robin MacDonald</t>
        </is>
      </c>
      <c r="N825" s="22" t="inlineStr">
        <is>
          <t>Chief Financial Officer</t>
        </is>
      </c>
      <c r="O825" s="23" t="inlineStr">
        <is>
          <t/>
        </is>
      </c>
      <c r="P825" s="24" t="inlineStr">
        <is>
          <t/>
        </is>
      </c>
      <c r="Q825" s="25" t="n">
        <v>2015.0</v>
      </c>
      <c r="R825" s="113">
        <f>HYPERLINK("https://my.pitchbook.com?c=170348-86", "View company online")</f>
      </c>
    </row>
    <row r="826">
      <c r="A826" s="27" t="inlineStr">
        <is>
          <t>92656-54</t>
        </is>
      </c>
      <c r="B826" s="28" t="inlineStr">
        <is>
          <t>Tenfoot</t>
        </is>
      </c>
      <c r="C826" s="29" t="inlineStr">
        <is>
          <t>94306</t>
        </is>
      </c>
      <c r="D826" s="30" t="inlineStr">
        <is>
          <t>Provider of an SaaS e-commerce fashion platform. The company an optimized version of online stores, custom tailored for every mobile device, by size and platform.</t>
        </is>
      </c>
      <c r="E826" s="31" t="inlineStr">
        <is>
          <t>Clothing</t>
        </is>
      </c>
      <c r="F826" s="32" t="inlineStr">
        <is>
          <t>Palo Alto, CA</t>
        </is>
      </c>
      <c r="G826" s="33" t="inlineStr">
        <is>
          <t>Privately Held (backing)</t>
        </is>
      </c>
      <c r="H826" s="34" t="inlineStr">
        <is>
          <t>Accelerator/Incubator Backed</t>
        </is>
      </c>
      <c r="I826" s="35" t="inlineStr">
        <is>
          <t>UpWest Labs</t>
        </is>
      </c>
      <c r="J826" s="36" t="inlineStr">
        <is>
          <t>www.tenfootlabs.com</t>
        </is>
      </c>
      <c r="K826" s="37" t="inlineStr">
        <is>
          <t/>
        </is>
      </c>
      <c r="L826" s="38" t="inlineStr">
        <is>
          <t>+1 (415) 857-1120</t>
        </is>
      </c>
      <c r="M826" s="39" t="inlineStr">
        <is>
          <t/>
        </is>
      </c>
      <c r="N826" s="40" t="inlineStr">
        <is>
          <t/>
        </is>
      </c>
      <c r="O826" s="41" t="inlineStr">
        <is>
          <t/>
        </is>
      </c>
      <c r="P826" s="42" t="inlineStr">
        <is>
          <t/>
        </is>
      </c>
      <c r="Q826" s="43" t="n">
        <v>2012.0</v>
      </c>
      <c r="R826" s="114">
        <f>HYPERLINK("https://my.pitchbook.com?c=92656-54", "View company online")</f>
      </c>
    </row>
    <row r="827">
      <c r="A827" s="9" t="inlineStr">
        <is>
          <t>120347-83</t>
        </is>
      </c>
      <c r="B827" s="10" t="inlineStr">
        <is>
          <t>Tending</t>
        </is>
      </c>
      <c r="C827" s="11" t="inlineStr">
        <is>
          <t>94131</t>
        </is>
      </c>
      <c r="D827" s="12" t="inlineStr">
        <is>
          <t>Provider of a care coordination platform. The company provides a care coordination platform and offers concierge service for those providing care to their elderly loved ones.</t>
        </is>
      </c>
      <c r="E827" s="13" t="inlineStr">
        <is>
          <t>Elder and Disabled Care</t>
        </is>
      </c>
      <c r="F827" s="14" t="inlineStr">
        <is>
          <t>San Francisco, CA</t>
        </is>
      </c>
      <c r="G827" s="15" t="inlineStr">
        <is>
          <t>Privately Held (backing)</t>
        </is>
      </c>
      <c r="H827" s="16" t="inlineStr">
        <is>
          <t>Angel-Backed</t>
        </is>
      </c>
      <c r="I827" s="17" t="inlineStr">
        <is>
          <t>Pipeline Angels</t>
        </is>
      </c>
      <c r="J827" s="18" t="inlineStr">
        <is>
          <t>www.starttending.com</t>
        </is>
      </c>
      <c r="K827" s="19" t="inlineStr">
        <is>
          <t>info@starttending.com</t>
        </is>
      </c>
      <c r="L827" s="20" t="inlineStr">
        <is>
          <t>+1 (855) 281-6850</t>
        </is>
      </c>
      <c r="M827" s="21" t="inlineStr">
        <is>
          <t>Kimmey Hardesty</t>
        </is>
      </c>
      <c r="N827" s="22" t="inlineStr">
        <is>
          <t>Co-Founder, Board Member &amp; Chief Executive Officer</t>
        </is>
      </c>
      <c r="O827" s="23" t="inlineStr">
        <is>
          <t>kimmey@starttending.com</t>
        </is>
      </c>
      <c r="P827" s="24" t="inlineStr">
        <is>
          <t>+1 (855) 281-6850</t>
        </is>
      </c>
      <c r="Q827" s="25" t="n">
        <v>2015.0</v>
      </c>
      <c r="R827" s="113">
        <f>HYPERLINK("https://my.pitchbook.com?c=120347-83", "View company online")</f>
      </c>
    </row>
    <row r="828">
      <c r="A828" s="27" t="inlineStr">
        <is>
          <t>120252-88</t>
        </is>
      </c>
      <c r="B828" s="28" t="inlineStr">
        <is>
          <t>Ten Ton Raygun</t>
        </is>
      </c>
      <c r="C828" s="29" t="inlineStr">
        <is>
          <t>90291</t>
        </is>
      </c>
      <c r="D828" s="30" t="inlineStr">
        <is>
          <t>Developer of applications for physical rehabilitation therapy. The company specializes in developing data visualization tools, interactive environments and mobile enabled games and utilities for physical rehabilitation therapy of stroke and accident victims.</t>
        </is>
      </c>
      <c r="E828" s="31" t="inlineStr">
        <is>
          <t>Computers, Parts and Peripherals</t>
        </is>
      </c>
      <c r="F828" s="32" t="inlineStr">
        <is>
          <t>Los Angeles, CA</t>
        </is>
      </c>
      <c r="G828" s="33" t="inlineStr">
        <is>
          <t>Privately Held (backing)</t>
        </is>
      </c>
      <c r="H828" s="34" t="inlineStr">
        <is>
          <t>Accelerator/Incubator Backed</t>
        </is>
      </c>
      <c r="I828" s="35" t="inlineStr">
        <is>
          <t>LEAP.Axlr8r, SOSV</t>
        </is>
      </c>
      <c r="J828" s="36" t="inlineStr">
        <is>
          <t>www.tentonraygun.com</t>
        </is>
      </c>
      <c r="K828" s="37" t="inlineStr">
        <is>
          <t>info@tentonraygun.com</t>
        </is>
      </c>
      <c r="L828" s="38" t="inlineStr">
        <is>
          <t/>
        </is>
      </c>
      <c r="M828" s="39" t="inlineStr">
        <is>
          <t>Eric Medine</t>
        </is>
      </c>
      <c r="N828" s="40" t="inlineStr">
        <is>
          <t>Chief Executive Officer and Founder</t>
        </is>
      </c>
      <c r="O828" s="41" t="inlineStr">
        <is>
          <t>eric@tentonraygun.com</t>
        </is>
      </c>
      <c r="P828" s="42" t="inlineStr">
        <is>
          <t/>
        </is>
      </c>
      <c r="Q828" s="43" t="n">
        <v>2013.0</v>
      </c>
      <c r="R828" s="114">
        <f>HYPERLINK("https://my.pitchbook.com?c=120252-88", "View company online")</f>
      </c>
    </row>
    <row r="829">
      <c r="A829" s="9" t="inlineStr">
        <is>
          <t>63822-97</t>
        </is>
      </c>
      <c r="B829" s="10" t="inlineStr">
        <is>
          <t>Ten Thirty One Productions</t>
        </is>
      </c>
      <c r="C829" s="11" t="inlineStr">
        <is>
          <t>91423</t>
        </is>
      </c>
      <c r="D829" s="12" t="inlineStr">
        <is>
          <t>Operator of a an event management business that produces Halloween-themed events. The company specializes in organizing Horror-themed events and shows in different states of USA.</t>
        </is>
      </c>
      <c r="E829" s="13" t="inlineStr">
        <is>
          <t>Movies, Music and Entertainment</t>
        </is>
      </c>
      <c r="F829" s="14" t="inlineStr">
        <is>
          <t>Los Angeles, CA</t>
        </is>
      </c>
      <c r="G829" s="15" t="inlineStr">
        <is>
          <t>Privately Held (backing)</t>
        </is>
      </c>
      <c r="H829" s="16" t="inlineStr">
        <is>
          <t>Angel-Backed</t>
        </is>
      </c>
      <c r="I829" s="17" t="inlineStr">
        <is>
          <t>Live Nation (Andrew Lloyd Webber's Phantom, Cirque du Soleil/Delirium, Planet Hollywood), Mark Cuban</t>
        </is>
      </c>
      <c r="J829" s="18" t="inlineStr">
        <is>
          <t>www.tenthirtyoneproductions.com</t>
        </is>
      </c>
      <c r="K829" s="19" t="inlineStr">
        <is>
          <t>info@tenthirtyoneproductions.com</t>
        </is>
      </c>
      <c r="L829" s="20" t="inlineStr">
        <is>
          <t>+1 (877) 342-6618</t>
        </is>
      </c>
      <c r="M829" s="21" t="inlineStr">
        <is>
          <t>Melissa Carbone</t>
        </is>
      </c>
      <c r="N829" s="22" t="inlineStr">
        <is>
          <t>Co-Founder, Board Member, CEO &amp; President</t>
        </is>
      </c>
      <c r="O829" s="23" t="inlineStr">
        <is>
          <t>mcarbone@tenthirtyoneproductions.com</t>
        </is>
      </c>
      <c r="P829" s="24" t="inlineStr">
        <is>
          <t>+1 (877) 342-6618</t>
        </is>
      </c>
      <c r="Q829" s="25" t="n">
        <v>2009.0</v>
      </c>
      <c r="R829" s="113">
        <f>HYPERLINK("https://my.pitchbook.com?c=63822-97", "View company online")</f>
      </c>
    </row>
    <row r="830">
      <c r="A830" s="27" t="inlineStr">
        <is>
          <t>120514-15</t>
        </is>
      </c>
      <c r="B830" s="28" t="inlineStr">
        <is>
          <t>Ten Minute Title Loans</t>
        </is>
      </c>
      <c r="C830" s="29" t="inlineStr">
        <is>
          <t>90404</t>
        </is>
      </c>
      <c r="D830" s="30" t="inlineStr">
        <is>
          <t>Provider of collateral loans against vehicles. The company provides title loan against vehicles such as cars, motorcycles, trucks and boats.</t>
        </is>
      </c>
      <c r="E830" s="31" t="inlineStr">
        <is>
          <t>Other Financial Services</t>
        </is>
      </c>
      <c r="F830" s="32" t="inlineStr">
        <is>
          <t>Santa Monica, CA</t>
        </is>
      </c>
      <c r="G830" s="33" t="inlineStr">
        <is>
          <t>Privately Held (backing)</t>
        </is>
      </c>
      <c r="H830" s="34" t="inlineStr">
        <is>
          <t>Angel-Backed</t>
        </is>
      </c>
      <c r="I830" s="35" t="inlineStr">
        <is>
          <t/>
        </is>
      </c>
      <c r="J830" s="36" t="inlineStr">
        <is>
          <t>www.tenminutetitleloansinvestment.com</t>
        </is>
      </c>
      <c r="K830" s="37" t="inlineStr">
        <is>
          <t/>
        </is>
      </c>
      <c r="L830" s="38" t="inlineStr">
        <is>
          <t>+1 (310) 310-2347</t>
        </is>
      </c>
      <c r="M830" s="39" t="inlineStr">
        <is>
          <t>Raffi King</t>
        </is>
      </c>
      <c r="N830" s="40" t="inlineStr">
        <is>
          <t>Manager</t>
        </is>
      </c>
      <c r="O830" s="41" t="inlineStr">
        <is>
          <t>raffi@tenminutetitleloansinvestment.com</t>
        </is>
      </c>
      <c r="P830" s="42" t="inlineStr">
        <is>
          <t>+1 (310) 310-2347</t>
        </is>
      </c>
      <c r="Q830" s="43" t="n">
        <v>2014.0</v>
      </c>
      <c r="R830" s="114">
        <f>HYPERLINK("https://my.pitchbook.com?c=120514-15", "View company online")</f>
      </c>
    </row>
    <row r="831">
      <c r="A831" s="9" t="inlineStr">
        <is>
          <t>149757-13</t>
        </is>
      </c>
      <c r="B831" s="10" t="inlineStr">
        <is>
          <t>Ten Machines</t>
        </is>
      </c>
      <c r="C831" s="11" t="inlineStr">
        <is>
          <t/>
        </is>
      </c>
      <c r="D831" s="12" t="inlineStr">
        <is>
          <t>Developer and provider of mobile applications. The company offers an anonymous messaging application that enables users to send private messages to other users and discuss different topics.</t>
        </is>
      </c>
      <c r="E831" s="13" t="inlineStr">
        <is>
          <t>Application Software</t>
        </is>
      </c>
      <c r="F831" s="14" t="inlineStr">
        <is>
          <t>New York, NY</t>
        </is>
      </c>
      <c r="G831" s="15" t="inlineStr">
        <is>
          <t>Privately Held (backing)</t>
        </is>
      </c>
      <c r="H831" s="16" t="inlineStr">
        <is>
          <t>Angel-Backed</t>
        </is>
      </c>
      <c r="I831" s="17" t="inlineStr">
        <is>
          <t>Karl Mehta</t>
        </is>
      </c>
      <c r="J831" s="18" t="inlineStr">
        <is>
          <t>www.rageapp.io</t>
        </is>
      </c>
      <c r="K831" s="19" t="inlineStr">
        <is>
          <t/>
        </is>
      </c>
      <c r="L831" s="20" t="inlineStr">
        <is>
          <t/>
        </is>
      </c>
      <c r="M831" s="21" t="inlineStr">
        <is>
          <t>Mihai Pocorschi</t>
        </is>
      </c>
      <c r="N831" s="22" t="inlineStr">
        <is>
          <t>Co-Founder</t>
        </is>
      </c>
      <c r="O831" s="23" t="inlineStr">
        <is>
          <t>mihai@rageapp.io</t>
        </is>
      </c>
      <c r="P831" s="24" t="inlineStr">
        <is>
          <t/>
        </is>
      </c>
      <c r="Q831" s="25" t="n">
        <v>2015.0</v>
      </c>
      <c r="R831" s="113">
        <f>HYPERLINK("https://my.pitchbook.com?c=149757-13", "View company online")</f>
      </c>
    </row>
    <row r="832">
      <c r="A832" s="27" t="inlineStr">
        <is>
          <t>111639-43</t>
        </is>
      </c>
      <c r="B832" s="28" t="inlineStr">
        <is>
          <t>Ten Degrees</t>
        </is>
      </c>
      <c r="C832" s="29" t="inlineStr">
        <is>
          <t/>
        </is>
      </c>
      <c r="D832" s="30" t="inlineStr">
        <is>
          <t>Provider of navigation and human motion data analytic services. The company offers indoor map information and motion sensors for smart phones in order to improve positioning accuracy.</t>
        </is>
      </c>
      <c r="E832" s="31" t="inlineStr">
        <is>
          <t>Media and Information Services (B2B)</t>
        </is>
      </c>
      <c r="F832" s="32" t="inlineStr">
        <is>
          <t>San Jose, CA</t>
        </is>
      </c>
      <c r="G832" s="33" t="inlineStr">
        <is>
          <t>Privately Held (backing)</t>
        </is>
      </c>
      <c r="H832" s="34" t="inlineStr">
        <is>
          <t>Angel-Backed</t>
        </is>
      </c>
      <c r="I832" s="35" t="inlineStr">
        <is>
          <t>Sand Hill Angels</t>
        </is>
      </c>
      <c r="J832" s="36" t="inlineStr">
        <is>
          <t>www.tendegrees.net</t>
        </is>
      </c>
      <c r="K832" s="37" t="inlineStr">
        <is>
          <t>info@tendegrees.net</t>
        </is>
      </c>
      <c r="L832" s="38" t="inlineStr">
        <is>
          <t/>
        </is>
      </c>
      <c r="M832" s="39" t="inlineStr">
        <is>
          <t>Ramesh Raman</t>
        </is>
      </c>
      <c r="N832" s="40" t="inlineStr">
        <is>
          <t>Chief Executive Officer &amp; Board Member</t>
        </is>
      </c>
      <c r="O832" s="41" t="inlineStr">
        <is>
          <t/>
        </is>
      </c>
      <c r="P832" s="42" t="inlineStr">
        <is>
          <t/>
        </is>
      </c>
      <c r="Q832" s="43" t="n">
        <v>2014.0</v>
      </c>
      <c r="R832" s="114">
        <f>HYPERLINK("https://my.pitchbook.com?c=111639-43", "View company online")</f>
      </c>
    </row>
    <row r="833">
      <c r="A833" s="9" t="inlineStr">
        <is>
          <t>157669-30</t>
        </is>
      </c>
      <c r="B833" s="10" t="inlineStr">
        <is>
          <t>Tempo Therapeutics</t>
        </is>
      </c>
      <c r="C833" s="11" t="inlineStr">
        <is>
          <t>90025</t>
        </is>
      </c>
      <c r="D833" s="12" t="inlineStr">
        <is>
          <t>Developer of inject-able hydro gels for tissue regeneration. The company develops micro porous gel for cutaneous-tissue regeneration and tissue-structure formation at the site of a wound and helps in preventing scarring.</t>
        </is>
      </c>
      <c r="E833" s="13" t="inlineStr">
        <is>
          <t>Biotechnology</t>
        </is>
      </c>
      <c r="F833" s="14" t="inlineStr">
        <is>
          <t>Los Angeles, CA</t>
        </is>
      </c>
      <c r="G833" s="15" t="inlineStr">
        <is>
          <t>Privately Held (backing)</t>
        </is>
      </c>
      <c r="H833" s="16" t="inlineStr">
        <is>
          <t>Angel-Backed</t>
        </is>
      </c>
      <c r="I833" s="17" t="inlineStr">
        <is>
          <t/>
        </is>
      </c>
      <c r="J833" s="18" t="inlineStr">
        <is>
          <t>www.tempothera.com</t>
        </is>
      </c>
      <c r="K833" s="19" t="inlineStr">
        <is>
          <t>info@tempothera.com</t>
        </is>
      </c>
      <c r="L833" s="20" t="inlineStr">
        <is>
          <t/>
        </is>
      </c>
      <c r="M833" s="21" t="inlineStr">
        <is>
          <t>Westbrook Weaver</t>
        </is>
      </c>
      <c r="N833" s="22" t="inlineStr">
        <is>
          <t>Co-Founder &amp; Chief Executive Officer</t>
        </is>
      </c>
      <c r="O833" s="23" t="inlineStr">
        <is>
          <t>westbrook@tempothera.com</t>
        </is>
      </c>
      <c r="P833" s="24" t="inlineStr">
        <is>
          <t/>
        </is>
      </c>
      <c r="Q833" s="25" t="n">
        <v>2014.0</v>
      </c>
      <c r="R833" s="113">
        <f>HYPERLINK("https://my.pitchbook.com?c=157669-30", "View company online")</f>
      </c>
    </row>
    <row r="834">
      <c r="A834" s="27" t="inlineStr">
        <is>
          <t>129143-17</t>
        </is>
      </c>
      <c r="B834" s="28" t="inlineStr">
        <is>
          <t>Temple Gate Games</t>
        </is>
      </c>
      <c r="C834" s="29" t="inlineStr">
        <is>
          <t/>
        </is>
      </c>
      <c r="D834" s="30" t="inlineStr">
        <is>
          <t>Developer of virtual reality gaming software. The company develops virtual reality focused gaming software accessible on all computing platforms and for users of all ages.</t>
        </is>
      </c>
      <c r="E834" s="31" t="inlineStr">
        <is>
          <t>Entertainment Software</t>
        </is>
      </c>
      <c r="F834" s="32" t="inlineStr">
        <is>
          <t>San Mateo, CA</t>
        </is>
      </c>
      <c r="G834" s="33" t="inlineStr">
        <is>
          <t>Privately Held (backing)</t>
        </is>
      </c>
      <c r="H834" s="34" t="inlineStr">
        <is>
          <t>Accelerator/Incubator Backed</t>
        </is>
      </c>
      <c r="I834" s="35" t="inlineStr">
        <is>
          <t>River</t>
        </is>
      </c>
      <c r="J834" s="36" t="inlineStr">
        <is>
          <t>www.templegatesgames.com</t>
        </is>
      </c>
      <c r="K834" s="37" t="inlineStr">
        <is>
          <t>info@templegatesgames.com</t>
        </is>
      </c>
      <c r="L834" s="38" t="inlineStr">
        <is>
          <t/>
        </is>
      </c>
      <c r="M834" s="39" t="inlineStr">
        <is>
          <t>Theresa Duringer</t>
        </is>
      </c>
      <c r="N834" s="40" t="inlineStr">
        <is>
          <t>Co-Founder</t>
        </is>
      </c>
      <c r="O834" s="41" t="inlineStr">
        <is>
          <t/>
        </is>
      </c>
      <c r="P834" s="42" t="inlineStr">
        <is>
          <t/>
        </is>
      </c>
      <c r="Q834" s="43" t="n">
        <v>2013.0</v>
      </c>
      <c r="R834" s="114">
        <f>HYPERLINK("https://my.pitchbook.com?c=129143-17", "View company online")</f>
      </c>
    </row>
    <row r="835">
      <c r="A835" s="9" t="inlineStr">
        <is>
          <t>121555-99</t>
        </is>
      </c>
      <c r="B835" s="10" t="inlineStr">
        <is>
          <t>Temblor</t>
        </is>
      </c>
      <c r="C835" s="85">
        <f>HYPERLINK("https://my.pitchbook.com?rrp=121555-99&amp;type=c", "This Company's information is not available to download. Need this Company? Request availability")</f>
      </c>
      <c r="D835" s="12" t="inlineStr">
        <is>
          <t/>
        </is>
      </c>
      <c r="E835" s="13" t="inlineStr">
        <is>
          <t/>
        </is>
      </c>
      <c r="F835" s="14" t="inlineStr">
        <is>
          <t/>
        </is>
      </c>
      <c r="G835" s="15" t="inlineStr">
        <is>
          <t/>
        </is>
      </c>
      <c r="H835" s="16" t="inlineStr">
        <is>
          <t/>
        </is>
      </c>
      <c r="I835" s="17" t="inlineStr">
        <is>
          <t/>
        </is>
      </c>
      <c r="J835" s="18" t="inlineStr">
        <is>
          <t/>
        </is>
      </c>
      <c r="K835" s="19" t="inlineStr">
        <is>
          <t/>
        </is>
      </c>
      <c r="L835" s="20" t="inlineStr">
        <is>
          <t/>
        </is>
      </c>
      <c r="M835" s="21" t="inlineStr">
        <is>
          <t/>
        </is>
      </c>
      <c r="N835" s="22" t="inlineStr">
        <is>
          <t/>
        </is>
      </c>
      <c r="O835" s="23" t="inlineStr">
        <is>
          <t/>
        </is>
      </c>
      <c r="P835" s="24" t="inlineStr">
        <is>
          <t/>
        </is>
      </c>
      <c r="Q835" s="25" t="inlineStr">
        <is>
          <t/>
        </is>
      </c>
      <c r="R835" s="26" t="inlineStr">
        <is>
          <t/>
        </is>
      </c>
    </row>
    <row r="836">
      <c r="A836" s="27" t="inlineStr">
        <is>
          <t>111297-43</t>
        </is>
      </c>
      <c r="B836" s="28" t="inlineStr">
        <is>
          <t>Temando</t>
        </is>
      </c>
      <c r="C836" s="29" t="inlineStr">
        <is>
          <t>4006</t>
        </is>
      </c>
      <c r="D836" s="30" t="inlineStr">
        <is>
          <t>Produces fulfillment solutions for retail and logistics industries. The company’s cloud software, Temando Intelligent Fulfillment Platform, gives customers access to global couriers and allows them to compare delivery options in one system, including cost, service type, speed and reliability.</t>
        </is>
      </c>
      <c r="E836" s="31" t="inlineStr">
        <is>
          <t>Logistics</t>
        </is>
      </c>
      <c r="F836" s="32" t="inlineStr">
        <is>
          <t>Fortitude Valley, Australia</t>
        </is>
      </c>
      <c r="G836" s="33" t="inlineStr">
        <is>
          <t>Privately Held (backing)</t>
        </is>
      </c>
      <c r="H836" s="34" t="inlineStr">
        <is>
          <t>Angel-Backed</t>
        </is>
      </c>
      <c r="I836" s="35" t="inlineStr">
        <is>
          <t>Ellerston Capital, Neopost</t>
        </is>
      </c>
      <c r="J836" s="36" t="inlineStr">
        <is>
          <t>www.temando.com</t>
        </is>
      </c>
      <c r="K836" s="37" t="inlineStr">
        <is>
          <t>support@temando.com</t>
        </is>
      </c>
      <c r="L836" s="38" t="inlineStr">
        <is>
          <t>+61 (0)13 0066 8858</t>
        </is>
      </c>
      <c r="M836" s="39" t="inlineStr">
        <is>
          <t>Michael Vamos</t>
        </is>
      </c>
      <c r="N836" s="40" t="inlineStr">
        <is>
          <t>Chief Financial Officer</t>
        </is>
      </c>
      <c r="O836" s="41" t="inlineStr">
        <is>
          <t>michael.vamos@temando.com</t>
        </is>
      </c>
      <c r="P836" s="42" t="inlineStr">
        <is>
          <t>+61 (0)13 0066 8858</t>
        </is>
      </c>
      <c r="Q836" s="43" t="n">
        <v>2009.0</v>
      </c>
      <c r="R836" s="114">
        <f>HYPERLINK("https://my.pitchbook.com?c=111297-43", "View company online")</f>
      </c>
    </row>
    <row r="837">
      <c r="A837" s="9" t="inlineStr">
        <is>
          <t>94216-24</t>
        </is>
      </c>
      <c r="B837" s="10" t="inlineStr">
        <is>
          <t>Telzio</t>
        </is>
      </c>
      <c r="C837" s="85">
        <f>HYPERLINK("https://my.pitchbook.com?rrp=94216-24&amp;type=c", "This Company's information is not available to download. Need this Company? Request availability")</f>
      </c>
      <c r="D837" s="12" t="inlineStr">
        <is>
          <t/>
        </is>
      </c>
      <c r="E837" s="13" t="inlineStr">
        <is>
          <t/>
        </is>
      </c>
      <c r="F837" s="14" t="inlineStr">
        <is>
          <t/>
        </is>
      </c>
      <c r="G837" s="15" t="inlineStr">
        <is>
          <t/>
        </is>
      </c>
      <c r="H837" s="16" t="inlineStr">
        <is>
          <t/>
        </is>
      </c>
      <c r="I837" s="17" t="inlineStr">
        <is>
          <t/>
        </is>
      </c>
      <c r="J837" s="18" t="inlineStr">
        <is>
          <t/>
        </is>
      </c>
      <c r="K837" s="19" t="inlineStr">
        <is>
          <t/>
        </is>
      </c>
      <c r="L837" s="20" t="inlineStr">
        <is>
          <t/>
        </is>
      </c>
      <c r="M837" s="21" t="inlineStr">
        <is>
          <t/>
        </is>
      </c>
      <c r="N837" s="22" t="inlineStr">
        <is>
          <t/>
        </is>
      </c>
      <c r="O837" s="23" t="inlineStr">
        <is>
          <t/>
        </is>
      </c>
      <c r="P837" s="24" t="inlineStr">
        <is>
          <t/>
        </is>
      </c>
      <c r="Q837" s="25" t="inlineStr">
        <is>
          <t/>
        </is>
      </c>
      <c r="R837" s="26" t="inlineStr">
        <is>
          <t/>
        </is>
      </c>
    </row>
    <row r="838">
      <c r="A838" s="27" t="inlineStr">
        <is>
          <t>90009-91</t>
        </is>
      </c>
      <c r="B838" s="28" t="inlineStr">
        <is>
          <t>Telnexus</t>
        </is>
      </c>
      <c r="C838" s="29" t="inlineStr">
        <is>
          <t>94705</t>
        </is>
      </c>
      <c r="D838" s="30" t="inlineStr">
        <is>
          <t>Provider of internet protocol services. The company helps in delivering low-budget VoIP services to small and medium sized enterprises around the Bay Area.</t>
        </is>
      </c>
      <c r="E838" s="31" t="inlineStr">
        <is>
          <t>Wireless Service Providers</t>
        </is>
      </c>
      <c r="F838" s="32" t="inlineStr">
        <is>
          <t>Berkeley, CA</t>
        </is>
      </c>
      <c r="G838" s="33" t="inlineStr">
        <is>
          <t>Privately Held (backing)</t>
        </is>
      </c>
      <c r="H838" s="34" t="inlineStr">
        <is>
          <t>Angel-Backed</t>
        </is>
      </c>
      <c r="I838" s="35" t="inlineStr">
        <is>
          <t/>
        </is>
      </c>
      <c r="J838" s="36" t="inlineStr">
        <is>
          <t>telnexus.com</t>
        </is>
      </c>
      <c r="K838" s="37" t="inlineStr">
        <is>
          <t>info@telnexus.com</t>
        </is>
      </c>
      <c r="L838" s="38" t="inlineStr">
        <is>
          <t>+1 (510) 859-7000</t>
        </is>
      </c>
      <c r="M838" s="39" t="inlineStr">
        <is>
          <t>Vernon Keenan</t>
        </is>
      </c>
      <c r="N838" s="40" t="inlineStr">
        <is>
          <t>Co-Founder &amp; Chief Executive Officer</t>
        </is>
      </c>
      <c r="O838" s="41" t="inlineStr">
        <is>
          <t>vern@telnexus.com</t>
        </is>
      </c>
      <c r="P838" s="42" t="inlineStr">
        <is>
          <t>+1 (510) 859-7000</t>
        </is>
      </c>
      <c r="Q838" s="43" t="n">
        <v>2012.0</v>
      </c>
      <c r="R838" s="114">
        <f>HYPERLINK("https://my.pitchbook.com?c=90009-91", "View company online")</f>
      </c>
    </row>
    <row r="839">
      <c r="A839" s="9" t="inlineStr">
        <is>
          <t>125635-42</t>
        </is>
      </c>
      <c r="B839" s="10" t="inlineStr">
        <is>
          <t>Tell Market</t>
        </is>
      </c>
      <c r="C839" s="11" t="inlineStr">
        <is>
          <t>92037</t>
        </is>
      </c>
      <c r="D839" s="12" t="inlineStr">
        <is>
          <t>Developer of an online video sharing and shopping platform. The company develops mobile applications that enable users to share videos of shopping experiences with other shoppers when shopping a range of products from the company's online shopping store. It also offers home delivery service to online shoppers.</t>
        </is>
      </c>
      <c r="E839" s="13" t="inlineStr">
        <is>
          <t>Application Software</t>
        </is>
      </c>
      <c r="F839" s="14" t="inlineStr">
        <is>
          <t>La Jolla, CA</t>
        </is>
      </c>
      <c r="G839" s="15" t="inlineStr">
        <is>
          <t>Privately Held (backing)</t>
        </is>
      </c>
      <c r="H839" s="16" t="inlineStr">
        <is>
          <t>Accelerator/Incubator Backed</t>
        </is>
      </c>
      <c r="I839" s="17" t="inlineStr">
        <is>
          <t>Charles Yong, Kevin Mahaffey, Softlandings Uruguay, Sumon Sadhu</t>
        </is>
      </c>
      <c r="J839" s="18" t="inlineStr">
        <is>
          <t>www.tellmarket.com</t>
        </is>
      </c>
      <c r="K839" s="19" t="inlineStr">
        <is>
          <t>hello@tellapp.co</t>
        </is>
      </c>
      <c r="L839" s="20" t="inlineStr">
        <is>
          <t>+1 (858) 349-6731</t>
        </is>
      </c>
      <c r="M839" s="21" t="inlineStr">
        <is>
          <t/>
        </is>
      </c>
      <c r="N839" s="22" t="inlineStr">
        <is>
          <t/>
        </is>
      </c>
      <c r="O839" s="23" t="inlineStr">
        <is>
          <t/>
        </is>
      </c>
      <c r="P839" s="24" t="inlineStr">
        <is>
          <t/>
        </is>
      </c>
      <c r="Q839" s="25" t="n">
        <v>2014.0</v>
      </c>
      <c r="R839" s="113">
        <f>HYPERLINK("https://my.pitchbook.com?c=125635-42", "View company online")</f>
      </c>
    </row>
    <row r="840">
      <c r="A840" s="27" t="inlineStr">
        <is>
          <t>124231-33</t>
        </is>
      </c>
      <c r="B840" s="28" t="inlineStr">
        <is>
          <t>TeleTravel</t>
        </is>
      </c>
      <c r="C840" s="29" t="inlineStr">
        <is>
          <t>91364</t>
        </is>
      </c>
      <c r="D840" s="30" t="inlineStr">
        <is>
          <t>Provider of a medical assistance service in Mexico. The company provides medical services as well as legal and roadside assistance for people traveling to Mexico.</t>
        </is>
      </c>
      <c r="E840" s="31" t="inlineStr">
        <is>
          <t>Legal Services (B2C)</t>
        </is>
      </c>
      <c r="F840" s="32" t="inlineStr">
        <is>
          <t>Los Angeles, CA</t>
        </is>
      </c>
      <c r="G840" s="33" t="inlineStr">
        <is>
          <t>Privately Held (backing)</t>
        </is>
      </c>
      <c r="H840" s="34" t="inlineStr">
        <is>
          <t>Angel-Backed</t>
        </is>
      </c>
      <c r="I840" s="35" t="inlineStr">
        <is>
          <t/>
        </is>
      </c>
      <c r="J840" s="36" t="inlineStr">
        <is>
          <t>www.travelcaremexico.com</t>
        </is>
      </c>
      <c r="K840" s="37" t="inlineStr">
        <is>
          <t>information@travelcaremexico.com</t>
        </is>
      </c>
      <c r="L840" s="38" t="inlineStr">
        <is>
          <t/>
        </is>
      </c>
      <c r="M840" s="39" t="inlineStr">
        <is>
          <t>David Eisenstadt</t>
        </is>
      </c>
      <c r="N840" s="40" t="inlineStr">
        <is>
          <t>Chief Executive Officer</t>
        </is>
      </c>
      <c r="O840" s="41" t="inlineStr">
        <is>
          <t>davide@travelcaremexico.com</t>
        </is>
      </c>
      <c r="P840" s="42" t="inlineStr">
        <is>
          <t/>
        </is>
      </c>
      <c r="Q840" s="43" t="n">
        <v>2013.0</v>
      </c>
      <c r="R840" s="114">
        <f>HYPERLINK("https://my.pitchbook.com?c=124231-33", "View company online")</f>
      </c>
    </row>
    <row r="841">
      <c r="A841" s="9" t="inlineStr">
        <is>
          <t>94199-86</t>
        </is>
      </c>
      <c r="B841" s="10" t="inlineStr">
        <is>
          <t>TeleStax</t>
        </is>
      </c>
      <c r="C841" s="11" t="inlineStr">
        <is>
          <t>94306</t>
        </is>
      </c>
      <c r="D841" s="12" t="inlineStr">
        <is>
          <t>Provider of open source communications software and services. The company develops a open source communication software that enables telecommunication service providers and enterprises to create scalable communication applications based on open source and open standards.</t>
        </is>
      </c>
      <c r="E841" s="13" t="inlineStr">
        <is>
          <t>Other Business Products and Services</t>
        </is>
      </c>
      <c r="F841" s="14" t="inlineStr">
        <is>
          <t>Palo Alto, CA</t>
        </is>
      </c>
      <c r="G841" s="15" t="inlineStr">
        <is>
          <t>Privately Held (backing)</t>
        </is>
      </c>
      <c r="H841" s="16" t="inlineStr">
        <is>
          <t>Accelerator/Incubator Backed</t>
        </is>
      </c>
      <c r="I841" s="17" t="inlineStr">
        <is>
          <t>Capital Factory, Pinnacle Ventures</t>
        </is>
      </c>
      <c r="J841" s="18" t="inlineStr">
        <is>
          <t>www.telestax.com</t>
        </is>
      </c>
      <c r="K841" s="19" t="inlineStr">
        <is>
          <t>info@telestax.com</t>
        </is>
      </c>
      <c r="L841" s="20" t="inlineStr">
        <is>
          <t/>
        </is>
      </c>
      <c r="M841" s="21" t="inlineStr">
        <is>
          <t>Ivelin Ivanov</t>
        </is>
      </c>
      <c r="N841" s="22" t="inlineStr">
        <is>
          <t>Chief Executive Officer &amp; Co-Founder</t>
        </is>
      </c>
      <c r="O841" s="23" t="inlineStr">
        <is>
          <t>ivelin.ivanov@telestax.com</t>
        </is>
      </c>
      <c r="P841" s="24" t="inlineStr">
        <is>
          <t/>
        </is>
      </c>
      <c r="Q841" s="25" t="n">
        <v>2011.0</v>
      </c>
      <c r="R841" s="113">
        <f>HYPERLINK("https://my.pitchbook.com?c=94199-86", "View company online")</f>
      </c>
    </row>
    <row r="842">
      <c r="A842" s="27" t="inlineStr">
        <is>
          <t>95419-99</t>
        </is>
      </c>
      <c r="B842" s="28" t="inlineStr">
        <is>
          <t>Telesocial</t>
        </is>
      </c>
      <c r="C842" s="29" t="inlineStr">
        <is>
          <t>94123</t>
        </is>
      </c>
      <c r="D842" s="30" t="inlineStr">
        <is>
          <t>Provider of a mobile voice-chatting platform. The company's platform connects calls to various social network enabling users to make calls from their desktop, tablet and smart phone.</t>
        </is>
      </c>
      <c r="E842" s="31" t="inlineStr">
        <is>
          <t>Application Software</t>
        </is>
      </c>
      <c r="F842" s="32" t="inlineStr">
        <is>
          <t>San Francisco, CA</t>
        </is>
      </c>
      <c r="G842" s="33" t="inlineStr">
        <is>
          <t>Privately Held (backing)</t>
        </is>
      </c>
      <c r="H842" s="34" t="inlineStr">
        <is>
          <t>Angel-Backed</t>
        </is>
      </c>
      <c r="I842" s="35" t="inlineStr">
        <is>
          <t>Gordon Tucker</t>
        </is>
      </c>
      <c r="J842" s="36" t="inlineStr">
        <is>
          <t>www.telesocial.com</t>
        </is>
      </c>
      <c r="K842" s="37" t="inlineStr">
        <is>
          <t>info@telesocial.com</t>
        </is>
      </c>
      <c r="L842" s="38" t="inlineStr">
        <is>
          <t>+1 (415) 839-8837</t>
        </is>
      </c>
      <c r="M842" s="39" t="inlineStr">
        <is>
          <t>Bill Waytena</t>
        </is>
      </c>
      <c r="N842" s="40" t="inlineStr">
        <is>
          <t>Co-Founder, Chief Executive Officer &amp; Board Member</t>
        </is>
      </c>
      <c r="O842" s="41" t="inlineStr">
        <is>
          <t>bill@telesocial.com</t>
        </is>
      </c>
      <c r="P842" s="42" t="inlineStr">
        <is>
          <t>+1 (415) 225-1047</t>
        </is>
      </c>
      <c r="Q842" s="43" t="n">
        <v>2008.0</v>
      </c>
      <c r="R842" s="114">
        <f>HYPERLINK("https://my.pitchbook.com?c=95419-99", "View company online")</f>
      </c>
    </row>
    <row r="843">
      <c r="A843" s="9" t="inlineStr">
        <is>
          <t>172208-71</t>
        </is>
      </c>
      <c r="B843" s="10" t="inlineStr">
        <is>
          <t>Teleporter</t>
        </is>
      </c>
      <c r="C843" s="85">
        <f>HYPERLINK("https://my.pitchbook.com?rrp=172208-71&amp;type=c", "This Company's information is not available to download. Need this Company? Request availability")</f>
      </c>
      <c r="D843" s="12" t="inlineStr">
        <is>
          <t/>
        </is>
      </c>
      <c r="E843" s="13" t="inlineStr">
        <is>
          <t/>
        </is>
      </c>
      <c r="F843" s="14" t="inlineStr">
        <is>
          <t/>
        </is>
      </c>
      <c r="G843" s="15" t="inlineStr">
        <is>
          <t/>
        </is>
      </c>
      <c r="H843" s="16" t="inlineStr">
        <is>
          <t/>
        </is>
      </c>
      <c r="I843" s="17" t="inlineStr">
        <is>
          <t/>
        </is>
      </c>
      <c r="J843" s="18" t="inlineStr">
        <is>
          <t/>
        </is>
      </c>
      <c r="K843" s="19" t="inlineStr">
        <is>
          <t/>
        </is>
      </c>
      <c r="L843" s="20" t="inlineStr">
        <is>
          <t/>
        </is>
      </c>
      <c r="M843" s="21" t="inlineStr">
        <is>
          <t/>
        </is>
      </c>
      <c r="N843" s="22" t="inlineStr">
        <is>
          <t/>
        </is>
      </c>
      <c r="O843" s="23" t="inlineStr">
        <is>
          <t/>
        </is>
      </c>
      <c r="P843" s="24" t="inlineStr">
        <is>
          <t/>
        </is>
      </c>
      <c r="Q843" s="25" t="inlineStr">
        <is>
          <t/>
        </is>
      </c>
      <c r="R843" s="26" t="inlineStr">
        <is>
          <t/>
        </is>
      </c>
    </row>
    <row r="844">
      <c r="A844" s="27" t="inlineStr">
        <is>
          <t>168340-33</t>
        </is>
      </c>
      <c r="B844" s="28" t="inlineStr">
        <is>
          <t>Teleport (App)</t>
        </is>
      </c>
      <c r="C844" s="29" t="inlineStr">
        <is>
          <t/>
        </is>
      </c>
      <c r="D844" s="30" t="inlineStr">
        <is>
          <t>Provider of a social engagement platform. The company designs and develops a location based social intelligence application called Flyme and a social engagement platform called Teleport Application for their users.</t>
        </is>
      </c>
      <c r="E844" s="31" t="inlineStr">
        <is>
          <t>Social/Platform Software</t>
        </is>
      </c>
      <c r="F844" s="32" t="inlineStr">
        <is>
          <t>San Francisco, CA</t>
        </is>
      </c>
      <c r="G844" s="33" t="inlineStr">
        <is>
          <t>Privately Held (backing)</t>
        </is>
      </c>
      <c r="H844" s="34" t="inlineStr">
        <is>
          <t>Accelerator/Incubator Backed</t>
        </is>
      </c>
      <c r="I844" s="35" t="inlineStr">
        <is>
          <t>500 Startups</t>
        </is>
      </c>
      <c r="J844" s="36" t="inlineStr">
        <is>
          <t>www.tlprt.co</t>
        </is>
      </c>
      <c r="K844" s="37" t="inlineStr">
        <is>
          <t/>
        </is>
      </c>
      <c r="L844" s="38" t="inlineStr">
        <is>
          <t>+1 (301) 802-6791</t>
        </is>
      </c>
      <c r="M844" s="39" t="inlineStr">
        <is>
          <t>Preston McGee</t>
        </is>
      </c>
      <c r="N844" s="40" t="inlineStr">
        <is>
          <t>Co-Founder &amp; Chief Executive Officer</t>
        </is>
      </c>
      <c r="O844" s="41" t="inlineStr">
        <is>
          <t/>
        </is>
      </c>
      <c r="P844" s="42" t="inlineStr">
        <is>
          <t>+1 (301) 802-6791</t>
        </is>
      </c>
      <c r="Q844" s="43" t="n">
        <v>2015.0</v>
      </c>
      <c r="R844" s="114">
        <f>HYPERLINK("https://my.pitchbook.com?c=168340-33", "View company online")</f>
      </c>
    </row>
    <row r="845">
      <c r="A845" s="9" t="inlineStr">
        <is>
          <t>160664-32</t>
        </is>
      </c>
      <c r="B845" s="10" t="inlineStr">
        <is>
          <t>Telelytics</t>
        </is>
      </c>
      <c r="C845" s="11" t="inlineStr">
        <is>
          <t>94303</t>
        </is>
      </c>
      <c r="D845" s="12" t="inlineStr">
        <is>
          <t>Provider of a telemedicine platform. The company's platform uses machine learning for analysis of health records for delivery of video visits by doctors and match reimbursable use-cases with patients.</t>
        </is>
      </c>
      <c r="E845" s="13" t="inlineStr">
        <is>
          <t>Other Healthcare Technology Systems</t>
        </is>
      </c>
      <c r="F845" s="14" t="inlineStr">
        <is>
          <t>Palo Alto, CA</t>
        </is>
      </c>
      <c r="G845" s="15" t="inlineStr">
        <is>
          <t>Privately Held (backing)</t>
        </is>
      </c>
      <c r="H845" s="16" t="inlineStr">
        <is>
          <t>Accelerator/Incubator Backed</t>
        </is>
      </c>
      <c r="I845" s="17" t="inlineStr">
        <is>
          <t>Plug and Play Tech Center, Skydeck | Berkeley</t>
        </is>
      </c>
      <c r="J845" s="18" t="inlineStr">
        <is>
          <t>www.telelytics.io</t>
        </is>
      </c>
      <c r="K845" s="19" t="inlineStr">
        <is>
          <t>info@telelytics.io</t>
        </is>
      </c>
      <c r="L845" s="20" t="inlineStr">
        <is>
          <t/>
        </is>
      </c>
      <c r="M845" s="21" t="inlineStr">
        <is>
          <t>Alton Powell</t>
        </is>
      </c>
      <c r="N845" s="22" t="inlineStr">
        <is>
          <t>Chief Marketing Officer</t>
        </is>
      </c>
      <c r="O845" s="23" t="inlineStr">
        <is>
          <t>alton@telelytics.io</t>
        </is>
      </c>
      <c r="P845" s="24" t="inlineStr">
        <is>
          <t/>
        </is>
      </c>
      <c r="Q845" s="25" t="inlineStr">
        <is>
          <t/>
        </is>
      </c>
      <c r="R845" s="113">
        <f>HYPERLINK("https://my.pitchbook.com?c=160664-32", "View company online")</f>
      </c>
    </row>
    <row r="846">
      <c r="A846" s="27" t="inlineStr">
        <is>
          <t>88879-15</t>
        </is>
      </c>
      <c r="B846" s="28" t="inlineStr">
        <is>
          <t>Telegraph Hill Software</t>
        </is>
      </c>
      <c r="C846" s="86">
        <f>HYPERLINK("https://my.pitchbook.com?rrp=88879-15&amp;type=c", "This Company's information is not available to download. Need this Company? Request availability")</f>
      </c>
      <c r="D846" s="30" t="inlineStr">
        <is>
          <t/>
        </is>
      </c>
      <c r="E846" s="31" t="inlineStr">
        <is>
          <t/>
        </is>
      </c>
      <c r="F846" s="32" t="inlineStr">
        <is>
          <t/>
        </is>
      </c>
      <c r="G846" s="33" t="inlineStr">
        <is>
          <t/>
        </is>
      </c>
      <c r="H846" s="34" t="inlineStr">
        <is>
          <t/>
        </is>
      </c>
      <c r="I846" s="35" t="inlineStr">
        <is>
          <t/>
        </is>
      </c>
      <c r="J846" s="36" t="inlineStr">
        <is>
          <t/>
        </is>
      </c>
      <c r="K846" s="37" t="inlineStr">
        <is>
          <t/>
        </is>
      </c>
      <c r="L846" s="38" t="inlineStr">
        <is>
          <t/>
        </is>
      </c>
      <c r="M846" s="39" t="inlineStr">
        <is>
          <t/>
        </is>
      </c>
      <c r="N846" s="40" t="inlineStr">
        <is>
          <t/>
        </is>
      </c>
      <c r="O846" s="41" t="inlineStr">
        <is>
          <t/>
        </is>
      </c>
      <c r="P846" s="42" t="inlineStr">
        <is>
          <t/>
        </is>
      </c>
      <c r="Q846" s="43" t="inlineStr">
        <is>
          <t/>
        </is>
      </c>
      <c r="R846" s="44" t="inlineStr">
        <is>
          <t/>
        </is>
      </c>
    </row>
    <row r="847">
      <c r="A847" s="9" t="inlineStr">
        <is>
          <t>172138-87</t>
        </is>
      </c>
      <c r="B847" s="10" t="inlineStr">
        <is>
          <t>Telegnos</t>
        </is>
      </c>
      <c r="C847" s="85">
        <f>HYPERLINK("https://my.pitchbook.com?rrp=172138-87&amp;type=c", "This Company's information is not available to download. Need this Company? Request availability")</f>
      </c>
      <c r="D847" s="12" t="inlineStr">
        <is>
          <t/>
        </is>
      </c>
      <c r="E847" s="13" t="inlineStr">
        <is>
          <t/>
        </is>
      </c>
      <c r="F847" s="14" t="inlineStr">
        <is>
          <t/>
        </is>
      </c>
      <c r="G847" s="15" t="inlineStr">
        <is>
          <t/>
        </is>
      </c>
      <c r="H847" s="16" t="inlineStr">
        <is>
          <t/>
        </is>
      </c>
      <c r="I847" s="17" t="inlineStr">
        <is>
          <t/>
        </is>
      </c>
      <c r="J847" s="18" t="inlineStr">
        <is>
          <t/>
        </is>
      </c>
      <c r="K847" s="19" t="inlineStr">
        <is>
          <t/>
        </is>
      </c>
      <c r="L847" s="20" t="inlineStr">
        <is>
          <t/>
        </is>
      </c>
      <c r="M847" s="21" t="inlineStr">
        <is>
          <t/>
        </is>
      </c>
      <c r="N847" s="22" t="inlineStr">
        <is>
          <t/>
        </is>
      </c>
      <c r="O847" s="23" t="inlineStr">
        <is>
          <t/>
        </is>
      </c>
      <c r="P847" s="24" t="inlineStr">
        <is>
          <t/>
        </is>
      </c>
      <c r="Q847" s="25" t="inlineStr">
        <is>
          <t/>
        </is>
      </c>
      <c r="R847" s="26" t="inlineStr">
        <is>
          <t/>
        </is>
      </c>
    </row>
    <row r="848">
      <c r="A848" s="27" t="inlineStr">
        <is>
          <t>95418-55</t>
        </is>
      </c>
      <c r="B848" s="28" t="inlineStr">
        <is>
          <t>Tegotech Software</t>
        </is>
      </c>
      <c r="C848" s="29" t="inlineStr">
        <is>
          <t>93401</t>
        </is>
      </c>
      <c r="D848" s="30" t="inlineStr">
        <is>
          <t>Developer of automated technology to package applications for the digital marketplace. The company provides technology and services to package and protect digital applications for publishers, distributors and e-commerce platform providers.</t>
        </is>
      </c>
      <c r="E848" s="31" t="inlineStr">
        <is>
          <t>Automation/Workflow Software</t>
        </is>
      </c>
      <c r="F848" s="32" t="inlineStr">
        <is>
          <t>San Luis Obispo, CA</t>
        </is>
      </c>
      <c r="G848" s="33" t="inlineStr">
        <is>
          <t>Privately Held (backing)</t>
        </is>
      </c>
      <c r="H848" s="34" t="inlineStr">
        <is>
          <t>Angel-Backed</t>
        </is>
      </c>
      <c r="I848" s="35" t="inlineStr">
        <is>
          <t/>
        </is>
      </c>
      <c r="J848" s="36" t="inlineStr">
        <is>
          <t>www.tegotech.com</t>
        </is>
      </c>
      <c r="K848" s="37" t="inlineStr">
        <is>
          <t>info@tegotech.com</t>
        </is>
      </c>
      <c r="L848" s="38" t="inlineStr">
        <is>
          <t>+1 (805) 619-0756</t>
        </is>
      </c>
      <c r="M848" s="39" t="inlineStr">
        <is>
          <t>Robert Teshinsky</t>
        </is>
      </c>
      <c r="N848" s="40" t="inlineStr">
        <is>
          <t>Vice President, Technology &amp; Board Member</t>
        </is>
      </c>
      <c r="O848" s="41" t="inlineStr">
        <is>
          <t>robert@tegotech.com</t>
        </is>
      </c>
      <c r="P848" s="42" t="inlineStr">
        <is>
          <t>+1 (805) 619-0756</t>
        </is>
      </c>
      <c r="Q848" s="43" t="n">
        <v>2011.0</v>
      </c>
      <c r="R848" s="114">
        <f>HYPERLINK("https://my.pitchbook.com?c=95418-55", "View company online")</f>
      </c>
    </row>
    <row r="849">
      <c r="A849" s="9" t="inlineStr">
        <is>
          <t>148922-47</t>
        </is>
      </c>
      <c r="B849" s="10" t="inlineStr">
        <is>
          <t>Tecnos Research of America</t>
        </is>
      </c>
      <c r="C849" s="11" t="inlineStr">
        <is>
          <t>94403</t>
        </is>
      </c>
      <c r="D849" s="12" t="inlineStr">
        <is>
          <t>The company is currently operating in Stealth mode.</t>
        </is>
      </c>
      <c r="E849" s="13" t="inlineStr">
        <is>
          <t>Other Business Products and Services</t>
        </is>
      </c>
      <c r="F849" s="14" t="inlineStr">
        <is>
          <t>San Mateo, CA</t>
        </is>
      </c>
      <c r="G849" s="15" t="inlineStr">
        <is>
          <t>Privately Held (backing)</t>
        </is>
      </c>
      <c r="H849" s="16" t="inlineStr">
        <is>
          <t>Angel-Backed</t>
        </is>
      </c>
      <c r="I849" s="17" t="inlineStr">
        <is>
          <t/>
        </is>
      </c>
      <c r="J849" s="18" t="inlineStr">
        <is>
          <t/>
        </is>
      </c>
      <c r="K849" s="19" t="inlineStr">
        <is>
          <t/>
        </is>
      </c>
      <c r="L849" s="20" t="inlineStr">
        <is>
          <t>+1 (650) 577-5995</t>
        </is>
      </c>
      <c r="M849" s="21" t="inlineStr">
        <is>
          <t>Naohiko Shirotani</t>
        </is>
      </c>
      <c r="N849" s="22" t="inlineStr">
        <is>
          <t>President &amp; Chief Executive Officer</t>
        </is>
      </c>
      <c r="O849" s="23" t="inlineStr">
        <is>
          <t/>
        </is>
      </c>
      <c r="P849" s="24" t="inlineStr">
        <is>
          <t>+1 (650) 577-5995</t>
        </is>
      </c>
      <c r="Q849" s="25" t="n">
        <v>2013.0</v>
      </c>
      <c r="R849" s="113">
        <f>HYPERLINK("https://my.pitchbook.com?c=148922-47", "View company online")</f>
      </c>
    </row>
    <row r="850">
      <c r="A850" s="27" t="inlineStr">
        <is>
          <t>59198-77</t>
        </is>
      </c>
      <c r="B850" s="28" t="inlineStr">
        <is>
          <t>TechShop</t>
        </is>
      </c>
      <c r="C850" s="29" t="inlineStr">
        <is>
          <t>95113</t>
        </is>
      </c>
      <c r="D850" s="30" t="inlineStr">
        <is>
          <t>Operator of a membership-based workshop and fabrication studio. The company operates a membership-based workshop and fabrication studio that provides access to the tools, equipment, education, and other resources needed for users to develop their ideas and turn them into reality.</t>
        </is>
      </c>
      <c r="E850" s="31" t="inlineStr">
        <is>
          <t>Other Consumer Products and Services</t>
        </is>
      </c>
      <c r="F850" s="32" t="inlineStr">
        <is>
          <t>San Jose, CA</t>
        </is>
      </c>
      <c r="G850" s="33" t="inlineStr">
        <is>
          <t>Privately Held (backing)</t>
        </is>
      </c>
      <c r="H850" s="34" t="inlineStr">
        <is>
          <t>Angel-Backed</t>
        </is>
      </c>
      <c r="I850" s="35" t="inlineStr">
        <is>
          <t>Bre Pettis, Individual Investor, Mani Kulasooriya</t>
        </is>
      </c>
      <c r="J850" s="36" t="inlineStr">
        <is>
          <t>www.techshop.ws</t>
        </is>
      </c>
      <c r="K850" s="37" t="inlineStr">
        <is>
          <t>info@techshop.com</t>
        </is>
      </c>
      <c r="L850" s="38" t="inlineStr">
        <is>
          <t>+1 (800) 640-1975</t>
        </is>
      </c>
      <c r="M850" s="39" t="inlineStr">
        <is>
          <t>Dan Woods</t>
        </is>
      </c>
      <c r="N850" s="40" t="inlineStr">
        <is>
          <t>Chief Executive Officer</t>
        </is>
      </c>
      <c r="O850" s="41" t="inlineStr">
        <is>
          <t>dan@techshop.ws</t>
        </is>
      </c>
      <c r="P850" s="42" t="inlineStr">
        <is>
          <t>+1 (800) 640-1975</t>
        </is>
      </c>
      <c r="Q850" s="43" t="n">
        <v>2006.0</v>
      </c>
      <c r="R850" s="114">
        <f>HYPERLINK("https://my.pitchbook.com?c=59198-77", "View company online")</f>
      </c>
    </row>
    <row r="851">
      <c r="A851" s="9" t="inlineStr">
        <is>
          <t>102971-08</t>
        </is>
      </c>
      <c r="B851" s="10" t="inlineStr">
        <is>
          <t>Techertainment</t>
        </is>
      </c>
      <c r="C851" s="11" t="inlineStr">
        <is>
          <t>90038</t>
        </is>
      </c>
      <c r="D851" s="12" t="inlineStr">
        <is>
          <t>Operator of a digital branding platform. The company provides a web-based platform that enables brands, influencers and fans to connect, create and crowdfund co-branded products for charity</t>
        </is>
      </c>
      <c r="E851" s="13" t="inlineStr">
        <is>
          <t>Social/Platform Software</t>
        </is>
      </c>
      <c r="F851" s="14" t="inlineStr">
        <is>
          <t>Los Angeles, CA</t>
        </is>
      </c>
      <c r="G851" s="15" t="inlineStr">
        <is>
          <t>Privately Held (backing)</t>
        </is>
      </c>
      <c r="H851" s="16" t="inlineStr">
        <is>
          <t>Angel-Backed</t>
        </is>
      </c>
      <c r="I851" s="17" t="inlineStr">
        <is>
          <t>Luis Gallardo</t>
        </is>
      </c>
      <c r="J851" s="18" t="inlineStr">
        <is>
          <t>www.webrand.com</t>
        </is>
      </c>
      <c r="K851" s="19" t="inlineStr">
        <is>
          <t>admin@webrand.com</t>
        </is>
      </c>
      <c r="L851" s="20" t="inlineStr">
        <is>
          <t/>
        </is>
      </c>
      <c r="M851" s="21" t="inlineStr">
        <is>
          <t>Kevin Tighe</t>
        </is>
      </c>
      <c r="N851" s="22" t="inlineStr">
        <is>
          <t>Co-Founder &amp; Chief Executive Officer</t>
        </is>
      </c>
      <c r="O851" s="23" t="inlineStr">
        <is>
          <t>kevin@webrand.com</t>
        </is>
      </c>
      <c r="P851" s="24" t="inlineStr">
        <is>
          <t/>
        </is>
      </c>
      <c r="Q851" s="25" t="n">
        <v>2012.0</v>
      </c>
      <c r="R851" s="113">
        <f>HYPERLINK("https://my.pitchbook.com?c=102971-08", "View company online")</f>
      </c>
    </row>
    <row r="852">
      <c r="A852" s="27" t="inlineStr">
        <is>
          <t>95545-54</t>
        </is>
      </c>
      <c r="B852" s="28" t="inlineStr">
        <is>
          <t>TechDevils</t>
        </is>
      </c>
      <c r="C852" s="29" t="inlineStr">
        <is>
          <t>94903</t>
        </is>
      </c>
      <c r="D852" s="30" t="inlineStr">
        <is>
          <t>Owner and operator of a game software development and IT consulting company. The company develops video game software for different platforms and also provides IT consulting to businesses.</t>
        </is>
      </c>
      <c r="E852" s="31" t="inlineStr">
        <is>
          <t>IT Consulting and Outsourcing</t>
        </is>
      </c>
      <c r="F852" s="32" t="inlineStr">
        <is>
          <t>San Rafael, CA</t>
        </is>
      </c>
      <c r="G852" s="33" t="inlineStr">
        <is>
          <t>Privately Held (backing)</t>
        </is>
      </c>
      <c r="H852" s="34" t="inlineStr">
        <is>
          <t>Angel-Backed</t>
        </is>
      </c>
      <c r="I852" s="35" t="inlineStr">
        <is>
          <t/>
        </is>
      </c>
      <c r="J852" s="36" t="inlineStr">
        <is>
          <t>www.techdevils.us</t>
        </is>
      </c>
      <c r="K852" s="37" t="inlineStr">
        <is>
          <t>contact@techdevils.us</t>
        </is>
      </c>
      <c r="L852" s="38" t="inlineStr">
        <is>
          <t>+1 (451) 462-1640</t>
        </is>
      </c>
      <c r="M852" s="39" t="inlineStr">
        <is>
          <t>René Henke</t>
        </is>
      </c>
      <c r="N852" s="40" t="inlineStr">
        <is>
          <t>Founder, President and Manager</t>
        </is>
      </c>
      <c r="O852" s="41" t="inlineStr">
        <is>
          <t/>
        </is>
      </c>
      <c r="P852" s="42" t="inlineStr">
        <is>
          <t>+1 (451) 462-1640</t>
        </is>
      </c>
      <c r="Q852" s="43" t="n">
        <v>2009.0</v>
      </c>
      <c r="R852" s="114">
        <f>HYPERLINK("https://my.pitchbook.com?c=95545-54", "View company online")</f>
      </c>
    </row>
    <row r="853">
      <c r="A853" s="9" t="inlineStr">
        <is>
          <t>89923-15</t>
        </is>
      </c>
      <c r="B853" s="10" t="inlineStr">
        <is>
          <t>Tech urSelf</t>
        </is>
      </c>
      <c r="C853" s="11" t="inlineStr">
        <is>
          <t>94606</t>
        </is>
      </c>
      <c r="D853" s="12" t="inlineStr">
        <is>
          <t>Developer of technological applications for self development. The company develops technological tools to help people understand themselves better and improve their lives which are developed from the latest in scientific theory, research, and methodology.</t>
        </is>
      </c>
      <c r="E853" s="13" t="inlineStr">
        <is>
          <t>Application Software</t>
        </is>
      </c>
      <c r="F853" s="14" t="inlineStr">
        <is>
          <t>Oakland, CA</t>
        </is>
      </c>
      <c r="G853" s="15" t="inlineStr">
        <is>
          <t>Privately Held (backing)</t>
        </is>
      </c>
      <c r="H853" s="16" t="inlineStr">
        <is>
          <t>Accelerator/Incubator Backed</t>
        </is>
      </c>
      <c r="I853" s="17" t="inlineStr">
        <is>
          <t>Start-Up Chile</t>
        </is>
      </c>
      <c r="J853" s="18" t="inlineStr">
        <is>
          <t>www.techurself.com</t>
        </is>
      </c>
      <c r="K853" s="19" t="inlineStr">
        <is>
          <t>info@techurself.com</t>
        </is>
      </c>
      <c r="L853" s="20" t="inlineStr">
        <is>
          <t>+1 (919) 800-7141</t>
        </is>
      </c>
      <c r="M853" s="21" t="inlineStr">
        <is>
          <t>Evanthia Valera</t>
        </is>
      </c>
      <c r="N853" s="22" t="inlineStr">
        <is>
          <t>Business Analyst &amp; Chief Technology Officer</t>
        </is>
      </c>
      <c r="O853" s="23" t="inlineStr">
        <is>
          <t>evalera@sensoraide.com</t>
        </is>
      </c>
      <c r="P853" s="24" t="inlineStr">
        <is>
          <t/>
        </is>
      </c>
      <c r="Q853" s="25" t="n">
        <v>2011.0</v>
      </c>
      <c r="R853" s="113">
        <f>HYPERLINK("https://my.pitchbook.com?c=89923-15", "View company online")</f>
      </c>
    </row>
    <row r="854">
      <c r="A854" s="27" t="inlineStr">
        <is>
          <t>173773-81</t>
        </is>
      </c>
      <c r="B854" s="28" t="inlineStr">
        <is>
          <t>Teamvibe</t>
        </is>
      </c>
      <c r="C854" s="86">
        <f>HYPERLINK("https://my.pitchbook.com?rrp=173773-81&amp;type=c", "This Company's information is not available to download. Need this Company? Request availability")</f>
      </c>
      <c r="D854" s="30" t="inlineStr">
        <is>
          <t/>
        </is>
      </c>
      <c r="E854" s="31" t="inlineStr">
        <is>
          <t/>
        </is>
      </c>
      <c r="F854" s="32" t="inlineStr">
        <is>
          <t/>
        </is>
      </c>
      <c r="G854" s="33" t="inlineStr">
        <is>
          <t/>
        </is>
      </c>
      <c r="H854" s="34" t="inlineStr">
        <is>
          <t/>
        </is>
      </c>
      <c r="I854" s="35" t="inlineStr">
        <is>
          <t/>
        </is>
      </c>
      <c r="J854" s="36" t="inlineStr">
        <is>
          <t/>
        </is>
      </c>
      <c r="K854" s="37" t="inlineStr">
        <is>
          <t/>
        </is>
      </c>
      <c r="L854" s="38" t="inlineStr">
        <is>
          <t/>
        </is>
      </c>
      <c r="M854" s="39" t="inlineStr">
        <is>
          <t/>
        </is>
      </c>
      <c r="N854" s="40" t="inlineStr">
        <is>
          <t/>
        </is>
      </c>
      <c r="O854" s="41" t="inlineStr">
        <is>
          <t/>
        </is>
      </c>
      <c r="P854" s="42" t="inlineStr">
        <is>
          <t/>
        </is>
      </c>
      <c r="Q854" s="43" t="inlineStr">
        <is>
          <t/>
        </is>
      </c>
      <c r="R854" s="44" t="inlineStr">
        <is>
          <t/>
        </is>
      </c>
    </row>
    <row r="855">
      <c r="A855" s="9" t="inlineStr">
        <is>
          <t>167062-96</t>
        </is>
      </c>
      <c r="B855" s="10" t="inlineStr">
        <is>
          <t>TeamPlus</t>
        </is>
      </c>
      <c r="C855" s="11" t="inlineStr">
        <is>
          <t/>
        </is>
      </c>
      <c r="D855" s="12" t="inlineStr">
        <is>
          <t>Provider of an online recruitment platform. The company provides an application-based online recruitment platform that helps employers to find and recruit candidates based on their skills that match with workplace requirements.</t>
        </is>
      </c>
      <c r="E855" s="13" t="inlineStr">
        <is>
          <t>Application Software</t>
        </is>
      </c>
      <c r="F855" s="14" t="inlineStr">
        <is>
          <t>Santa Monica, CA</t>
        </is>
      </c>
      <c r="G855" s="15" t="inlineStr">
        <is>
          <t>Privately Held (backing)</t>
        </is>
      </c>
      <c r="H855" s="16" t="inlineStr">
        <is>
          <t>Accelerator/Incubator Backed</t>
        </is>
      </c>
      <c r="I855" s="17" t="inlineStr">
        <is>
          <t>Expert DOJO</t>
        </is>
      </c>
      <c r="J855" s="18" t="inlineStr">
        <is>
          <t>www.teamplus.co</t>
        </is>
      </c>
      <c r="K855" s="19" t="inlineStr">
        <is>
          <t/>
        </is>
      </c>
      <c r="L855" s="20" t="inlineStr">
        <is>
          <t/>
        </is>
      </c>
      <c r="M855" s="21" t="inlineStr">
        <is>
          <t>Nektar Baziotis</t>
        </is>
      </c>
      <c r="N855" s="22" t="inlineStr">
        <is>
          <t>Executive</t>
        </is>
      </c>
      <c r="O855" s="23" t="inlineStr">
        <is>
          <t>nektar@teamplus.co</t>
        </is>
      </c>
      <c r="P855" s="24" t="inlineStr">
        <is>
          <t/>
        </is>
      </c>
      <c r="Q855" s="25" t="n">
        <v>2015.0</v>
      </c>
      <c r="R855" s="113">
        <f>HYPERLINK("https://my.pitchbook.com?c=167062-96", "View company online")</f>
      </c>
    </row>
    <row r="856">
      <c r="A856" s="27" t="inlineStr">
        <is>
          <t>174491-29</t>
        </is>
      </c>
      <c r="B856" s="28" t="inlineStr">
        <is>
          <t>TeamNow</t>
        </is>
      </c>
      <c r="C856" s="86">
        <f>HYPERLINK("https://my.pitchbook.com?rrp=174491-29&amp;type=c", "This Company's information is not available to download. Need this Company? Request availability")</f>
      </c>
      <c r="D856" s="30" t="inlineStr">
        <is>
          <t/>
        </is>
      </c>
      <c r="E856" s="31" t="inlineStr">
        <is>
          <t/>
        </is>
      </c>
      <c r="F856" s="32" t="inlineStr">
        <is>
          <t/>
        </is>
      </c>
      <c r="G856" s="33" t="inlineStr">
        <is>
          <t/>
        </is>
      </c>
      <c r="H856" s="34" t="inlineStr">
        <is>
          <t/>
        </is>
      </c>
      <c r="I856" s="35" t="inlineStr">
        <is>
          <t/>
        </is>
      </c>
      <c r="J856" s="36" t="inlineStr">
        <is>
          <t/>
        </is>
      </c>
      <c r="K856" s="37" t="inlineStr">
        <is>
          <t/>
        </is>
      </c>
      <c r="L856" s="38" t="inlineStr">
        <is>
          <t/>
        </is>
      </c>
      <c r="M856" s="39" t="inlineStr">
        <is>
          <t/>
        </is>
      </c>
      <c r="N856" s="40" t="inlineStr">
        <is>
          <t/>
        </is>
      </c>
      <c r="O856" s="41" t="inlineStr">
        <is>
          <t/>
        </is>
      </c>
      <c r="P856" s="42" t="inlineStr">
        <is>
          <t/>
        </is>
      </c>
      <c r="Q856" s="43" t="inlineStr">
        <is>
          <t/>
        </is>
      </c>
      <c r="R856" s="44" t="inlineStr">
        <is>
          <t/>
        </is>
      </c>
    </row>
    <row r="857">
      <c r="A857" s="9" t="inlineStr">
        <is>
          <t>94192-30</t>
        </is>
      </c>
      <c r="B857" s="10" t="inlineStr">
        <is>
          <t>Teaman &amp; Company</t>
        </is>
      </c>
      <c r="C857" s="11" t="inlineStr">
        <is>
          <t>94709</t>
        </is>
      </c>
      <c r="D857" s="12" t="inlineStr">
        <is>
          <t>Provider of colored gemstone, engagement rings and jewelry. The company specializes in providing engagement rings and custom jewelries with precious gems like Sapphire, Tourmaline, Alexandrite, Opal, Ruby, Emerald and others.</t>
        </is>
      </c>
      <c r="E857" s="13" t="inlineStr">
        <is>
          <t>Accessories</t>
        </is>
      </c>
      <c r="F857" s="14" t="inlineStr">
        <is>
          <t>Berkeley, CA</t>
        </is>
      </c>
      <c r="G857" s="15" t="inlineStr">
        <is>
          <t>Privately Held (backing)</t>
        </is>
      </c>
      <c r="H857" s="16" t="inlineStr">
        <is>
          <t>Accelerator/Incubator Backed</t>
        </is>
      </c>
      <c r="I857" s="17" t="inlineStr">
        <is>
          <t>500 Startups, CITRIS Foundry, Individual Investor, Skydeck | Berkeley, The Foundry</t>
        </is>
      </c>
      <c r="J857" s="18" t="inlineStr">
        <is>
          <t>www.teamanco.com</t>
        </is>
      </c>
      <c r="K857" s="19" t="inlineStr">
        <is>
          <t>info@teamanco.com</t>
        </is>
      </c>
      <c r="L857" s="20" t="inlineStr">
        <is>
          <t/>
        </is>
      </c>
      <c r="M857" s="21" t="inlineStr">
        <is>
          <t>Chloé Alpert</t>
        </is>
      </c>
      <c r="N857" s="22" t="inlineStr">
        <is>
          <t>Chief Executive Officer &amp; Co-Founder</t>
        </is>
      </c>
      <c r="O857" s="23" t="inlineStr">
        <is>
          <t>chloe@teamanco.com</t>
        </is>
      </c>
      <c r="P857" s="24" t="inlineStr">
        <is>
          <t/>
        </is>
      </c>
      <c r="Q857" s="25" t="n">
        <v>2013.0</v>
      </c>
      <c r="R857" s="113">
        <f>HYPERLINK("https://my.pitchbook.com?c=94192-30", "View company online")</f>
      </c>
    </row>
    <row r="858">
      <c r="A858" s="27" t="inlineStr">
        <is>
          <t>108026-29</t>
        </is>
      </c>
      <c r="B858" s="28" t="inlineStr">
        <is>
          <t>Team(You)</t>
        </is>
      </c>
      <c r="C858" s="29" t="inlineStr">
        <is>
          <t>90024</t>
        </is>
      </c>
      <c r="D858" s="30" t="inlineStr">
        <is>
          <t>Provider of an incentive program designed to increase student participation and advanced learning. The company provides schools with software to reinforce students positive behavior and allow teachers to integrate incentives.</t>
        </is>
      </c>
      <c r="E858" s="31" t="inlineStr">
        <is>
          <t>Educational Software</t>
        </is>
      </c>
      <c r="F858" s="32" t="inlineStr">
        <is>
          <t>Los Angeles, CA</t>
        </is>
      </c>
      <c r="G858" s="33" t="inlineStr">
        <is>
          <t>Privately Held (backing)</t>
        </is>
      </c>
      <c r="H858" s="34" t="inlineStr">
        <is>
          <t>Angel-Backed</t>
        </is>
      </c>
      <c r="I858" s="35" t="inlineStr">
        <is>
          <t/>
        </is>
      </c>
      <c r="J858" s="36" t="inlineStr">
        <is>
          <t>www.teamyou.co</t>
        </is>
      </c>
      <c r="K858" s="37" t="inlineStr">
        <is>
          <t>helpme@teamyou.co</t>
        </is>
      </c>
      <c r="L858" s="38" t="inlineStr">
        <is>
          <t>+1 (310) 807-8105</t>
        </is>
      </c>
      <c r="M858" s="39" t="inlineStr">
        <is>
          <t>Cynthia Harrington</t>
        </is>
      </c>
      <c r="N858" s="40" t="inlineStr">
        <is>
          <t>Co-Founder &amp; Chief Executive Officer</t>
        </is>
      </c>
      <c r="O858" s="41" t="inlineStr">
        <is>
          <t>cynthia@teamyou.co</t>
        </is>
      </c>
      <c r="P858" s="42" t="inlineStr">
        <is>
          <t>+1 (310) 807-8105</t>
        </is>
      </c>
      <c r="Q858" s="43" t="inlineStr">
        <is>
          <t/>
        </is>
      </c>
      <c r="R858" s="114">
        <f>HYPERLINK("https://my.pitchbook.com?c=108026-29", "View company online")</f>
      </c>
    </row>
    <row r="859">
      <c r="A859" s="9" t="inlineStr">
        <is>
          <t>102392-38</t>
        </is>
      </c>
      <c r="B859" s="10" t="inlineStr">
        <is>
          <t>Team Rubicon</t>
        </is>
      </c>
      <c r="C859" s="85">
        <f>HYPERLINK("https://my.pitchbook.com?rrp=102392-38&amp;type=c", "This Company's information is not available to download. Need this Company? Request availability")</f>
      </c>
      <c r="D859" s="12" t="inlineStr">
        <is>
          <t/>
        </is>
      </c>
      <c r="E859" s="13" t="inlineStr">
        <is>
          <t/>
        </is>
      </c>
      <c r="F859" s="14" t="inlineStr">
        <is>
          <t/>
        </is>
      </c>
      <c r="G859" s="15" t="inlineStr">
        <is>
          <t/>
        </is>
      </c>
      <c r="H859" s="16" t="inlineStr">
        <is>
          <t/>
        </is>
      </c>
      <c r="I859" s="17" t="inlineStr">
        <is>
          <t/>
        </is>
      </c>
      <c r="J859" s="18" t="inlineStr">
        <is>
          <t/>
        </is>
      </c>
      <c r="K859" s="19" t="inlineStr">
        <is>
          <t/>
        </is>
      </c>
      <c r="L859" s="20" t="inlineStr">
        <is>
          <t/>
        </is>
      </c>
      <c r="M859" s="21" t="inlineStr">
        <is>
          <t/>
        </is>
      </c>
      <c r="N859" s="22" t="inlineStr">
        <is>
          <t/>
        </is>
      </c>
      <c r="O859" s="23" t="inlineStr">
        <is>
          <t/>
        </is>
      </c>
      <c r="P859" s="24" t="inlineStr">
        <is>
          <t/>
        </is>
      </c>
      <c r="Q859" s="25" t="inlineStr">
        <is>
          <t/>
        </is>
      </c>
      <c r="R859" s="26" t="inlineStr">
        <is>
          <t/>
        </is>
      </c>
    </row>
    <row r="860">
      <c r="A860" s="27" t="inlineStr">
        <is>
          <t>89922-07</t>
        </is>
      </c>
      <c r="B860" s="28" t="inlineStr">
        <is>
          <t>Team Robot</t>
        </is>
      </c>
      <c r="C860" s="29" t="inlineStr">
        <is>
          <t/>
        </is>
      </c>
      <c r="D860" s="30" t="inlineStr">
        <is>
          <t>Developer and provider of optimization tools for online games. The company offers contextual strategies for gaming applications that can be played online, in mobiles and in tablets.</t>
        </is>
      </c>
      <c r="E860" s="31" t="inlineStr">
        <is>
          <t>Entertainment Software</t>
        </is>
      </c>
      <c r="F860" s="32" t="inlineStr">
        <is>
          <t>San Francisco, CA</t>
        </is>
      </c>
      <c r="G860" s="33" t="inlineStr">
        <is>
          <t>Privately Held (backing)</t>
        </is>
      </c>
      <c r="H860" s="34" t="inlineStr">
        <is>
          <t>Angel-Backed</t>
        </is>
      </c>
      <c r="I860" s="35" t="inlineStr">
        <is>
          <t/>
        </is>
      </c>
      <c r="J860" s="36" t="inlineStr">
        <is>
          <t>www.askmrrobot.com</t>
        </is>
      </c>
      <c r="K860" s="37" t="inlineStr">
        <is>
          <t>vee@askmrrobot.com</t>
        </is>
      </c>
      <c r="L860" s="38" t="inlineStr">
        <is>
          <t/>
        </is>
      </c>
      <c r="M860" s="39" t="inlineStr">
        <is>
          <t>Veronica Tegen</t>
        </is>
      </c>
      <c r="N860" s="40" t="inlineStr">
        <is>
          <t>Co-Founder &amp; Chief Executive Officer</t>
        </is>
      </c>
      <c r="O860" s="41" t="inlineStr">
        <is>
          <t>vee@askmrrobot.com</t>
        </is>
      </c>
      <c r="P860" s="42" t="inlineStr">
        <is>
          <t/>
        </is>
      </c>
      <c r="Q860" s="43" t="n">
        <v>2010.0</v>
      </c>
      <c r="R860" s="114">
        <f>HYPERLINK("https://my.pitchbook.com?c=89922-07", "View company online")</f>
      </c>
    </row>
    <row r="861">
      <c r="A861" s="9" t="inlineStr">
        <is>
          <t>172769-86</t>
        </is>
      </c>
      <c r="B861" s="10" t="inlineStr">
        <is>
          <t>Team Elemental</t>
        </is>
      </c>
      <c r="C861" s="85">
        <f>HYPERLINK("https://my.pitchbook.com?rrp=172769-86&amp;type=c", "This Company's information is not available to download. Need this Company? Request availability")</f>
      </c>
      <c r="D861" s="12" t="inlineStr">
        <is>
          <t/>
        </is>
      </c>
      <c r="E861" s="13" t="inlineStr">
        <is>
          <t/>
        </is>
      </c>
      <c r="F861" s="14" t="inlineStr">
        <is>
          <t/>
        </is>
      </c>
      <c r="G861" s="15" t="inlineStr">
        <is>
          <t/>
        </is>
      </c>
      <c r="H861" s="16" t="inlineStr">
        <is>
          <t/>
        </is>
      </c>
      <c r="I861" s="17" t="inlineStr">
        <is>
          <t/>
        </is>
      </c>
      <c r="J861" s="18" t="inlineStr">
        <is>
          <t/>
        </is>
      </c>
      <c r="K861" s="19" t="inlineStr">
        <is>
          <t/>
        </is>
      </c>
      <c r="L861" s="20" t="inlineStr">
        <is>
          <t/>
        </is>
      </c>
      <c r="M861" s="21" t="inlineStr">
        <is>
          <t/>
        </is>
      </c>
      <c r="N861" s="22" t="inlineStr">
        <is>
          <t/>
        </is>
      </c>
      <c r="O861" s="23" t="inlineStr">
        <is>
          <t/>
        </is>
      </c>
      <c r="P861" s="24" t="inlineStr">
        <is>
          <t/>
        </is>
      </c>
      <c r="Q861" s="25" t="inlineStr">
        <is>
          <t/>
        </is>
      </c>
      <c r="R861" s="26" t="inlineStr">
        <is>
          <t/>
        </is>
      </c>
    </row>
    <row r="862">
      <c r="A862" s="27" t="inlineStr">
        <is>
          <t>170716-24</t>
        </is>
      </c>
      <c r="B862" s="28" t="inlineStr">
        <is>
          <t>TeachU</t>
        </is>
      </c>
      <c r="C862" s="29" t="inlineStr">
        <is>
          <t>90250</t>
        </is>
      </c>
      <c r="D862" s="30" t="inlineStr">
        <is>
          <t>The company is currently operating in Stealth mode.</t>
        </is>
      </c>
      <c r="E862" s="31" t="inlineStr">
        <is>
          <t>Other Business Products and Services</t>
        </is>
      </c>
      <c r="F862" s="32" t="inlineStr">
        <is>
          <t>Hawthorne, CA</t>
        </is>
      </c>
      <c r="G862" s="33" t="inlineStr">
        <is>
          <t>Privately Held (backing)</t>
        </is>
      </c>
      <c r="H862" s="34" t="inlineStr">
        <is>
          <t>Angel-Backed</t>
        </is>
      </c>
      <c r="I862" s="35" t="inlineStr">
        <is>
          <t/>
        </is>
      </c>
      <c r="J862" s="36" t="inlineStr">
        <is>
          <t/>
        </is>
      </c>
      <c r="K862" s="37" t="inlineStr">
        <is>
          <t/>
        </is>
      </c>
      <c r="L862" s="38" t="inlineStr">
        <is>
          <t>+1 (310) 849-0511</t>
        </is>
      </c>
      <c r="M862" s="39" t="inlineStr">
        <is>
          <t>Robert Young</t>
        </is>
      </c>
      <c r="N862" s="40" t="inlineStr">
        <is>
          <t>Executive &amp; Board Member</t>
        </is>
      </c>
      <c r="O862" s="41" t="inlineStr">
        <is>
          <t/>
        </is>
      </c>
      <c r="P862" s="42" t="inlineStr">
        <is>
          <t>+1 (310) 849-0511</t>
        </is>
      </c>
      <c r="Q862" s="43" t="n">
        <v>2016.0</v>
      </c>
      <c r="R862" s="114">
        <f>HYPERLINK("https://my.pitchbook.com?c=170716-24", "View company online")</f>
      </c>
    </row>
    <row r="863">
      <c r="A863" s="9" t="inlineStr">
        <is>
          <t>92614-42</t>
        </is>
      </c>
      <c r="B863" s="10" t="inlineStr">
        <is>
          <t>Teachmeo</t>
        </is>
      </c>
      <c r="C863" s="11" t="inlineStr">
        <is>
          <t/>
        </is>
      </c>
      <c r="D863" s="12" t="inlineStr">
        <is>
          <t>Developer and provider of an online marketplace for users to learn any skills. The company provides an online education platform to learn and teach any skills via webcam.</t>
        </is>
      </c>
      <c r="E863" s="13" t="inlineStr">
        <is>
          <t>Educational Software</t>
        </is>
      </c>
      <c r="F863" s="14" t="inlineStr">
        <is>
          <t>Los Angeles, CA</t>
        </is>
      </c>
      <c r="G863" s="15" t="inlineStr">
        <is>
          <t>Privately Held (backing)</t>
        </is>
      </c>
      <c r="H863" s="16" t="inlineStr">
        <is>
          <t>Accelerator/Incubator Backed</t>
        </is>
      </c>
      <c r="I863" s="17" t="inlineStr">
        <is>
          <t>StartEngine powered by Accenture (Fund)</t>
        </is>
      </c>
      <c r="J863" s="18" t="inlineStr">
        <is>
          <t>signup.teachmeo.com</t>
        </is>
      </c>
      <c r="K863" s="19" t="inlineStr">
        <is>
          <t/>
        </is>
      </c>
      <c r="L863" s="20" t="inlineStr">
        <is>
          <t/>
        </is>
      </c>
      <c r="M863" s="21" t="inlineStr">
        <is>
          <t>Natalie Novoa</t>
        </is>
      </c>
      <c r="N863" s="22" t="inlineStr">
        <is>
          <t>Co-Founder &amp; Chief Executive Officer</t>
        </is>
      </c>
      <c r="O863" s="23" t="inlineStr">
        <is>
          <t>natalie@teachmeo.com</t>
        </is>
      </c>
      <c r="P863" s="24" t="inlineStr">
        <is>
          <t/>
        </is>
      </c>
      <c r="Q863" s="25" t="n">
        <v>2012.0</v>
      </c>
      <c r="R863" s="113">
        <f>HYPERLINK("https://my.pitchbook.com?c=92614-42", "View company online")</f>
      </c>
    </row>
    <row r="864">
      <c r="A864" s="27" t="inlineStr">
        <is>
          <t>112779-91</t>
        </is>
      </c>
      <c r="B864" s="28" t="inlineStr">
        <is>
          <t>TeachMe</t>
        </is>
      </c>
      <c r="C864" s="29" t="inlineStr">
        <is>
          <t>90272</t>
        </is>
      </c>
      <c r="D864" s="30" t="inlineStr">
        <is>
          <t>Developer of educational games and applications. The company develops mathematical games and applications which blends practice and play in order to offer an engaging learning experience to students.</t>
        </is>
      </c>
      <c r="E864" s="31" t="inlineStr">
        <is>
          <t>Educational Software</t>
        </is>
      </c>
      <c r="F864" s="32" t="inlineStr">
        <is>
          <t>Los Angeles, CA</t>
        </is>
      </c>
      <c r="G864" s="33" t="inlineStr">
        <is>
          <t>Privately Held (backing)</t>
        </is>
      </c>
      <c r="H864" s="34" t="inlineStr">
        <is>
          <t>Accelerator/Incubator Backed</t>
        </is>
      </c>
      <c r="I864" s="35" t="inlineStr">
        <is>
          <t>Imagine K12</t>
        </is>
      </c>
      <c r="J864" s="36" t="inlineStr">
        <is>
          <t>www.teachme.com</t>
        </is>
      </c>
      <c r="K864" s="37" t="inlineStr">
        <is>
          <t>info@teachme.com</t>
        </is>
      </c>
      <c r="L864" s="38" t="inlineStr">
        <is>
          <t/>
        </is>
      </c>
      <c r="M864" s="39" t="inlineStr">
        <is>
          <t>Bill Karamouzis</t>
        </is>
      </c>
      <c r="N864" s="40" t="inlineStr">
        <is>
          <t>Co-Founder &amp; Chief Executive Officer</t>
        </is>
      </c>
      <c r="O864" s="41" t="inlineStr">
        <is>
          <t>bill@teachme.com</t>
        </is>
      </c>
      <c r="P864" s="42" t="inlineStr">
        <is>
          <t/>
        </is>
      </c>
      <c r="Q864" s="43" t="n">
        <v>2014.0</v>
      </c>
      <c r="R864" s="114">
        <f>HYPERLINK("https://my.pitchbook.com?c=112779-91", "View company online")</f>
      </c>
    </row>
    <row r="865">
      <c r="A865" s="9" t="inlineStr">
        <is>
          <t>122352-58</t>
        </is>
      </c>
      <c r="B865" s="10" t="inlineStr">
        <is>
          <t>Teachly</t>
        </is>
      </c>
      <c r="C865" s="11" t="inlineStr">
        <is>
          <t/>
        </is>
      </c>
      <c r="D865" s="12" t="inlineStr">
        <is>
          <t>Provider of education management services application. The company develops a learning management system to help educators reduce the amount of time spent in grading and increasing student performance.</t>
        </is>
      </c>
      <c r="E865" s="13" t="inlineStr">
        <is>
          <t>Other Software</t>
        </is>
      </c>
      <c r="F865" s="14" t="inlineStr">
        <is>
          <t>Los Angeles, CA</t>
        </is>
      </c>
      <c r="G865" s="15" t="inlineStr">
        <is>
          <t>Privately Held (backing)</t>
        </is>
      </c>
      <c r="H865" s="16" t="inlineStr">
        <is>
          <t>Accelerator/Incubator Backed</t>
        </is>
      </c>
      <c r="I865" s="17" t="inlineStr">
        <is>
          <t>Founder Institute</t>
        </is>
      </c>
      <c r="J865" s="18" t="inlineStr">
        <is>
          <t>www.teachly.org</t>
        </is>
      </c>
      <c r="K865" s="19" t="inlineStr">
        <is>
          <t/>
        </is>
      </c>
      <c r="L865" s="20" t="inlineStr">
        <is>
          <t/>
        </is>
      </c>
      <c r="M865" s="21" t="inlineStr">
        <is>
          <t>Patrick Teague</t>
        </is>
      </c>
      <c r="N865" s="22" t="inlineStr">
        <is>
          <t>Founder &amp; Chief Education Officer</t>
        </is>
      </c>
      <c r="O865" s="23" t="inlineStr">
        <is>
          <t>patrick@teachly.org</t>
        </is>
      </c>
      <c r="P865" s="24" t="inlineStr">
        <is>
          <t/>
        </is>
      </c>
      <c r="Q865" s="25" t="n">
        <v>2015.0</v>
      </c>
      <c r="R865" s="113">
        <f>HYPERLINK("https://my.pitchbook.com?c=122352-58", "View company online")</f>
      </c>
    </row>
    <row r="866">
      <c r="A866" s="27" t="inlineStr">
        <is>
          <t>95538-52</t>
        </is>
      </c>
      <c r="B866" s="28" t="inlineStr">
        <is>
          <t>Teachlr</t>
        </is>
      </c>
      <c r="C866" s="29" t="inlineStr">
        <is>
          <t/>
        </is>
      </c>
      <c r="D866" s="30" t="inlineStr">
        <is>
          <t>Provider of an online educational platform. The company's platform allows users to learn, teach and connect with other people. It also offers online courses, video lectures, interactive content and a community of peers.</t>
        </is>
      </c>
      <c r="E866" s="31" t="inlineStr">
        <is>
          <t>Educational Software</t>
        </is>
      </c>
      <c r="F866" s="32" t="inlineStr">
        <is>
          <t>Caracas, Venezuela</t>
        </is>
      </c>
      <c r="G866" s="33" t="inlineStr">
        <is>
          <t>Privately Held (backing)</t>
        </is>
      </c>
      <c r="H866" s="34" t="inlineStr">
        <is>
          <t>Angel-Backed</t>
        </is>
      </c>
      <c r="I866" s="35" t="inlineStr">
        <is>
          <t/>
        </is>
      </c>
      <c r="J866" s="36" t="inlineStr">
        <is>
          <t>www.teachlr.com</t>
        </is>
      </c>
      <c r="K866" s="37" t="inlineStr">
        <is>
          <t>info@teachlr.com</t>
        </is>
      </c>
      <c r="L866" s="38" t="inlineStr">
        <is>
          <t/>
        </is>
      </c>
      <c r="M866" s="39" t="inlineStr">
        <is>
          <t>Jean Moises Annicchiarico</t>
        </is>
      </c>
      <c r="N866" s="40" t="inlineStr">
        <is>
          <t>Co-Founder &amp; Chief Executive Officer</t>
        </is>
      </c>
      <c r="O866" s="41" t="inlineStr">
        <is>
          <t>jean@teachlr.com</t>
        </is>
      </c>
      <c r="P866" s="42" t="inlineStr">
        <is>
          <t/>
        </is>
      </c>
      <c r="Q866" s="43" t="n">
        <v>2011.0</v>
      </c>
      <c r="R866" s="114">
        <f>HYPERLINK("https://my.pitchbook.com?c=95538-52", "View company online")</f>
      </c>
    </row>
    <row r="867">
      <c r="A867" s="9" t="inlineStr">
        <is>
          <t>92613-70</t>
        </is>
      </c>
      <c r="B867" s="10" t="inlineStr">
        <is>
          <t>TCZ Holdings</t>
        </is>
      </c>
      <c r="C867" s="11" t="inlineStr">
        <is>
          <t>94041</t>
        </is>
      </c>
      <c r="D867" s="12" t="inlineStr">
        <is>
          <t>Operator in the technology sector.</t>
        </is>
      </c>
      <c r="E867" s="13" t="inlineStr">
        <is>
          <t>Other Information Technology</t>
        </is>
      </c>
      <c r="F867" s="14" t="inlineStr">
        <is>
          <t>Mountain View, CA</t>
        </is>
      </c>
      <c r="G867" s="15" t="inlineStr">
        <is>
          <t>Privately Held (backing)</t>
        </is>
      </c>
      <c r="H867" s="16" t="inlineStr">
        <is>
          <t>Angel-Backed</t>
        </is>
      </c>
      <c r="I867" s="17" t="inlineStr">
        <is>
          <t/>
        </is>
      </c>
      <c r="J867" s="18" t="inlineStr">
        <is>
          <t/>
        </is>
      </c>
      <c r="K867" s="19" t="inlineStr">
        <is>
          <t/>
        </is>
      </c>
      <c r="L867" s="20" t="inlineStr">
        <is>
          <t>+1 (408) 839-7081</t>
        </is>
      </c>
      <c r="M867" s="21" t="inlineStr">
        <is>
          <t>William Heye</t>
        </is>
      </c>
      <c r="N867" s="22" t="inlineStr">
        <is>
          <t>Founder, President &amp; Board Member</t>
        </is>
      </c>
      <c r="O867" s="23" t="inlineStr">
        <is>
          <t/>
        </is>
      </c>
      <c r="P867" s="24" t="inlineStr">
        <is>
          <t>+1 (408) 839-7081</t>
        </is>
      </c>
      <c r="Q867" s="25" t="n">
        <v>2011.0</v>
      </c>
      <c r="R867" s="113">
        <f>HYPERLINK("https://my.pitchbook.com?c=92613-70", "View company online")</f>
      </c>
    </row>
    <row r="868">
      <c r="A868" s="27" t="inlineStr">
        <is>
          <t>113628-43</t>
        </is>
      </c>
      <c r="B868" s="28" t="inlineStr">
        <is>
          <t>TaxGirls</t>
        </is>
      </c>
      <c r="C868" s="86">
        <f>HYPERLINK("https://my.pitchbook.com?rrp=113628-43&amp;type=c", "This Company's information is not available to download. Need this Company? Request availability")</f>
      </c>
      <c r="D868" s="30" t="inlineStr">
        <is>
          <t/>
        </is>
      </c>
      <c r="E868" s="31" t="inlineStr">
        <is>
          <t/>
        </is>
      </c>
      <c r="F868" s="32" t="inlineStr">
        <is>
          <t/>
        </is>
      </c>
      <c r="G868" s="33" t="inlineStr">
        <is>
          <t/>
        </is>
      </c>
      <c r="H868" s="34" t="inlineStr">
        <is>
          <t/>
        </is>
      </c>
      <c r="I868" s="35" t="inlineStr">
        <is>
          <t/>
        </is>
      </c>
      <c r="J868" s="36" t="inlineStr">
        <is>
          <t/>
        </is>
      </c>
      <c r="K868" s="37" t="inlineStr">
        <is>
          <t/>
        </is>
      </c>
      <c r="L868" s="38" t="inlineStr">
        <is>
          <t/>
        </is>
      </c>
      <c r="M868" s="39" t="inlineStr">
        <is>
          <t/>
        </is>
      </c>
      <c r="N868" s="40" t="inlineStr">
        <is>
          <t/>
        </is>
      </c>
      <c r="O868" s="41" t="inlineStr">
        <is>
          <t/>
        </is>
      </c>
      <c r="P868" s="42" t="inlineStr">
        <is>
          <t/>
        </is>
      </c>
      <c r="Q868" s="43" t="inlineStr">
        <is>
          <t/>
        </is>
      </c>
      <c r="R868" s="44" t="inlineStr">
        <is>
          <t/>
        </is>
      </c>
    </row>
    <row r="869">
      <c r="A869" s="9" t="inlineStr">
        <is>
          <t>117760-96</t>
        </is>
      </c>
      <c r="B869" s="10" t="inlineStr">
        <is>
          <t>TaxBestimates</t>
        </is>
      </c>
      <c r="C869" s="11" t="inlineStr">
        <is>
          <t>95304</t>
        </is>
      </c>
      <c r="D869" s="12" t="inlineStr">
        <is>
          <t>Developer of a web application that provides tax optimization services. The company is focused on helping individual taxpayers optimize their tax position and increase their take home pay with each paycheck and it's application has built in tax management and tax filing tools to help manage and file taxes.</t>
        </is>
      </c>
      <c r="E869" s="13" t="inlineStr">
        <is>
          <t>Application Software</t>
        </is>
      </c>
      <c r="F869" s="14" t="inlineStr">
        <is>
          <t>Tracy, CA</t>
        </is>
      </c>
      <c r="G869" s="15" t="inlineStr">
        <is>
          <t>Privately Held (backing)</t>
        </is>
      </c>
      <c r="H869" s="16" t="inlineStr">
        <is>
          <t>Angel-Backed</t>
        </is>
      </c>
      <c r="I869" s="17" t="inlineStr">
        <is>
          <t/>
        </is>
      </c>
      <c r="J869" s="18" t="inlineStr">
        <is>
          <t>www.taxzestimates.com</t>
        </is>
      </c>
      <c r="K869" s="19" t="inlineStr">
        <is>
          <t>info@taxbestimates.com</t>
        </is>
      </c>
      <c r="L869" s="20" t="inlineStr">
        <is>
          <t/>
        </is>
      </c>
      <c r="M869" s="21" t="inlineStr">
        <is>
          <t>Sammy Soto</t>
        </is>
      </c>
      <c r="N869" s="22" t="inlineStr">
        <is>
          <t>Co-Founder, Chief Executive Officer &amp; Board Member</t>
        </is>
      </c>
      <c r="O869" s="23" t="inlineStr">
        <is>
          <t>sammy@taxbestimates.com</t>
        </is>
      </c>
      <c r="P869" s="24" t="inlineStr">
        <is>
          <t/>
        </is>
      </c>
      <c r="Q869" s="25" t="n">
        <v>2015.0</v>
      </c>
      <c r="R869" s="113">
        <f>HYPERLINK("https://my.pitchbook.com?c=117760-96", "View company online")</f>
      </c>
    </row>
    <row r="870">
      <c r="A870" s="27" t="inlineStr">
        <is>
          <t>104185-81</t>
        </is>
      </c>
      <c r="B870" s="28" t="inlineStr">
        <is>
          <t>Tatmaps</t>
        </is>
      </c>
      <c r="C870" s="29" t="inlineStr">
        <is>
          <t/>
        </is>
      </c>
      <c r="D870" s="30" t="inlineStr">
        <is>
          <t>Provider of an online tattoo community platform. The company offers a web-based tattoo community allowing users to review local tattoo parlors, artists, discuss tattoo trends and arrange conventions or events.</t>
        </is>
      </c>
      <c r="E870" s="31" t="inlineStr">
        <is>
          <t>Social/Platform Software</t>
        </is>
      </c>
      <c r="F870" s="32" t="inlineStr">
        <is>
          <t>Los Angeles, CA</t>
        </is>
      </c>
      <c r="G870" s="33" t="inlineStr">
        <is>
          <t>Privately Held (backing)</t>
        </is>
      </c>
      <c r="H870" s="34" t="inlineStr">
        <is>
          <t>Angel-Backed</t>
        </is>
      </c>
      <c r="I870" s="35" t="inlineStr">
        <is>
          <t/>
        </is>
      </c>
      <c r="J870" s="36" t="inlineStr">
        <is>
          <t>www.tatmaps.com</t>
        </is>
      </c>
      <c r="K870" s="37" t="inlineStr">
        <is>
          <t/>
        </is>
      </c>
      <c r="L870" s="38" t="inlineStr">
        <is>
          <t/>
        </is>
      </c>
      <c r="M870" s="39" t="inlineStr">
        <is>
          <t>Casey Cho</t>
        </is>
      </c>
      <c r="N870" s="40" t="inlineStr">
        <is>
          <t>Managing Director</t>
        </is>
      </c>
      <c r="O870" s="41" t="inlineStr">
        <is>
          <t/>
        </is>
      </c>
      <c r="P870" s="42" t="inlineStr">
        <is>
          <t/>
        </is>
      </c>
      <c r="Q870" s="43" t="n">
        <v>2012.0</v>
      </c>
      <c r="R870" s="114">
        <f>HYPERLINK("https://my.pitchbook.com?c=104185-81", "View company online")</f>
      </c>
    </row>
    <row r="871">
      <c r="A871" s="9" t="inlineStr">
        <is>
          <t>174412-18</t>
        </is>
      </c>
      <c r="B871" s="10" t="inlineStr">
        <is>
          <t>Tasty Development</t>
        </is>
      </c>
      <c r="C871" s="85">
        <f>HYPERLINK("https://my.pitchbook.com?rrp=174412-18&amp;type=c", "This Company's information is not available to download. Need this Company? Request availability")</f>
      </c>
      <c r="D871" s="12" t="inlineStr">
        <is>
          <t/>
        </is>
      </c>
      <c r="E871" s="13" t="inlineStr">
        <is>
          <t/>
        </is>
      </c>
      <c r="F871" s="14" t="inlineStr">
        <is>
          <t/>
        </is>
      </c>
      <c r="G871" s="15" t="inlineStr">
        <is>
          <t/>
        </is>
      </c>
      <c r="H871" s="16" t="inlineStr">
        <is>
          <t/>
        </is>
      </c>
      <c r="I871" s="17" t="inlineStr">
        <is>
          <t/>
        </is>
      </c>
      <c r="J871" s="18" t="inlineStr">
        <is>
          <t/>
        </is>
      </c>
      <c r="K871" s="19" t="inlineStr">
        <is>
          <t/>
        </is>
      </c>
      <c r="L871" s="20" t="inlineStr">
        <is>
          <t/>
        </is>
      </c>
      <c r="M871" s="21" t="inlineStr">
        <is>
          <t/>
        </is>
      </c>
      <c r="N871" s="22" t="inlineStr">
        <is>
          <t/>
        </is>
      </c>
      <c r="O871" s="23" t="inlineStr">
        <is>
          <t/>
        </is>
      </c>
      <c r="P871" s="24" t="inlineStr">
        <is>
          <t/>
        </is>
      </c>
      <c r="Q871" s="25" t="inlineStr">
        <is>
          <t/>
        </is>
      </c>
      <c r="R871" s="26" t="inlineStr">
        <is>
          <t/>
        </is>
      </c>
    </row>
    <row r="872">
      <c r="A872" s="27" t="inlineStr">
        <is>
          <t>95094-55</t>
        </is>
      </c>
      <c r="B872" s="28" t="inlineStr">
        <is>
          <t>TasteKid</t>
        </is>
      </c>
      <c r="C872" s="29" t="inlineStr">
        <is>
          <t/>
        </is>
      </c>
      <c r="D872" s="30" t="inlineStr">
        <is>
          <t>Developer of a recommendation platform. The company's software enables users to discover and share interests in music, movies, TV shows, books, authors and games.</t>
        </is>
      </c>
      <c r="E872" s="31" t="inlineStr">
        <is>
          <t>Entertainment Software</t>
        </is>
      </c>
      <c r="F872" s="32" t="inlineStr">
        <is>
          <t>Lucerne Valley, CA</t>
        </is>
      </c>
      <c r="G872" s="33" t="inlineStr">
        <is>
          <t>Privately Held (backing)</t>
        </is>
      </c>
      <c r="H872" s="34" t="inlineStr">
        <is>
          <t>Angel-Backed</t>
        </is>
      </c>
      <c r="I872" s="35" t="inlineStr">
        <is>
          <t>Ramesh Haridas, Vikas Taneja</t>
        </is>
      </c>
      <c r="J872" s="36" t="inlineStr">
        <is>
          <t>www.tastekid.com</t>
        </is>
      </c>
      <c r="K872" s="37" t="inlineStr">
        <is>
          <t>contact@tastekid.com</t>
        </is>
      </c>
      <c r="L872" s="38" t="inlineStr">
        <is>
          <t/>
        </is>
      </c>
      <c r="M872" s="39" t="inlineStr">
        <is>
          <t>Andrei Oghina</t>
        </is>
      </c>
      <c r="N872" s="40" t="inlineStr">
        <is>
          <t>Founder</t>
        </is>
      </c>
      <c r="O872" s="41" t="inlineStr">
        <is>
          <t>andrei@tastekid.com</t>
        </is>
      </c>
      <c r="P872" s="42" t="inlineStr">
        <is>
          <t/>
        </is>
      </c>
      <c r="Q872" s="43" t="n">
        <v>2009.0</v>
      </c>
      <c r="R872" s="114">
        <f>HYPERLINK("https://my.pitchbook.com?c=95094-55", "View company online")</f>
      </c>
    </row>
    <row r="873">
      <c r="A873" s="9" t="inlineStr">
        <is>
          <t>95094-28</t>
        </is>
      </c>
      <c r="B873" s="10" t="inlineStr">
        <is>
          <t>Taste of Blue</t>
        </is>
      </c>
      <c r="C873" s="11" t="inlineStr">
        <is>
          <t>90046</t>
        </is>
      </c>
      <c r="D873" s="12" t="inlineStr">
        <is>
          <t>Provider of an online purchasing platform. The company lifestyle management software, accessible only by its members, that offers its clients with access to travel itineraries, deals on travels and various other deals.</t>
        </is>
      </c>
      <c r="E873" s="13" t="inlineStr">
        <is>
          <t>Social/Platform Software</t>
        </is>
      </c>
      <c r="F873" s="14" t="inlineStr">
        <is>
          <t>Los Angeles, CA</t>
        </is>
      </c>
      <c r="G873" s="15" t="inlineStr">
        <is>
          <t>Privately Held (backing)</t>
        </is>
      </c>
      <c r="H873" s="16" t="inlineStr">
        <is>
          <t>Accelerator/Incubator Backed</t>
        </is>
      </c>
      <c r="I873" s="17" t="inlineStr">
        <is>
          <t>Be Great Partners</t>
        </is>
      </c>
      <c r="J873" s="18" t="inlineStr">
        <is>
          <t>www.tasteofblue.com</t>
        </is>
      </c>
      <c r="K873" s="19" t="inlineStr">
        <is>
          <t>ask@tasteofblue.com</t>
        </is>
      </c>
      <c r="L873" s="20" t="inlineStr">
        <is>
          <t>+1 (702) 940-8043</t>
        </is>
      </c>
      <c r="M873" s="21" t="inlineStr">
        <is>
          <t>Steve Sims</t>
        </is>
      </c>
      <c r="N873" s="22" t="inlineStr">
        <is>
          <t>Chief Executive Officer &amp; Founder</t>
        </is>
      </c>
      <c r="O873" s="23" t="inlineStr">
        <is>
          <t>steve@tasteofblue.com</t>
        </is>
      </c>
      <c r="P873" s="24" t="inlineStr">
        <is>
          <t>+1 (702) 940-8043</t>
        </is>
      </c>
      <c r="Q873" s="25" t="n">
        <v>2008.0</v>
      </c>
      <c r="R873" s="113">
        <f>HYPERLINK("https://my.pitchbook.com?c=95094-28", "View company online")</f>
      </c>
    </row>
    <row r="874">
      <c r="A874" s="27" t="inlineStr">
        <is>
          <t>103244-77</t>
        </is>
      </c>
      <c r="B874" s="28" t="inlineStr">
        <is>
          <t>TaskIT (Consulting)</t>
        </is>
      </c>
      <c r="C874" s="29" t="inlineStr">
        <is>
          <t>95030</t>
        </is>
      </c>
      <c r="D874" s="30" t="inlineStr">
        <is>
          <t>Provider of a crowdsourced marketplace platform for consulting services. The company engages in connecting businesses with an on-demand IT workforce that includes engineers and consultants worldwide.</t>
        </is>
      </c>
      <c r="E874" s="31" t="inlineStr">
        <is>
          <t>Social/Platform Software</t>
        </is>
      </c>
      <c r="F874" s="32" t="inlineStr">
        <is>
          <t>Los Gatos, CA</t>
        </is>
      </c>
      <c r="G874" s="33" t="inlineStr">
        <is>
          <t>Privately Held (backing)</t>
        </is>
      </c>
      <c r="H874" s="34" t="inlineStr">
        <is>
          <t>Angel-Backed</t>
        </is>
      </c>
      <c r="I874" s="35" t="inlineStr">
        <is>
          <t>Alec Ratliff, Andrew Sakelson, Ben Dimmitt, Jacob Elziq, Justin McGovern, Kowsik Guruswamy, Martina Pavloff, Scott Chiang, Sharon Strong, Steve Zabkar, Tony Edwards</t>
        </is>
      </c>
      <c r="J874" s="36" t="inlineStr">
        <is>
          <t>www.taskit.io</t>
        </is>
      </c>
      <c r="K874" s="37" t="inlineStr">
        <is>
          <t>info@taskit.io</t>
        </is>
      </c>
      <c r="L874" s="38" t="inlineStr">
        <is>
          <t>+1 (888) 963-9603</t>
        </is>
      </c>
      <c r="M874" s="39" t="inlineStr">
        <is>
          <t>James Maze</t>
        </is>
      </c>
      <c r="N874" s="40" t="inlineStr">
        <is>
          <t>Co-Founder &amp; Chief Executive Officer</t>
        </is>
      </c>
      <c r="O874" s="41" t="inlineStr">
        <is>
          <t>james@taskit.io</t>
        </is>
      </c>
      <c r="P874" s="42" t="inlineStr">
        <is>
          <t>+1 (888) 963-9603</t>
        </is>
      </c>
      <c r="Q874" s="43" t="n">
        <v>2012.0</v>
      </c>
      <c r="R874" s="114">
        <f>HYPERLINK("https://my.pitchbook.com?c=103244-77", "View company online")</f>
      </c>
    </row>
    <row r="875">
      <c r="A875" s="9" t="inlineStr">
        <is>
          <t>176305-78</t>
        </is>
      </c>
      <c r="B875" s="10" t="inlineStr">
        <is>
          <t>Tarzango</t>
        </is>
      </c>
      <c r="C875" s="85">
        <f>HYPERLINK("https://my.pitchbook.com?rrp=176305-78&amp;type=c", "This Company's information is not available to download. Need this Company? Request availability")</f>
      </c>
      <c r="D875" s="12" t="inlineStr">
        <is>
          <t/>
        </is>
      </c>
      <c r="E875" s="13" t="inlineStr">
        <is>
          <t/>
        </is>
      </c>
      <c r="F875" s="14" t="inlineStr">
        <is>
          <t/>
        </is>
      </c>
      <c r="G875" s="15" t="inlineStr">
        <is>
          <t/>
        </is>
      </c>
      <c r="H875" s="16" t="inlineStr">
        <is>
          <t/>
        </is>
      </c>
      <c r="I875" s="17" t="inlineStr">
        <is>
          <t/>
        </is>
      </c>
      <c r="J875" s="18" t="inlineStr">
        <is>
          <t/>
        </is>
      </c>
      <c r="K875" s="19" t="inlineStr">
        <is>
          <t/>
        </is>
      </c>
      <c r="L875" s="20" t="inlineStr">
        <is>
          <t/>
        </is>
      </c>
      <c r="M875" s="21" t="inlineStr">
        <is>
          <t/>
        </is>
      </c>
      <c r="N875" s="22" t="inlineStr">
        <is>
          <t/>
        </is>
      </c>
      <c r="O875" s="23" t="inlineStr">
        <is>
          <t/>
        </is>
      </c>
      <c r="P875" s="24" t="inlineStr">
        <is>
          <t/>
        </is>
      </c>
      <c r="Q875" s="25" t="inlineStr">
        <is>
          <t/>
        </is>
      </c>
      <c r="R875" s="26" t="inlineStr">
        <is>
          <t/>
        </is>
      </c>
    </row>
    <row r="876">
      <c r="A876" s="27" t="inlineStr">
        <is>
          <t>154063-54</t>
        </is>
      </c>
      <c r="B876" s="28" t="inlineStr">
        <is>
          <t>Tartwest</t>
        </is>
      </c>
      <c r="C876" s="29" t="inlineStr">
        <is>
          <t>92009</t>
        </is>
      </c>
      <c r="D876" s="30" t="inlineStr">
        <is>
          <t>Developer of a application for searching art events. The company develops an application that enables users to search for art events.</t>
        </is>
      </c>
      <c r="E876" s="31" t="inlineStr">
        <is>
          <t>Application Software</t>
        </is>
      </c>
      <c r="F876" s="32" t="inlineStr">
        <is>
          <t>Carlsbad, CA</t>
        </is>
      </c>
      <c r="G876" s="33" t="inlineStr">
        <is>
          <t>Privately Held (backing)</t>
        </is>
      </c>
      <c r="H876" s="34" t="inlineStr">
        <is>
          <t>Angel-Backed</t>
        </is>
      </c>
      <c r="I876" s="35" t="inlineStr">
        <is>
          <t>Yaniv Gelnik</t>
        </is>
      </c>
      <c r="J876" s="36" t="inlineStr">
        <is>
          <t>www.tartsandiego.com</t>
        </is>
      </c>
      <c r="K876" s="37" t="inlineStr">
        <is>
          <t>info@tartsandiego.com</t>
        </is>
      </c>
      <c r="L876" s="38" t="inlineStr">
        <is>
          <t>+1 (760) 445-7355</t>
        </is>
      </c>
      <c r="M876" s="39" t="inlineStr">
        <is>
          <t>Frances Carrillo</t>
        </is>
      </c>
      <c r="N876" s="40" t="inlineStr">
        <is>
          <t>Partner and Co-Founder</t>
        </is>
      </c>
      <c r="O876" s="41" t="inlineStr">
        <is>
          <t/>
        </is>
      </c>
      <c r="P876" s="42" t="inlineStr">
        <is>
          <t>+1 (760) 445-7355</t>
        </is>
      </c>
      <c r="Q876" s="43" t="n">
        <v>2011.0</v>
      </c>
      <c r="R876" s="114">
        <f>HYPERLINK("https://my.pitchbook.com?c=154063-54", "View company online")</f>
      </c>
    </row>
    <row r="877">
      <c r="A877" s="9" t="inlineStr">
        <is>
          <t>168783-31</t>
        </is>
      </c>
      <c r="B877" s="10" t="inlineStr">
        <is>
          <t>Taro</t>
        </is>
      </c>
      <c r="C877" s="11" t="inlineStr">
        <is>
          <t>94306</t>
        </is>
      </c>
      <c r="D877" s="12" t="inlineStr">
        <is>
          <t>Developer of a meals ordering application. The company's food delivery application allows users to find and connect with local independent chefs and order home-made meals online.</t>
        </is>
      </c>
      <c r="E877" s="13" t="inlineStr">
        <is>
          <t>Application Software</t>
        </is>
      </c>
      <c r="F877" s="14" t="inlineStr">
        <is>
          <t>Palo Alto, CA</t>
        </is>
      </c>
      <c r="G877" s="15" t="inlineStr">
        <is>
          <t>Privately Held (backing)</t>
        </is>
      </c>
      <c r="H877" s="16" t="inlineStr">
        <is>
          <t>Angel-Backed</t>
        </is>
      </c>
      <c r="I877" s="17" t="inlineStr">
        <is>
          <t/>
        </is>
      </c>
      <c r="J877" s="18" t="inlineStr">
        <is>
          <t>www.tarobites.com</t>
        </is>
      </c>
      <c r="K877" s="19" t="inlineStr">
        <is>
          <t/>
        </is>
      </c>
      <c r="L877" s="20" t="inlineStr">
        <is>
          <t>+1 (650) 485-3992</t>
        </is>
      </c>
      <c r="M877" s="21" t="inlineStr">
        <is>
          <t>Krishna Mehra</t>
        </is>
      </c>
      <c r="N877" s="22" t="inlineStr">
        <is>
          <t>Co-Founder, Chief Executive Officer&amp; Board Member</t>
        </is>
      </c>
      <c r="O877" s="23" t="inlineStr">
        <is>
          <t/>
        </is>
      </c>
      <c r="P877" s="24" t="inlineStr">
        <is>
          <t>+1 (650) 485-3992</t>
        </is>
      </c>
      <c r="Q877" s="25" t="n">
        <v>2014.0</v>
      </c>
      <c r="R877" s="113">
        <f>HYPERLINK("https://my.pitchbook.com?c=168783-31", "View company online")</f>
      </c>
    </row>
    <row r="878">
      <c r="A878" s="27" t="inlineStr">
        <is>
          <t>103144-87</t>
        </is>
      </c>
      <c r="B878" s="28" t="inlineStr">
        <is>
          <t>Tarefa</t>
        </is>
      </c>
      <c r="C878" s="29" t="inlineStr">
        <is>
          <t/>
        </is>
      </c>
      <c r="D878" s="30" t="inlineStr">
        <is>
          <t>Developer of a mathematics and science problem solving application. The company's platform, on a subscription basis, enables students to post unsolved math questions and hence get connected to teachers who will solve them.</t>
        </is>
      </c>
      <c r="E878" s="31" t="inlineStr">
        <is>
          <t>Educational Software</t>
        </is>
      </c>
      <c r="F878" s="32" t="inlineStr">
        <is>
          <t>San Francisco, CA</t>
        </is>
      </c>
      <c r="G878" s="33" t="inlineStr">
        <is>
          <t>Privately Held (backing)</t>
        </is>
      </c>
      <c r="H878" s="34" t="inlineStr">
        <is>
          <t>Accelerator/Incubator Backed</t>
        </is>
      </c>
      <c r="I878" s="35" t="inlineStr">
        <is>
          <t>500 Startups, Estarte.Me, Seedstars World, Start-Up Chile, WOW Aceleradora</t>
        </is>
      </c>
      <c r="J878" s="36" t="inlineStr">
        <is>
          <t>www.tarefa.co</t>
        </is>
      </c>
      <c r="K878" s="37" t="inlineStr">
        <is>
          <t/>
        </is>
      </c>
      <c r="L878" s="38" t="inlineStr">
        <is>
          <t/>
        </is>
      </c>
      <c r="M878" s="39" t="inlineStr">
        <is>
          <t>Edwin Prospero Gonzales Melquiades</t>
        </is>
      </c>
      <c r="N878" s="40" t="inlineStr">
        <is>
          <t>Co-Founder &amp; Chief Technology Officer</t>
        </is>
      </c>
      <c r="O878" s="41" t="inlineStr">
        <is>
          <t>edwin@tarefa.co</t>
        </is>
      </c>
      <c r="P878" s="42" t="inlineStr">
        <is>
          <t/>
        </is>
      </c>
      <c r="Q878" s="43" t="n">
        <v>2014.0</v>
      </c>
      <c r="R878" s="114">
        <f>HYPERLINK("https://my.pitchbook.com?c=103144-87", "View company online")</f>
      </c>
    </row>
    <row r="879">
      <c r="A879" s="9" t="inlineStr">
        <is>
          <t>104185-45</t>
        </is>
      </c>
      <c r="B879" s="10" t="inlineStr">
        <is>
          <t>Taptivate</t>
        </is>
      </c>
      <c r="C879" s="11" t="inlineStr">
        <is>
          <t>94121</t>
        </is>
      </c>
      <c r="D879" s="12" t="inlineStr">
        <is>
          <t>Developer of mobile applications. The company develops mobile applications for iPhones and for the iOS platform.</t>
        </is>
      </c>
      <c r="E879" s="13" t="inlineStr">
        <is>
          <t>Other IT Services</t>
        </is>
      </c>
      <c r="F879" s="14" t="inlineStr">
        <is>
          <t>San Francisco, CA</t>
        </is>
      </c>
      <c r="G879" s="15" t="inlineStr">
        <is>
          <t>Privately Held (backing)</t>
        </is>
      </c>
      <c r="H879" s="16" t="inlineStr">
        <is>
          <t>Accelerator/Incubator Backed</t>
        </is>
      </c>
      <c r="I879" s="17" t="inlineStr">
        <is>
          <t>Kicklabs</t>
        </is>
      </c>
      <c r="J879" s="18" t="inlineStr">
        <is>
          <t>www.taptivate.com</t>
        </is>
      </c>
      <c r="K879" s="19" t="inlineStr">
        <is>
          <t/>
        </is>
      </c>
      <c r="L879" s="20" t="inlineStr">
        <is>
          <t/>
        </is>
      </c>
      <c r="M879" s="21" t="inlineStr">
        <is>
          <t/>
        </is>
      </c>
      <c r="N879" s="22" t="inlineStr">
        <is>
          <t/>
        </is>
      </c>
      <c r="O879" s="23" t="inlineStr">
        <is>
          <t/>
        </is>
      </c>
      <c r="P879" s="24" t="inlineStr">
        <is>
          <t/>
        </is>
      </c>
      <c r="Q879" s="25" t="n">
        <v>2009.0</v>
      </c>
      <c r="R879" s="113">
        <f>HYPERLINK("https://my.pitchbook.com?c=104185-45", "View company online")</f>
      </c>
    </row>
    <row r="880">
      <c r="A880" s="27" t="inlineStr">
        <is>
          <t>60722-20</t>
        </is>
      </c>
      <c r="B880" s="28" t="inlineStr">
        <is>
          <t>TapThere</t>
        </is>
      </c>
      <c r="C880" s="29" t="inlineStr">
        <is>
          <t>92660</t>
        </is>
      </c>
      <c r="D880" s="30" t="inlineStr">
        <is>
          <t>Developer and operator of a social media platform. The company empowers people to share their experiences in real time with family, friends, and anyone else around the globe.</t>
        </is>
      </c>
      <c r="E880" s="31" t="inlineStr">
        <is>
          <t>Social/Platform Software</t>
        </is>
      </c>
      <c r="F880" s="32" t="inlineStr">
        <is>
          <t>Newport Beach, CA</t>
        </is>
      </c>
      <c r="G880" s="33" t="inlineStr">
        <is>
          <t>Privately Held (backing)</t>
        </is>
      </c>
      <c r="H880" s="34" t="inlineStr">
        <is>
          <t>Angel-Backed</t>
        </is>
      </c>
      <c r="I880" s="35" t="inlineStr">
        <is>
          <t/>
        </is>
      </c>
      <c r="J880" s="36" t="inlineStr">
        <is>
          <t/>
        </is>
      </c>
      <c r="K880" s="37" t="inlineStr">
        <is>
          <t/>
        </is>
      </c>
      <c r="L880" s="38" t="inlineStr">
        <is>
          <t>+1 (949) 400-0455</t>
        </is>
      </c>
      <c r="M880" s="39" t="inlineStr">
        <is>
          <t>Curtis Hutten</t>
        </is>
      </c>
      <c r="N880" s="40" t="inlineStr">
        <is>
          <t>Chief Executive Officer, President, Board Member and Founder</t>
        </is>
      </c>
      <c r="O880" s="41" t="inlineStr">
        <is>
          <t>curtis@tapthere.com</t>
        </is>
      </c>
      <c r="P880" s="42" t="inlineStr">
        <is>
          <t>+1 (949) 400-0455</t>
        </is>
      </c>
      <c r="Q880" s="43" t="n">
        <v>2012.0</v>
      </c>
      <c r="R880" s="114">
        <f>HYPERLINK("https://my.pitchbook.com?c=60722-20", "View company online")</f>
      </c>
    </row>
    <row r="881">
      <c r="A881" s="9" t="inlineStr">
        <is>
          <t>95407-66</t>
        </is>
      </c>
      <c r="B881" s="10" t="inlineStr">
        <is>
          <t>TapRush</t>
        </is>
      </c>
      <c r="C881" s="11" t="inlineStr">
        <is>
          <t>94123</t>
        </is>
      </c>
      <c r="D881" s="12" t="inlineStr">
        <is>
          <t>Operator of a mobile marketing agency. The company provides Pay-Per-Install ad network for mobile apps in the industry.</t>
        </is>
      </c>
      <c r="E881" s="13" t="inlineStr">
        <is>
          <t>Business/Productivity Software</t>
        </is>
      </c>
      <c r="F881" s="14" t="inlineStr">
        <is>
          <t>San Francisco, CA</t>
        </is>
      </c>
      <c r="G881" s="15" t="inlineStr">
        <is>
          <t>Privately Held (backing)</t>
        </is>
      </c>
      <c r="H881" s="16" t="inlineStr">
        <is>
          <t>Angel-Backed</t>
        </is>
      </c>
      <c r="I881" s="17" t="inlineStr">
        <is>
          <t/>
        </is>
      </c>
      <c r="J881" s="18" t="inlineStr">
        <is>
          <t>www.taprush.com</t>
        </is>
      </c>
      <c r="K881" s="19" t="inlineStr">
        <is>
          <t>info@taprush.com</t>
        </is>
      </c>
      <c r="L881" s="20" t="inlineStr">
        <is>
          <t/>
        </is>
      </c>
      <c r="M881" s="21" t="inlineStr">
        <is>
          <t>David Lukrich</t>
        </is>
      </c>
      <c r="N881" s="22" t="inlineStr">
        <is>
          <t>Director</t>
        </is>
      </c>
      <c r="O881" s="23" t="inlineStr">
        <is>
          <t>dlukrich@angelrush.com</t>
        </is>
      </c>
      <c r="P881" s="24" t="inlineStr">
        <is>
          <t>+1 (415) 926-8997</t>
        </is>
      </c>
      <c r="Q881" s="25" t="n">
        <v>2011.0</v>
      </c>
      <c r="R881" s="113">
        <f>HYPERLINK("https://my.pitchbook.com?c=95407-66", "View company online")</f>
      </c>
    </row>
    <row r="882">
      <c r="A882" s="27" t="inlineStr">
        <is>
          <t>94187-53</t>
        </is>
      </c>
      <c r="B882" s="28" t="inlineStr">
        <is>
          <t>TapResearch</t>
        </is>
      </c>
      <c r="C882" s="29" t="inlineStr">
        <is>
          <t>94043</t>
        </is>
      </c>
      <c r="D882" s="30" t="inlineStr">
        <is>
          <t>Developer of a mobile market research platform. The company develops a platform that connects mobile, tablet and desktop users interested in completing surveys with market researchers who need their opinions.</t>
        </is>
      </c>
      <c r="E882" s="31" t="inlineStr">
        <is>
          <t>Social/Platform Software</t>
        </is>
      </c>
      <c r="F882" s="32" t="inlineStr">
        <is>
          <t>Mountain View, CA</t>
        </is>
      </c>
      <c r="G882" s="33" t="inlineStr">
        <is>
          <t>Privately Held (backing)</t>
        </is>
      </c>
      <c r="H882" s="34" t="inlineStr">
        <is>
          <t>Angel-Backed</t>
        </is>
      </c>
      <c r="I882" s="35" t="inlineStr">
        <is>
          <t/>
        </is>
      </c>
      <c r="J882" s="36" t="inlineStr">
        <is>
          <t>www.tapresearch.com</t>
        </is>
      </c>
      <c r="K882" s="37" t="inlineStr">
        <is>
          <t>support@tapresearch.com</t>
        </is>
      </c>
      <c r="L882" s="38" t="inlineStr">
        <is>
          <t/>
        </is>
      </c>
      <c r="M882" s="39" t="inlineStr">
        <is>
          <t>Aaron Platshon</t>
        </is>
      </c>
      <c r="N882" s="40" t="inlineStr">
        <is>
          <t>Chief Executive Officer and Co-Founder</t>
        </is>
      </c>
      <c r="O882" s="41" t="inlineStr">
        <is>
          <t>aaron@tapresearch.com</t>
        </is>
      </c>
      <c r="P882" s="42" t="inlineStr">
        <is>
          <t/>
        </is>
      </c>
      <c r="Q882" s="43" t="n">
        <v>2013.0</v>
      </c>
      <c r="R882" s="114">
        <f>HYPERLINK("https://my.pitchbook.com?c=94187-53", "View company online")</f>
      </c>
    </row>
    <row r="883">
      <c r="A883" s="9" t="inlineStr">
        <is>
          <t>99281-98</t>
        </is>
      </c>
      <c r="B883" s="10" t="inlineStr">
        <is>
          <t>Tappur</t>
        </is>
      </c>
      <c r="C883" s="11" t="inlineStr">
        <is>
          <t>94107</t>
        </is>
      </c>
      <c r="D883" s="12" t="inlineStr">
        <is>
          <t>Developer of a wearable controller application. The company develops a wearable controller for music creation and performance that provides a natural and tactile playing experience.</t>
        </is>
      </c>
      <c r="E883" s="13" t="inlineStr">
        <is>
          <t>Electronics (B2C)</t>
        </is>
      </c>
      <c r="F883" s="14" t="inlineStr">
        <is>
          <t>San Francisco, CA</t>
        </is>
      </c>
      <c r="G883" s="15" t="inlineStr">
        <is>
          <t>Privately Held (backing)</t>
        </is>
      </c>
      <c r="H883" s="16" t="inlineStr">
        <is>
          <t>Accelerator/Incubator Backed</t>
        </is>
      </c>
      <c r="I883" s="17" t="inlineStr">
        <is>
          <t>500 Startups, Sean Percival, Wearable IoT World</t>
        </is>
      </c>
      <c r="J883" s="18" t="inlineStr">
        <is>
          <t>www.drumpants.com</t>
        </is>
      </c>
      <c r="K883" s="19" t="inlineStr">
        <is>
          <t/>
        </is>
      </c>
      <c r="L883" s="20" t="inlineStr">
        <is>
          <t/>
        </is>
      </c>
      <c r="M883" s="21" t="inlineStr">
        <is>
          <t>Lei Yu</t>
        </is>
      </c>
      <c r="N883" s="22" t="inlineStr">
        <is>
          <t>Chief Executive Officer &amp; Co-Founder</t>
        </is>
      </c>
      <c r="O883" s="23" t="inlineStr">
        <is>
          <t>lei@drumpants.com</t>
        </is>
      </c>
      <c r="P883" s="24" t="inlineStr">
        <is>
          <t/>
        </is>
      </c>
      <c r="Q883" s="25" t="n">
        <v>2013.0</v>
      </c>
      <c r="R883" s="113">
        <f>HYPERLINK("https://my.pitchbook.com?c=99281-98", "View company online")</f>
      </c>
    </row>
    <row r="884">
      <c r="A884" s="27" t="inlineStr">
        <is>
          <t>113967-73</t>
        </is>
      </c>
      <c r="B884" s="28" t="inlineStr">
        <is>
          <t>TapNSell</t>
        </is>
      </c>
      <c r="C884" s="29" t="inlineStr">
        <is>
          <t>94104</t>
        </is>
      </c>
      <c r="D884" s="30" t="inlineStr">
        <is>
          <t>Developer of an e-commerce application for buying and selling unwanted items. The company develops an application that enables users to buy and sell used products using mobile devices.</t>
        </is>
      </c>
      <c r="E884" s="31" t="inlineStr">
        <is>
          <t>Application Software</t>
        </is>
      </c>
      <c r="F884" s="32" t="inlineStr">
        <is>
          <t>San Francisco, CA</t>
        </is>
      </c>
      <c r="G884" s="33" t="inlineStr">
        <is>
          <t>Privately Held (backing)</t>
        </is>
      </c>
      <c r="H884" s="34" t="inlineStr">
        <is>
          <t>Angel-Backed</t>
        </is>
      </c>
      <c r="I884" s="35" t="inlineStr">
        <is>
          <t>Founders Space, Keiretsu Forum</t>
        </is>
      </c>
      <c r="J884" s="36" t="inlineStr">
        <is>
          <t>www.tapnsell.com</t>
        </is>
      </c>
      <c r="K884" s="37" t="inlineStr">
        <is>
          <t/>
        </is>
      </c>
      <c r="L884" s="38" t="inlineStr">
        <is>
          <t>+1 (415) 323-6499</t>
        </is>
      </c>
      <c r="M884" s="39" t="inlineStr">
        <is>
          <t>Lupe Garcia</t>
        </is>
      </c>
      <c r="N884" s="40" t="inlineStr">
        <is>
          <t>Co-Founder</t>
        </is>
      </c>
      <c r="O884" s="41" t="inlineStr">
        <is>
          <t/>
        </is>
      </c>
      <c r="P884" s="42" t="inlineStr">
        <is>
          <t>+1 (415) 323-6499</t>
        </is>
      </c>
      <c r="Q884" s="43" t="n">
        <v>2014.0</v>
      </c>
      <c r="R884" s="114">
        <f>HYPERLINK("https://my.pitchbook.com?c=113967-73", "View company online")</f>
      </c>
    </row>
    <row r="885">
      <c r="A885" s="9" t="inlineStr">
        <is>
          <t>90561-70</t>
        </is>
      </c>
      <c r="B885" s="10" t="inlineStr">
        <is>
          <t>Taplet</t>
        </is>
      </c>
      <c r="C885" s="11" t="inlineStr">
        <is>
          <t/>
        </is>
      </c>
      <c r="D885" s="12" t="inlineStr">
        <is>
          <t>Provider of a photography application for mobile phones. The company offers an application which allows users to select photos from video and improve them with imaging technology for sharing on social media.</t>
        </is>
      </c>
      <c r="E885" s="13" t="inlineStr">
        <is>
          <t>Application Software</t>
        </is>
      </c>
      <c r="F885" s="14" t="inlineStr">
        <is>
          <t>Los Angeles, CA</t>
        </is>
      </c>
      <c r="G885" s="15" t="inlineStr">
        <is>
          <t>Privately Held (backing)</t>
        </is>
      </c>
      <c r="H885" s="16" t="inlineStr">
        <is>
          <t>Angel-Backed</t>
        </is>
      </c>
      <c r="I885" s="17" t="inlineStr">
        <is>
          <t>Kia Illulian, Michael Levine, Michael Rubin, Russell Simmons</t>
        </is>
      </c>
      <c r="J885" s="18" t="inlineStr">
        <is>
          <t>www.gotaplet.com</t>
        </is>
      </c>
      <c r="K885" s="19" t="inlineStr">
        <is>
          <t>press@gotaplet.com</t>
        </is>
      </c>
      <c r="L885" s="20" t="inlineStr">
        <is>
          <t/>
        </is>
      </c>
      <c r="M885" s="21" t="inlineStr">
        <is>
          <t>Dustin Pourbaba</t>
        </is>
      </c>
      <c r="N885" s="22" t="inlineStr">
        <is>
          <t>Founder &amp; Chief Executive Officer</t>
        </is>
      </c>
      <c r="O885" s="23" t="inlineStr">
        <is>
          <t>dustin@gotaplet.com</t>
        </is>
      </c>
      <c r="P885" s="24" t="inlineStr">
        <is>
          <t/>
        </is>
      </c>
      <c r="Q885" s="25" t="n">
        <v>2013.0</v>
      </c>
      <c r="R885" s="113">
        <f>HYPERLINK("https://my.pitchbook.com?c=90561-70", "View company online")</f>
      </c>
    </row>
    <row r="886">
      <c r="A886" s="27" t="inlineStr">
        <is>
          <t>99048-61</t>
        </is>
      </c>
      <c r="B886" s="28" t="inlineStr">
        <is>
          <t>TapHunter</t>
        </is>
      </c>
      <c r="C886" s="29" t="inlineStr">
        <is>
          <t>92101</t>
        </is>
      </c>
      <c r="D886" s="30" t="inlineStr">
        <is>
          <t>Developer of a craft beer location application. The company develops a mobile application that enables consumers to locate their favorite beer, spiirits and cocktails in market across the United States.</t>
        </is>
      </c>
      <c r="E886" s="31" t="inlineStr">
        <is>
          <t>Application Software</t>
        </is>
      </c>
      <c r="F886" s="32" t="inlineStr">
        <is>
          <t>San Diego, CA</t>
        </is>
      </c>
      <c r="G886" s="33" t="inlineStr">
        <is>
          <t>Privately Held (backing)</t>
        </is>
      </c>
      <c r="H886" s="34" t="inlineStr">
        <is>
          <t>Accelerator/Incubator Backed</t>
        </is>
      </c>
      <c r="I886" s="35" t="inlineStr">
        <is>
          <t>Analytics Ventures, Doug Hecht, EvoNexus, Jeff Berg, La Costa Investment Group, Navid Alipour, Right Side Capital Management, Startup Leadership, Steve Hart</t>
        </is>
      </c>
      <c r="J886" s="36" t="inlineStr">
        <is>
          <t>www.taphunter.com</t>
        </is>
      </c>
      <c r="K886" s="37" t="inlineStr">
        <is>
          <t>support@taphunter.com</t>
        </is>
      </c>
      <c r="L886" s="38" t="inlineStr">
        <is>
          <t>+1 (619) 512-2337</t>
        </is>
      </c>
      <c r="M886" s="39" t="inlineStr">
        <is>
          <t>Melani Gordon</t>
        </is>
      </c>
      <c r="N886" s="40" t="inlineStr">
        <is>
          <t>Chief Executive Officer &amp; Co-Founder</t>
        </is>
      </c>
      <c r="O886" s="41" t="inlineStr">
        <is>
          <t>melani@bevato.com</t>
        </is>
      </c>
      <c r="P886" s="42" t="inlineStr">
        <is>
          <t>+1 (619) 894-0384</t>
        </is>
      </c>
      <c r="Q886" s="43" t="n">
        <v>2009.0</v>
      </c>
      <c r="R886" s="114">
        <f>HYPERLINK("https://my.pitchbook.com?c=99048-61", "View company online")</f>
      </c>
    </row>
    <row r="887">
      <c r="A887" s="9" t="inlineStr">
        <is>
          <t>97357-69</t>
        </is>
      </c>
      <c r="B887" s="10" t="inlineStr">
        <is>
          <t>TapHeaven</t>
        </is>
      </c>
      <c r="C887" s="11" t="inlineStr">
        <is>
          <t/>
        </is>
      </c>
      <c r="D887" s="12" t="inlineStr">
        <is>
          <t>Provider of real-time-buying platform for mobile ads, powered by machine learning and deep analytic. The company integrates proprietary machine learning and real-time analytics to assist, automate and optimize ad buys.</t>
        </is>
      </c>
      <c r="E887" s="13" t="inlineStr">
        <is>
          <t>Business/Productivity Software</t>
        </is>
      </c>
      <c r="F887" s="14" t="inlineStr">
        <is>
          <t>San Francisco, CA</t>
        </is>
      </c>
      <c r="G887" s="15" t="inlineStr">
        <is>
          <t>Privately Held (backing)</t>
        </is>
      </c>
      <c r="H887" s="16" t="inlineStr">
        <is>
          <t>Accelerator/Incubator Backed</t>
        </is>
      </c>
      <c r="I887" s="17" t="inlineStr">
        <is>
          <t>VentureLab Growth Partners</t>
        </is>
      </c>
      <c r="J887" s="18" t="inlineStr">
        <is>
          <t>www.tapheaven.com</t>
        </is>
      </c>
      <c r="K887" s="19" t="inlineStr">
        <is>
          <t/>
        </is>
      </c>
      <c r="L887" s="20" t="inlineStr">
        <is>
          <t/>
        </is>
      </c>
      <c r="M887" s="21" t="inlineStr">
        <is>
          <t>Chris Hoyt</t>
        </is>
      </c>
      <c r="N887" s="22" t="inlineStr">
        <is>
          <t>Chief Executive Officer &amp; Co-Founder</t>
        </is>
      </c>
      <c r="O887" s="23" t="inlineStr">
        <is>
          <t>choyt@tapheaven.com</t>
        </is>
      </c>
      <c r="P887" s="24" t="inlineStr">
        <is>
          <t/>
        </is>
      </c>
      <c r="Q887" s="25" t="n">
        <v>2013.0</v>
      </c>
      <c r="R887" s="113">
        <f>HYPERLINK("https://my.pitchbook.com?c=97357-69", "View company online")</f>
      </c>
    </row>
    <row r="888">
      <c r="A888" s="27" t="inlineStr">
        <is>
          <t>55614-70</t>
        </is>
      </c>
      <c r="B888" s="28" t="inlineStr">
        <is>
          <t>Tapestry</t>
        </is>
      </c>
      <c r="C888" s="29" t="inlineStr">
        <is>
          <t>2007</t>
        </is>
      </c>
      <c r="D888" s="30" t="inlineStr">
        <is>
          <t>Provider of social network site and application for senior citizens. The company provides a platform that allows users to stay connected with their families, friends and communities online via the Web, iPads, iPhones and android devices.</t>
        </is>
      </c>
      <c r="E888" s="31" t="inlineStr">
        <is>
          <t>Social Content</t>
        </is>
      </c>
      <c r="F888" s="32" t="inlineStr">
        <is>
          <t>Ultimo, Australia</t>
        </is>
      </c>
      <c r="G888" s="33" t="inlineStr">
        <is>
          <t>Privately Held (backing)</t>
        </is>
      </c>
      <c r="H888" s="34" t="inlineStr">
        <is>
          <t>Angel-Backed</t>
        </is>
      </c>
      <c r="I888" s="35" t="inlineStr">
        <is>
          <t>Brand Hoff, David Greatorex, Su-Ming Wong, Sydney Angels, Will Bunker</t>
        </is>
      </c>
      <c r="J888" s="36" t="inlineStr">
        <is>
          <t>www.tapestry.net</t>
        </is>
      </c>
      <c r="K888" s="37" t="inlineStr">
        <is>
          <t>info@tapestry.net</t>
        </is>
      </c>
      <c r="L888" s="38" t="inlineStr">
        <is>
          <t>+61 (0)2 8011 3842</t>
        </is>
      </c>
      <c r="M888" s="39" t="inlineStr">
        <is>
          <t>Marcie Rogo</t>
        </is>
      </c>
      <c r="N888" s="40" t="inlineStr">
        <is>
          <t>Head, Operations &amp; Co-Founder</t>
        </is>
      </c>
      <c r="O888" s="41" t="inlineStr">
        <is>
          <t>marcie@stitch.net</t>
        </is>
      </c>
      <c r="P888" s="42" t="inlineStr">
        <is>
          <t>+1 (415) 800-2918</t>
        </is>
      </c>
      <c r="Q888" s="43" t="n">
        <v>2010.0</v>
      </c>
      <c r="R888" s="114">
        <f>HYPERLINK("https://my.pitchbook.com?c=55614-70", "View company online")</f>
      </c>
    </row>
    <row r="889">
      <c r="A889" s="9" t="inlineStr">
        <is>
          <t>55820-17</t>
        </is>
      </c>
      <c r="B889" s="10" t="inlineStr">
        <is>
          <t>TapClicks</t>
        </is>
      </c>
      <c r="C889" s="11" t="inlineStr">
        <is>
          <t>95128</t>
        </is>
      </c>
      <c r="D889" s="12" t="inlineStr">
        <is>
          <t>Provider of marketing reporting dashboard and operations platform designed to deliver marketing analytics and reports. The company's cloud-based digital-marketing analytics infrastructure TapAnalytics, helps digital agents to track real-time performance banner ads, online video, SEO, SEM, reputation management, email and SMS push marketing, social media, mobile campaigns and post-click website analysis, enabling them save time and effort and provide sophisticated analytics which helps in optimizing campaigns.</t>
        </is>
      </c>
      <c r="E889" s="13" t="inlineStr">
        <is>
          <t>Automation/Workflow Software</t>
        </is>
      </c>
      <c r="F889" s="14" t="inlineStr">
        <is>
          <t>San Jose, CA</t>
        </is>
      </c>
      <c r="G889" s="15" t="inlineStr">
        <is>
          <t>Privately Held (backing)</t>
        </is>
      </c>
      <c r="H889" s="16" t="inlineStr">
        <is>
          <t>Angel-Backed</t>
        </is>
      </c>
      <c r="I889" s="17" t="inlineStr">
        <is>
          <t/>
        </is>
      </c>
      <c r="J889" s="18" t="inlineStr">
        <is>
          <t>www.tapclicks.com</t>
        </is>
      </c>
      <c r="K889" s="19" t="inlineStr">
        <is>
          <t/>
        </is>
      </c>
      <c r="L889" s="20" t="inlineStr">
        <is>
          <t>+1 (408) 916-5798</t>
        </is>
      </c>
      <c r="M889" s="21" t="inlineStr">
        <is>
          <t>William Mitchell</t>
        </is>
      </c>
      <c r="N889" s="22" t="inlineStr">
        <is>
          <t>Head, Corporate Accounting and Finance</t>
        </is>
      </c>
      <c r="O889" s="23" t="inlineStr">
        <is>
          <t>bill@tapclicks.com</t>
        </is>
      </c>
      <c r="P889" s="24" t="inlineStr">
        <is>
          <t>+1 (408) 916-5798</t>
        </is>
      </c>
      <c r="Q889" s="25" t="n">
        <v>2009.0</v>
      </c>
      <c r="R889" s="113">
        <f>HYPERLINK("https://my.pitchbook.com?c=55820-17", "View company online")</f>
      </c>
    </row>
    <row r="890">
      <c r="A890" s="27" t="inlineStr">
        <is>
          <t>99048-52</t>
        </is>
      </c>
      <c r="B890" s="28" t="inlineStr">
        <is>
          <t>TapChow</t>
        </is>
      </c>
      <c r="C890" s="29" t="inlineStr">
        <is>
          <t/>
        </is>
      </c>
      <c r="D890" s="30" t="inlineStr">
        <is>
          <t>Developer of an online platform for information of restaurant chains. The company develops an online platform for information regarding mid-market restaurant chains which helps restaurants to know their customers.</t>
        </is>
      </c>
      <c r="E890" s="31" t="inlineStr">
        <is>
          <t>Database Software</t>
        </is>
      </c>
      <c r="F890" s="32" t="inlineStr">
        <is>
          <t>San Diego, CA</t>
        </is>
      </c>
      <c r="G890" s="33" t="inlineStr">
        <is>
          <t>Privately Held (backing)</t>
        </is>
      </c>
      <c r="H890" s="34" t="inlineStr">
        <is>
          <t>Accelerator/Incubator Backed</t>
        </is>
      </c>
      <c r="I890" s="35" t="inlineStr">
        <is>
          <t>EvoNexus</t>
        </is>
      </c>
      <c r="J890" s="36" t="inlineStr">
        <is>
          <t>www.tapchow.com</t>
        </is>
      </c>
      <c r="K890" s="37" t="inlineStr">
        <is>
          <t/>
        </is>
      </c>
      <c r="L890" s="38" t="inlineStr">
        <is>
          <t/>
        </is>
      </c>
      <c r="M890" s="39" t="inlineStr">
        <is>
          <t>Sam Harb</t>
        </is>
      </c>
      <c r="N890" s="40" t="inlineStr">
        <is>
          <t>Co-Founder, Director &amp; Chief Executive Officer</t>
        </is>
      </c>
      <c r="O890" s="41" t="inlineStr">
        <is>
          <t/>
        </is>
      </c>
      <c r="P890" s="42" t="inlineStr">
        <is>
          <t/>
        </is>
      </c>
      <c r="Q890" s="43" t="n">
        <v>2011.0</v>
      </c>
      <c r="R890" s="114">
        <f>HYPERLINK("https://my.pitchbook.com?c=99048-52", "View company online")</f>
      </c>
    </row>
    <row r="891">
      <c r="A891" s="9" t="inlineStr">
        <is>
          <t>158837-95</t>
        </is>
      </c>
      <c r="B891" s="10" t="inlineStr">
        <is>
          <t>Tap Systems</t>
        </is>
      </c>
      <c r="C891" s="11" t="inlineStr">
        <is>
          <t>90027</t>
        </is>
      </c>
      <c r="D891" s="12" t="inlineStr">
        <is>
          <t>Developer of as wearable Bluetooth keyboard. The company specializes in designing and developing a Bluetooth keyboard that turns anything the users can touch into a typing surface.</t>
        </is>
      </c>
      <c r="E891" s="13" t="inlineStr">
        <is>
          <t>Other Consumer Durables</t>
        </is>
      </c>
      <c r="F891" s="14" t="inlineStr">
        <is>
          <t>Los Angeles, CA</t>
        </is>
      </c>
      <c r="G891" s="15" t="inlineStr">
        <is>
          <t>Privately Held (backing)</t>
        </is>
      </c>
      <c r="H891" s="16" t="inlineStr">
        <is>
          <t>Angel-Backed</t>
        </is>
      </c>
      <c r="I891" s="17" t="inlineStr">
        <is>
          <t/>
        </is>
      </c>
      <c r="J891" s="18" t="inlineStr">
        <is>
          <t>www.tapwithus.com</t>
        </is>
      </c>
      <c r="K891" s="19" t="inlineStr">
        <is>
          <t/>
        </is>
      </c>
      <c r="L891" s="20" t="inlineStr">
        <is>
          <t>+1 (845) 641-8472</t>
        </is>
      </c>
      <c r="M891" s="21" t="inlineStr">
        <is>
          <t>David Schick</t>
        </is>
      </c>
      <c r="N891" s="22" t="inlineStr">
        <is>
          <t>Co-Founder &amp; Board Member</t>
        </is>
      </c>
      <c r="O891" s="23" t="inlineStr">
        <is>
          <t/>
        </is>
      </c>
      <c r="P891" s="24" t="inlineStr">
        <is>
          <t>+1 (845) 641-8472</t>
        </is>
      </c>
      <c r="Q891" s="25" t="n">
        <v>2015.0</v>
      </c>
      <c r="R891" s="113">
        <f>HYPERLINK("https://my.pitchbook.com?c=158837-95", "View company online")</f>
      </c>
    </row>
    <row r="892">
      <c r="A892" s="27" t="inlineStr">
        <is>
          <t>153620-02</t>
        </is>
      </c>
      <c r="B892" s="28" t="inlineStr">
        <is>
          <t>TaoLa</t>
        </is>
      </c>
      <c r="C892" s="29" t="inlineStr">
        <is>
          <t/>
        </is>
      </c>
      <c r="D892" s="30" t="inlineStr">
        <is>
          <t>Developer and provider of an online Chinese news portal. The company offers a platform to provide global information on entertainment, lifestyle, culture, science and technology for overseas Chinese users.</t>
        </is>
      </c>
      <c r="E892" s="31" t="inlineStr">
        <is>
          <t>Information Services (B2C)</t>
        </is>
      </c>
      <c r="F892" s="32" t="inlineStr">
        <is>
          <t>San Jose, CA</t>
        </is>
      </c>
      <c r="G892" s="33" t="inlineStr">
        <is>
          <t>Privately Held (backing)</t>
        </is>
      </c>
      <c r="H892" s="34" t="inlineStr">
        <is>
          <t>Angel-Backed</t>
        </is>
      </c>
      <c r="I892" s="35" t="inlineStr">
        <is>
          <t>Wei Guo</t>
        </is>
      </c>
      <c r="J892" s="36" t="inlineStr">
        <is>
          <t>www.haiwaitoutiao.com</t>
        </is>
      </c>
      <c r="K892" s="37" t="inlineStr">
        <is>
          <t/>
        </is>
      </c>
      <c r="L892" s="38" t="inlineStr">
        <is>
          <t/>
        </is>
      </c>
      <c r="M892" s="39" t="inlineStr">
        <is>
          <t>Hero Wang</t>
        </is>
      </c>
      <c r="N892" s="40" t="inlineStr">
        <is>
          <t>Founder and Chief Executive Officer</t>
        </is>
      </c>
      <c r="O892" s="41" t="inlineStr">
        <is>
          <t/>
        </is>
      </c>
      <c r="P892" s="42" t="inlineStr">
        <is>
          <t/>
        </is>
      </c>
      <c r="Q892" s="43" t="n">
        <v>2014.0</v>
      </c>
      <c r="R892" s="114">
        <f>HYPERLINK("https://my.pitchbook.com?c=153620-02", "View company online")</f>
      </c>
    </row>
    <row r="893">
      <c r="A893" s="9" t="inlineStr">
        <is>
          <t>166102-93</t>
        </is>
      </c>
      <c r="B893" s="10" t="inlineStr">
        <is>
          <t>TAO Network (Content Distribution Platform)</t>
        </is>
      </c>
      <c r="C893" s="11" t="inlineStr">
        <is>
          <t/>
        </is>
      </c>
      <c r="D893" s="12" t="inlineStr">
        <is>
          <t>Provider of a block-chain based content distribution platform for the music industry. The company specializes in integrating technologies form different cryptocurrency networks to store, connect and trade the data on an open market.</t>
        </is>
      </c>
      <c r="E893" s="13" t="inlineStr">
        <is>
          <t>Entertainment Software</t>
        </is>
      </c>
      <c r="F893" s="14" t="inlineStr">
        <is>
          <t>Los Angeles, CA</t>
        </is>
      </c>
      <c r="G893" s="15" t="inlineStr">
        <is>
          <t>Privately Held (backing)</t>
        </is>
      </c>
      <c r="H893" s="16" t="inlineStr">
        <is>
          <t>Angel-Backed</t>
        </is>
      </c>
      <c r="I893" s="17" t="inlineStr">
        <is>
          <t/>
        </is>
      </c>
      <c r="J893" s="18" t="inlineStr">
        <is>
          <t/>
        </is>
      </c>
      <c r="K893" s="19" t="inlineStr">
        <is>
          <t/>
        </is>
      </c>
      <c r="L893" s="20" t="inlineStr">
        <is>
          <t/>
        </is>
      </c>
      <c r="M893" s="21" t="inlineStr">
        <is>
          <t>Dale Everingham</t>
        </is>
      </c>
      <c r="N893" s="22" t="inlineStr">
        <is>
          <t>Co-Founder &amp; Advisor</t>
        </is>
      </c>
      <c r="O893" s="23" t="inlineStr">
        <is>
          <t/>
        </is>
      </c>
      <c r="P893" s="24" t="inlineStr">
        <is>
          <t/>
        </is>
      </c>
      <c r="Q893" s="25" t="n">
        <v>2016.0</v>
      </c>
      <c r="R893" s="113">
        <f>HYPERLINK("https://my.pitchbook.com?c=166102-93", "View company online")</f>
      </c>
    </row>
    <row r="894">
      <c r="A894" s="27" t="inlineStr">
        <is>
          <t>172628-83</t>
        </is>
      </c>
      <c r="B894" s="28" t="inlineStr">
        <is>
          <t>Tantiv4</t>
        </is>
      </c>
      <c r="C894" s="29" t="inlineStr">
        <is>
          <t>94086</t>
        </is>
      </c>
      <c r="D894" s="30" t="inlineStr">
        <is>
          <t>Developer of a smart home automation device designed to control smart devices. The company's device can order up to 12 grocery items when user presses the button next to the item on the device, enabling users to manage daily needs and also remembers them.</t>
        </is>
      </c>
      <c r="E894" s="31" t="inlineStr">
        <is>
          <t>Electronics (B2C)</t>
        </is>
      </c>
      <c r="F894" s="32" t="inlineStr">
        <is>
          <t>Sunnyvale, CA</t>
        </is>
      </c>
      <c r="G894" s="33" t="inlineStr">
        <is>
          <t>Privately Held (backing)</t>
        </is>
      </c>
      <c r="H894" s="34" t="inlineStr">
        <is>
          <t>Accelerator/Incubator Backed</t>
        </is>
      </c>
      <c r="I894" s="35" t="inlineStr">
        <is>
          <t>eCubed Ventures</t>
        </is>
      </c>
      <c r="J894" s="36" t="inlineStr">
        <is>
          <t>www.tantiv4.com</t>
        </is>
      </c>
      <c r="K894" s="37" t="inlineStr">
        <is>
          <t>contact@tantiv4.com</t>
        </is>
      </c>
      <c r="L894" s="38" t="inlineStr">
        <is>
          <t>+1 (408) 357-3739</t>
        </is>
      </c>
      <c r="M894" s="39" t="inlineStr">
        <is>
          <t>Anshu Shrivastava</t>
        </is>
      </c>
      <c r="N894" s="40" t="inlineStr">
        <is>
          <t>Co-Founder &amp; Chief Executive Officer</t>
        </is>
      </c>
      <c r="O894" s="41" t="inlineStr">
        <is>
          <t>anshu@tantiv4.com</t>
        </is>
      </c>
      <c r="P894" s="42" t="inlineStr">
        <is>
          <t>+1 (408) 357-3739</t>
        </is>
      </c>
      <c r="Q894" s="43" t="n">
        <v>2014.0</v>
      </c>
      <c r="R894" s="114">
        <f>HYPERLINK("https://my.pitchbook.com?c=172628-83", "View company online")</f>
      </c>
    </row>
    <row r="895">
      <c r="A895" s="9" t="inlineStr">
        <is>
          <t>92696-68</t>
        </is>
      </c>
      <c r="B895" s="10" t="inlineStr">
        <is>
          <t>Tango Tech</t>
        </is>
      </c>
      <c r="C895" s="85">
        <f>HYPERLINK("https://my.pitchbook.com?rrp=92696-68&amp;type=c", "This Company's information is not available to download. Need this Company? Request availability")</f>
      </c>
      <c r="D895" s="12" t="inlineStr">
        <is>
          <t/>
        </is>
      </c>
      <c r="E895" s="13" t="inlineStr">
        <is>
          <t/>
        </is>
      </c>
      <c r="F895" s="14" t="inlineStr">
        <is>
          <t/>
        </is>
      </c>
      <c r="G895" s="15" t="inlineStr">
        <is>
          <t/>
        </is>
      </c>
      <c r="H895" s="16" t="inlineStr">
        <is>
          <t/>
        </is>
      </c>
      <c r="I895" s="17" t="inlineStr">
        <is>
          <t/>
        </is>
      </c>
      <c r="J895" s="18" t="inlineStr">
        <is>
          <t/>
        </is>
      </c>
      <c r="K895" s="19" t="inlineStr">
        <is>
          <t/>
        </is>
      </c>
      <c r="L895" s="20" t="inlineStr">
        <is>
          <t/>
        </is>
      </c>
      <c r="M895" s="21" t="inlineStr">
        <is>
          <t/>
        </is>
      </c>
      <c r="N895" s="22" t="inlineStr">
        <is>
          <t/>
        </is>
      </c>
      <c r="O895" s="23" t="inlineStr">
        <is>
          <t/>
        </is>
      </c>
      <c r="P895" s="24" t="inlineStr">
        <is>
          <t/>
        </is>
      </c>
      <c r="Q895" s="25" t="inlineStr">
        <is>
          <t/>
        </is>
      </c>
      <c r="R895" s="26" t="inlineStr">
        <is>
          <t/>
        </is>
      </c>
    </row>
    <row r="896">
      <c r="A896" s="27" t="inlineStr">
        <is>
          <t>94186-36</t>
        </is>
      </c>
      <c r="B896" s="28" t="inlineStr">
        <is>
          <t>Tangled Web Communications</t>
        </is>
      </c>
      <c r="C896" s="29" t="inlineStr">
        <is>
          <t>90001</t>
        </is>
      </c>
      <c r="D896" s="30" t="inlineStr">
        <is>
          <t>Provider of a customer relationship management platform that connects producers and consumers in niche markets. The company incubate, design and build applications for professionals to engage customers in real time anywhere.</t>
        </is>
      </c>
      <c r="E896" s="31" t="inlineStr">
        <is>
          <t>Business/Productivity Software</t>
        </is>
      </c>
      <c r="F896" s="32" t="inlineStr">
        <is>
          <t>Los Angeles, CA</t>
        </is>
      </c>
      <c r="G896" s="33" t="inlineStr">
        <is>
          <t>Privately Held (backing)</t>
        </is>
      </c>
      <c r="H896" s="34" t="inlineStr">
        <is>
          <t>Angel-Backed</t>
        </is>
      </c>
      <c r="I896" s="35" t="inlineStr">
        <is>
          <t/>
        </is>
      </c>
      <c r="J896" s="36" t="inlineStr">
        <is>
          <t>www.tangledwebcommunications.com</t>
        </is>
      </c>
      <c r="K896" s="37" t="inlineStr">
        <is>
          <t/>
        </is>
      </c>
      <c r="L896" s="38" t="inlineStr">
        <is>
          <t/>
        </is>
      </c>
      <c r="M896" s="39" t="inlineStr">
        <is>
          <t>Ankit Kapasi</t>
        </is>
      </c>
      <c r="N896" s="40" t="inlineStr">
        <is>
          <t>Co-Founder &amp; President</t>
        </is>
      </c>
      <c r="O896" s="41" t="inlineStr">
        <is>
          <t>ankit@tangledwebcommunications.com</t>
        </is>
      </c>
      <c r="P896" s="42" t="inlineStr">
        <is>
          <t/>
        </is>
      </c>
      <c r="Q896" s="43" t="n">
        <v>2011.0</v>
      </c>
      <c r="R896" s="114">
        <f>HYPERLINK("https://my.pitchbook.com?c=94186-36", "View company online")</f>
      </c>
    </row>
    <row r="897">
      <c r="A897" s="9" t="inlineStr">
        <is>
          <t>96797-89</t>
        </is>
      </c>
      <c r="B897" s="10" t="inlineStr">
        <is>
          <t>Tangelo</t>
        </is>
      </c>
      <c r="C897" s="11" t="inlineStr">
        <is>
          <t>94025</t>
        </is>
      </c>
      <c r="D897" s="12" t="inlineStr">
        <is>
          <t>Developer of custom software. The company is a hybrid strategy and technology services firm that helps to design, develop and launch new products by incubating several startups.</t>
        </is>
      </c>
      <c r="E897" s="13" t="inlineStr">
        <is>
          <t>Other IT Services</t>
        </is>
      </c>
      <c r="F897" s="14" t="inlineStr">
        <is>
          <t>Menlo Park, CA</t>
        </is>
      </c>
      <c r="G897" s="15" t="inlineStr">
        <is>
          <t>Privately Held (backing)</t>
        </is>
      </c>
      <c r="H897" s="16" t="inlineStr">
        <is>
          <t>Accelerator/Incubator Backed</t>
        </is>
      </c>
      <c r="I897" s="17" t="inlineStr">
        <is>
          <t>Manos Accelerator</t>
        </is>
      </c>
      <c r="J897" s="18" t="inlineStr">
        <is>
          <t>www.tangelo.co</t>
        </is>
      </c>
      <c r="K897" s="19" t="inlineStr">
        <is>
          <t>hello@tangelo.co</t>
        </is>
      </c>
      <c r="L897" s="20" t="inlineStr">
        <is>
          <t>+1 (916) 375-2525</t>
        </is>
      </c>
      <c r="M897" s="21" t="inlineStr">
        <is>
          <t>Antonio Altamirano</t>
        </is>
      </c>
      <c r="N897" s="22" t="inlineStr">
        <is>
          <t>Co-Founder &amp; Chief Executive Officer</t>
        </is>
      </c>
      <c r="O897" s="23" t="inlineStr">
        <is>
          <t>antonio.altamirano@tangelo.com</t>
        </is>
      </c>
      <c r="P897" s="24" t="inlineStr">
        <is>
          <t>+1 (916) 375-2525</t>
        </is>
      </c>
      <c r="Q897" s="25" t="n">
        <v>2008.0</v>
      </c>
      <c r="R897" s="113">
        <f>HYPERLINK("https://my.pitchbook.com?c=96797-89", "View company online")</f>
      </c>
    </row>
    <row r="898">
      <c r="A898" s="27" t="inlineStr">
        <is>
          <t>88740-10</t>
        </is>
      </c>
      <c r="B898" s="28" t="inlineStr">
        <is>
          <t>Tame</t>
        </is>
      </c>
      <c r="C898" s="29" t="inlineStr">
        <is>
          <t>10117</t>
        </is>
      </c>
      <c r="D898" s="30" t="inlineStr">
        <is>
          <t>Developer of a SaaS based context search engine platform designed to provide information in social networks. The company's context search engine platform provides key information such as tweet count, helps to discover short and long term trends and patterns, user profile preview, a tweet wizard that automatically suggests relevant hashtags and short-cut lyrics enabling users to manage multiple Twitter accounts and analyze the tweets that have entered the timeline in the last 24 hours.</t>
        </is>
      </c>
      <c r="E898" s="31" t="inlineStr">
        <is>
          <t>Social/Platform Software</t>
        </is>
      </c>
      <c r="F898" s="32" t="inlineStr">
        <is>
          <t>Berlin, Germany</t>
        </is>
      </c>
      <c r="G898" s="33" t="inlineStr">
        <is>
          <t>Privately Held (backing)</t>
        </is>
      </c>
      <c r="H898" s="34" t="inlineStr">
        <is>
          <t>Accelerator/Incubator Backed</t>
        </is>
      </c>
      <c r="I898" s="35" t="inlineStr">
        <is>
          <t>German Accelerator, Germany's Federal Ministry of Economics and Technology</t>
        </is>
      </c>
      <c r="J898" s="36" t="inlineStr">
        <is>
          <t>www.tame.it</t>
        </is>
      </c>
      <c r="K898" s="37" t="inlineStr">
        <is>
          <t>info@tame.it</t>
        </is>
      </c>
      <c r="L898" s="38" t="inlineStr">
        <is>
          <t/>
        </is>
      </c>
      <c r="M898" s="39" t="inlineStr">
        <is>
          <t>Marco Buhlmann</t>
        </is>
      </c>
      <c r="N898" s="40" t="inlineStr">
        <is>
          <t>Chief Executive Officer</t>
        </is>
      </c>
      <c r="O898" s="41" t="inlineStr">
        <is>
          <t>marco.buhlmann@tame.it</t>
        </is>
      </c>
      <c r="P898" s="42" t="inlineStr">
        <is>
          <t/>
        </is>
      </c>
      <c r="Q898" s="43" t="n">
        <v>2012.0</v>
      </c>
      <c r="R898" s="114">
        <f>HYPERLINK("https://my.pitchbook.com?c=88740-10", "View company online")</f>
      </c>
    </row>
    <row r="899">
      <c r="A899" s="9" t="inlineStr">
        <is>
          <t>96797-35</t>
        </is>
      </c>
      <c r="B899" s="10" t="inlineStr">
        <is>
          <t>Taltopia</t>
        </is>
      </c>
      <c r="C899" s="11" t="inlineStr">
        <is>
          <t/>
        </is>
      </c>
      <c r="D899" s="12" t="inlineStr">
        <is>
          <t>Operator of an online artistic community. The company provides a web-based social networking platform for aspiring artists that enables them to share their talent, skills and abilities across the web.</t>
        </is>
      </c>
      <c r="E899" s="13" t="inlineStr">
        <is>
          <t>Social/Platform Software</t>
        </is>
      </c>
      <c r="F899" s="14" t="inlineStr">
        <is>
          <t>Los Angeles, CA</t>
        </is>
      </c>
      <c r="G899" s="15" t="inlineStr">
        <is>
          <t>Privately Held (backing)</t>
        </is>
      </c>
      <c r="H899" s="16" t="inlineStr">
        <is>
          <t>Angel-Backed</t>
        </is>
      </c>
      <c r="I899" s="17" t="inlineStr">
        <is>
          <t>Go4Funding</t>
        </is>
      </c>
      <c r="J899" s="18" t="inlineStr">
        <is>
          <t>www.taltopia.com</t>
        </is>
      </c>
      <c r="K899" s="19" t="inlineStr">
        <is>
          <t/>
        </is>
      </c>
      <c r="L899" s="20" t="inlineStr">
        <is>
          <t>+1 (818) 438-4656</t>
        </is>
      </c>
      <c r="M899" s="21" t="inlineStr">
        <is>
          <t/>
        </is>
      </c>
      <c r="N899" s="22" t="inlineStr">
        <is>
          <t/>
        </is>
      </c>
      <c r="O899" s="23" t="inlineStr">
        <is>
          <t/>
        </is>
      </c>
      <c r="P899" s="24" t="inlineStr">
        <is>
          <t/>
        </is>
      </c>
      <c r="Q899" s="25" t="n">
        <v>2007.0</v>
      </c>
      <c r="R899" s="113">
        <f>HYPERLINK("https://my.pitchbook.com?c=96797-35", "View company online")</f>
      </c>
    </row>
    <row r="900">
      <c r="A900" s="27" t="inlineStr">
        <is>
          <t>93958-21</t>
        </is>
      </c>
      <c r="B900" s="28" t="inlineStr">
        <is>
          <t>Talnts</t>
        </is>
      </c>
      <c r="C900" s="29" t="inlineStr">
        <is>
          <t>91364</t>
        </is>
      </c>
      <c r="D900" s="30" t="inlineStr">
        <is>
          <t>Provider of an online social networking platform. The company helps users, groups and brands to share their best content, gain awareness and make new connections.</t>
        </is>
      </c>
      <c r="E900" s="31" t="inlineStr">
        <is>
          <t>Social/Platform Software</t>
        </is>
      </c>
      <c r="F900" s="32" t="inlineStr">
        <is>
          <t>Los Angeles, CA</t>
        </is>
      </c>
      <c r="G900" s="33" t="inlineStr">
        <is>
          <t>Privately Held (backing)</t>
        </is>
      </c>
      <c r="H900" s="34" t="inlineStr">
        <is>
          <t>Angel-Backed</t>
        </is>
      </c>
      <c r="I900" s="35" t="inlineStr">
        <is>
          <t/>
        </is>
      </c>
      <c r="J900" s="36" t="inlineStr">
        <is>
          <t>www.talnts.com</t>
        </is>
      </c>
      <c r="K900" s="37" t="inlineStr">
        <is>
          <t>press@talnts.com</t>
        </is>
      </c>
      <c r="L900" s="38" t="inlineStr">
        <is>
          <t/>
        </is>
      </c>
      <c r="M900" s="39" t="inlineStr">
        <is>
          <t>John Goldbranson</t>
        </is>
      </c>
      <c r="N900" s="40" t="inlineStr">
        <is>
          <t>Co-Founder &amp; Chief Executive Officer</t>
        </is>
      </c>
      <c r="O900" s="41" t="inlineStr">
        <is>
          <t>john@talnts.com</t>
        </is>
      </c>
      <c r="P900" s="42" t="inlineStr">
        <is>
          <t/>
        </is>
      </c>
      <c r="Q900" s="43" t="n">
        <v>2013.0</v>
      </c>
      <c r="R900" s="114">
        <f>HYPERLINK("https://my.pitchbook.com?c=93958-21", "View company online")</f>
      </c>
    </row>
    <row r="901">
      <c r="A901" s="9" t="inlineStr">
        <is>
          <t>110516-95</t>
        </is>
      </c>
      <c r="B901" s="10" t="inlineStr">
        <is>
          <t>Tally Holdings</t>
        </is>
      </c>
      <c r="C901" s="11" t="inlineStr">
        <is>
          <t>94703</t>
        </is>
      </c>
      <c r="D901" s="12" t="inlineStr">
        <is>
          <t>Provider of an online booking software. The company develops a booking software that allows small businesses to accept online bookings, facilitate payments, and manage their customers.</t>
        </is>
      </c>
      <c r="E901" s="13" t="inlineStr">
        <is>
          <t>Other Commercial Services</t>
        </is>
      </c>
      <c r="F901" s="14" t="inlineStr">
        <is>
          <t>Berkeley, CA</t>
        </is>
      </c>
      <c r="G901" s="15" t="inlineStr">
        <is>
          <t>Privately Held (backing)</t>
        </is>
      </c>
      <c r="H901" s="16" t="inlineStr">
        <is>
          <t>Accelerator/Incubator Backed</t>
        </is>
      </c>
      <c r="I901" s="17" t="inlineStr">
        <is>
          <t>Skydeck | Berkeley</t>
        </is>
      </c>
      <c r="J901" s="18" t="inlineStr">
        <is>
          <t>www.tally24.com</t>
        </is>
      </c>
      <c r="K901" s="19" t="inlineStr">
        <is>
          <t>support@tally24.com</t>
        </is>
      </c>
      <c r="L901" s="20" t="inlineStr">
        <is>
          <t/>
        </is>
      </c>
      <c r="M901" s="21" t="inlineStr">
        <is>
          <t>Arup Banerjee</t>
        </is>
      </c>
      <c r="N901" s="22" t="inlineStr">
        <is>
          <t>Chief Executive Officer, Board Member and Co-Founder</t>
        </is>
      </c>
      <c r="O901" s="23" t="inlineStr">
        <is>
          <t>arup@tally24.com</t>
        </is>
      </c>
      <c r="P901" s="24" t="inlineStr">
        <is>
          <t/>
        </is>
      </c>
      <c r="Q901" s="25" t="n">
        <v>2013.0</v>
      </c>
      <c r="R901" s="113">
        <f>HYPERLINK("https://my.pitchbook.com?c=110516-95", "View company online")</f>
      </c>
    </row>
    <row r="902">
      <c r="A902" s="27" t="inlineStr">
        <is>
          <t>174420-82</t>
        </is>
      </c>
      <c r="B902" s="28" t="inlineStr">
        <is>
          <t>Tallscreen</t>
        </is>
      </c>
      <c r="C902" s="86">
        <f>HYPERLINK("https://my.pitchbook.com?rrp=174420-82&amp;type=c", "This Company's information is not available to download. Need this Company? Request availability")</f>
      </c>
      <c r="D902" s="30" t="inlineStr">
        <is>
          <t/>
        </is>
      </c>
      <c r="E902" s="31" t="inlineStr">
        <is>
          <t/>
        </is>
      </c>
      <c r="F902" s="32" t="inlineStr">
        <is>
          <t/>
        </is>
      </c>
      <c r="G902" s="33" t="inlineStr">
        <is>
          <t/>
        </is>
      </c>
      <c r="H902" s="34" t="inlineStr">
        <is>
          <t/>
        </is>
      </c>
      <c r="I902" s="35" t="inlineStr">
        <is>
          <t/>
        </is>
      </c>
      <c r="J902" s="36" t="inlineStr">
        <is>
          <t/>
        </is>
      </c>
      <c r="K902" s="37" t="inlineStr">
        <is>
          <t/>
        </is>
      </c>
      <c r="L902" s="38" t="inlineStr">
        <is>
          <t/>
        </is>
      </c>
      <c r="M902" s="39" t="inlineStr">
        <is>
          <t/>
        </is>
      </c>
      <c r="N902" s="40" t="inlineStr">
        <is>
          <t/>
        </is>
      </c>
      <c r="O902" s="41" t="inlineStr">
        <is>
          <t/>
        </is>
      </c>
      <c r="P902" s="42" t="inlineStr">
        <is>
          <t/>
        </is>
      </c>
      <c r="Q902" s="43" t="inlineStr">
        <is>
          <t/>
        </is>
      </c>
      <c r="R902" s="44" t="inlineStr">
        <is>
          <t/>
        </is>
      </c>
    </row>
    <row r="903">
      <c r="A903" s="9" t="inlineStr">
        <is>
          <t>124852-42</t>
        </is>
      </c>
      <c r="B903" s="10" t="inlineStr">
        <is>
          <t>Tallac Networks</t>
        </is>
      </c>
      <c r="C903" s="11" t="inlineStr">
        <is>
          <t>95765</t>
        </is>
      </c>
      <c r="D903" s="12" t="inlineStr">
        <is>
          <t>Provider of a cloud managed wireless networking services. The company offers a cloud based software defined network that allows wireless service providers to customize vertical applications for their customers.</t>
        </is>
      </c>
      <c r="E903" s="13" t="inlineStr">
        <is>
          <t>Wireless Service Providers</t>
        </is>
      </c>
      <c r="F903" s="14" t="inlineStr">
        <is>
          <t>Rocklin, CA</t>
        </is>
      </c>
      <c r="G903" s="15" t="inlineStr">
        <is>
          <t>Privately Held (backing)</t>
        </is>
      </c>
      <c r="H903" s="16" t="inlineStr">
        <is>
          <t>Accelerator/Incubator Backed</t>
        </is>
      </c>
      <c r="I903" s="17" t="inlineStr">
        <is>
          <t>Velocity Venture Capital</t>
        </is>
      </c>
      <c r="J903" s="18" t="inlineStr">
        <is>
          <t>www.tallac.com</t>
        </is>
      </c>
      <c r="K903" s="19" t="inlineStr">
        <is>
          <t>info@tallac.com</t>
        </is>
      </c>
      <c r="L903" s="20" t="inlineStr">
        <is>
          <t>+1 (844) 943-4736</t>
        </is>
      </c>
      <c r="M903" s="21" t="inlineStr">
        <is>
          <t>William Johnson</t>
        </is>
      </c>
      <c r="N903" s="22" t="inlineStr">
        <is>
          <t>Co-Founder &amp; President</t>
        </is>
      </c>
      <c r="O903" s="23" t="inlineStr">
        <is>
          <t>bill.johnson@tallac.com</t>
        </is>
      </c>
      <c r="P903" s="24" t="inlineStr">
        <is>
          <t>+1 (844) 943-4736</t>
        </is>
      </c>
      <c r="Q903" s="25" t="n">
        <v>2012.0</v>
      </c>
      <c r="R903" s="113">
        <f>HYPERLINK("https://my.pitchbook.com?c=124852-42", "View company online")</f>
      </c>
    </row>
    <row r="904">
      <c r="A904" s="27" t="inlineStr">
        <is>
          <t>103099-78</t>
        </is>
      </c>
      <c r="B904" s="28" t="inlineStr">
        <is>
          <t>TalkToChef</t>
        </is>
      </c>
      <c r="C904" s="86">
        <f>HYPERLINK("https://my.pitchbook.com?rrp=103099-78&amp;type=c", "This Company's information is not available to download. Need this Company? Request availability")</f>
      </c>
      <c r="D904" s="30" t="inlineStr">
        <is>
          <t/>
        </is>
      </c>
      <c r="E904" s="31" t="inlineStr">
        <is>
          <t/>
        </is>
      </c>
      <c r="F904" s="32" t="inlineStr">
        <is>
          <t/>
        </is>
      </c>
      <c r="G904" s="33" t="inlineStr">
        <is>
          <t/>
        </is>
      </c>
      <c r="H904" s="34" t="inlineStr">
        <is>
          <t/>
        </is>
      </c>
      <c r="I904" s="35" t="inlineStr">
        <is>
          <t/>
        </is>
      </c>
      <c r="J904" s="36" t="inlineStr">
        <is>
          <t/>
        </is>
      </c>
      <c r="K904" s="37" t="inlineStr">
        <is>
          <t/>
        </is>
      </c>
      <c r="L904" s="38" t="inlineStr">
        <is>
          <t/>
        </is>
      </c>
      <c r="M904" s="39" t="inlineStr">
        <is>
          <t/>
        </is>
      </c>
      <c r="N904" s="40" t="inlineStr">
        <is>
          <t/>
        </is>
      </c>
      <c r="O904" s="41" t="inlineStr">
        <is>
          <t/>
        </is>
      </c>
      <c r="P904" s="42" t="inlineStr">
        <is>
          <t/>
        </is>
      </c>
      <c r="Q904" s="43" t="inlineStr">
        <is>
          <t/>
        </is>
      </c>
      <c r="R904" s="44" t="inlineStr">
        <is>
          <t/>
        </is>
      </c>
    </row>
    <row r="905">
      <c r="A905" s="9" t="inlineStr">
        <is>
          <t>121183-57</t>
        </is>
      </c>
      <c r="B905" s="10" t="inlineStr">
        <is>
          <t>Talksho</t>
        </is>
      </c>
      <c r="C905" s="11" t="inlineStr">
        <is>
          <t>93003</t>
        </is>
      </c>
      <c r="D905" s="12" t="inlineStr">
        <is>
          <t>Developer of a conversation platform. The company's software is based on the television talk show models.</t>
        </is>
      </c>
      <c r="E905" s="13" t="inlineStr">
        <is>
          <t>Information Services (B2C)</t>
        </is>
      </c>
      <c r="F905" s="14" t="inlineStr">
        <is>
          <t>Ventura, CA</t>
        </is>
      </c>
      <c r="G905" s="15" t="inlineStr">
        <is>
          <t>Privately Held (backing)</t>
        </is>
      </c>
      <c r="H905" s="16" t="inlineStr">
        <is>
          <t>Angel-Backed</t>
        </is>
      </c>
      <c r="I905" s="17" t="inlineStr">
        <is>
          <t/>
        </is>
      </c>
      <c r="J905" s="18" t="inlineStr">
        <is>
          <t>www.talksho.com</t>
        </is>
      </c>
      <c r="K905" s="19" t="inlineStr">
        <is>
          <t/>
        </is>
      </c>
      <c r="L905" s="20" t="inlineStr">
        <is>
          <t>+1 (805) 259-3705</t>
        </is>
      </c>
      <c r="M905" s="21" t="inlineStr">
        <is>
          <t>Dennis Aspell</t>
        </is>
      </c>
      <c r="N905" s="22" t="inlineStr">
        <is>
          <t>Chief Financial Officer</t>
        </is>
      </c>
      <c r="O905" s="23" t="inlineStr">
        <is>
          <t>daspell@talksho.com</t>
        </is>
      </c>
      <c r="P905" s="24" t="inlineStr">
        <is>
          <t>+1 (805) 259-3705</t>
        </is>
      </c>
      <c r="Q905" s="25" t="n">
        <v>2011.0</v>
      </c>
      <c r="R905" s="113">
        <f>HYPERLINK("https://my.pitchbook.com?c=121183-57", "View company online")</f>
      </c>
    </row>
    <row r="906">
      <c r="A906" s="27" t="inlineStr">
        <is>
          <t>162198-28</t>
        </is>
      </c>
      <c r="B906" s="28" t="inlineStr">
        <is>
          <t>Talk Therapy Psychology Center</t>
        </is>
      </c>
      <c r="C906" s="29" t="inlineStr">
        <is>
          <t>92121</t>
        </is>
      </c>
      <c r="D906" s="30" t="inlineStr">
        <is>
          <t>Operator of an addiction treatment clinic. The company operates a clinic for offering individual, couple and family therapies to treat addiction and mental illness of people.</t>
        </is>
      </c>
      <c r="E906" s="31" t="inlineStr">
        <is>
          <t>Clinics/Outpatient Services</t>
        </is>
      </c>
      <c r="F906" s="32" t="inlineStr">
        <is>
          <t>San Diego, CA</t>
        </is>
      </c>
      <c r="G906" s="33" t="inlineStr">
        <is>
          <t>Privately Held (backing)</t>
        </is>
      </c>
      <c r="H906" s="34" t="inlineStr">
        <is>
          <t>Angel-Backed</t>
        </is>
      </c>
      <c r="I906" s="35" t="inlineStr">
        <is>
          <t/>
        </is>
      </c>
      <c r="J906" s="36" t="inlineStr">
        <is>
          <t>www.talktherapycenter.com</t>
        </is>
      </c>
      <c r="K906" s="37" t="inlineStr">
        <is>
          <t/>
        </is>
      </c>
      <c r="L906" s="38" t="inlineStr">
        <is>
          <t/>
        </is>
      </c>
      <c r="M906" s="39" t="inlineStr">
        <is>
          <t>Seda Gragossian</t>
        </is>
      </c>
      <c r="N906" s="40" t="inlineStr">
        <is>
          <t>Founder, President, Board Member &amp; Clinical Psychologist</t>
        </is>
      </c>
      <c r="O906" s="41" t="inlineStr">
        <is>
          <t>seda.gragossian@talktherapycenter.com</t>
        </is>
      </c>
      <c r="P906" s="42" t="inlineStr">
        <is>
          <t/>
        </is>
      </c>
      <c r="Q906" s="43" t="n">
        <v>2016.0</v>
      </c>
      <c r="R906" s="114">
        <f>HYPERLINK("https://my.pitchbook.com?c=162198-28", "View company online")</f>
      </c>
    </row>
    <row r="907">
      <c r="A907" s="9" t="inlineStr">
        <is>
          <t>171690-22</t>
        </is>
      </c>
      <c r="B907" s="10" t="inlineStr">
        <is>
          <t>Talespin</t>
        </is>
      </c>
      <c r="C907" s="85">
        <f>HYPERLINK("https://my.pitchbook.com?rrp=171690-22&amp;type=c", "This Company's information is not available to download. Need this Company? Request availability")</f>
      </c>
      <c r="D907" s="12" t="inlineStr">
        <is>
          <t/>
        </is>
      </c>
      <c r="E907" s="13" t="inlineStr">
        <is>
          <t/>
        </is>
      </c>
      <c r="F907" s="14" t="inlineStr">
        <is>
          <t/>
        </is>
      </c>
      <c r="G907" s="15" t="inlineStr">
        <is>
          <t/>
        </is>
      </c>
      <c r="H907" s="16" t="inlineStr">
        <is>
          <t/>
        </is>
      </c>
      <c r="I907" s="17" t="inlineStr">
        <is>
          <t/>
        </is>
      </c>
      <c r="J907" s="18" t="inlineStr">
        <is>
          <t/>
        </is>
      </c>
      <c r="K907" s="19" t="inlineStr">
        <is>
          <t/>
        </is>
      </c>
      <c r="L907" s="20" t="inlineStr">
        <is>
          <t/>
        </is>
      </c>
      <c r="M907" s="21" t="inlineStr">
        <is>
          <t/>
        </is>
      </c>
      <c r="N907" s="22" t="inlineStr">
        <is>
          <t/>
        </is>
      </c>
      <c r="O907" s="23" t="inlineStr">
        <is>
          <t/>
        </is>
      </c>
      <c r="P907" s="24" t="inlineStr">
        <is>
          <t/>
        </is>
      </c>
      <c r="Q907" s="25" t="inlineStr">
        <is>
          <t/>
        </is>
      </c>
      <c r="R907" s="26" t="inlineStr">
        <is>
          <t/>
        </is>
      </c>
    </row>
    <row r="908">
      <c r="A908" s="27" t="inlineStr">
        <is>
          <t>62589-16</t>
        </is>
      </c>
      <c r="B908" s="28" t="inlineStr">
        <is>
          <t>TalentSky</t>
        </is>
      </c>
      <c r="C908" s="29" t="inlineStr">
        <is>
          <t>94065</t>
        </is>
      </c>
      <c r="D908" s="30" t="inlineStr">
        <is>
          <t>Developer of an application that helps enterprises to acquire talents. The company develops a talent acquisition system which offers recruitment services, user training, rotation programs, talent watch services, and competitor build services.</t>
        </is>
      </c>
      <c r="E908" s="31" t="inlineStr">
        <is>
          <t>Education and Training Services (B2B)</t>
        </is>
      </c>
      <c r="F908" s="32" t="inlineStr">
        <is>
          <t>Redwood City, CA</t>
        </is>
      </c>
      <c r="G908" s="33" t="inlineStr">
        <is>
          <t>Privately Held (backing)</t>
        </is>
      </c>
      <c r="H908" s="34" t="inlineStr">
        <is>
          <t>Angel-Backed</t>
        </is>
      </c>
      <c r="I908" s="35" t="inlineStr">
        <is>
          <t>The Angels' Forum</t>
        </is>
      </c>
      <c r="J908" s="36" t="inlineStr">
        <is>
          <t>www.talentsky.com</t>
        </is>
      </c>
      <c r="K908" s="37" t="inlineStr">
        <is>
          <t>info@talentsky.com</t>
        </is>
      </c>
      <c r="L908" s="38" t="inlineStr">
        <is>
          <t>+1 (650) 257-6020</t>
        </is>
      </c>
      <c r="M908" s="39" t="inlineStr">
        <is>
          <t>Lucia Steinhilber</t>
        </is>
      </c>
      <c r="N908" s="40" t="inlineStr">
        <is>
          <t>Chief Financial Officer, Co-Founder &amp; Senior Vice President, Operations</t>
        </is>
      </c>
      <c r="O908" s="41" t="inlineStr">
        <is>
          <t>lucia@talentsky.com</t>
        </is>
      </c>
      <c r="P908" s="42" t="inlineStr">
        <is>
          <t>+1 (650) 257-6020</t>
        </is>
      </c>
      <c r="Q908" s="43" t="n">
        <v>2000.0</v>
      </c>
      <c r="R908" s="114">
        <f>HYPERLINK("https://my.pitchbook.com?c=62589-16", "View company online")</f>
      </c>
    </row>
    <row r="909">
      <c r="A909" s="9" t="inlineStr">
        <is>
          <t>121654-90</t>
        </is>
      </c>
      <c r="B909" s="10" t="inlineStr">
        <is>
          <t>TalentSity</t>
        </is>
      </c>
      <c r="C909" s="85">
        <f>HYPERLINK("https://my.pitchbook.com?rrp=121654-90&amp;type=c", "This Company's information is not available to download. Need this Company? Request availability")</f>
      </c>
      <c r="D909" s="12" t="inlineStr">
        <is>
          <t/>
        </is>
      </c>
      <c r="E909" s="13" t="inlineStr">
        <is>
          <t/>
        </is>
      </c>
      <c r="F909" s="14" t="inlineStr">
        <is>
          <t/>
        </is>
      </c>
      <c r="G909" s="15" t="inlineStr">
        <is>
          <t/>
        </is>
      </c>
      <c r="H909" s="16" t="inlineStr">
        <is>
          <t/>
        </is>
      </c>
      <c r="I909" s="17" t="inlineStr">
        <is>
          <t/>
        </is>
      </c>
      <c r="J909" s="18" t="inlineStr">
        <is>
          <t/>
        </is>
      </c>
      <c r="K909" s="19" t="inlineStr">
        <is>
          <t/>
        </is>
      </c>
      <c r="L909" s="20" t="inlineStr">
        <is>
          <t/>
        </is>
      </c>
      <c r="M909" s="21" t="inlineStr">
        <is>
          <t/>
        </is>
      </c>
      <c r="N909" s="22" t="inlineStr">
        <is>
          <t/>
        </is>
      </c>
      <c r="O909" s="23" t="inlineStr">
        <is>
          <t/>
        </is>
      </c>
      <c r="P909" s="24" t="inlineStr">
        <is>
          <t/>
        </is>
      </c>
      <c r="Q909" s="25" t="inlineStr">
        <is>
          <t/>
        </is>
      </c>
      <c r="R909" s="26" t="inlineStr">
        <is>
          <t/>
        </is>
      </c>
    </row>
    <row r="910">
      <c r="A910" s="27" t="inlineStr">
        <is>
          <t>177276-70</t>
        </is>
      </c>
      <c r="B910" s="28" t="inlineStr">
        <is>
          <t>TalentSeer</t>
        </is>
      </c>
      <c r="C910" s="86">
        <f>HYPERLINK("https://my.pitchbook.com?rrp=177276-70&amp;type=c", "This Company's information is not available to download. Need this Company? Request availability")</f>
      </c>
      <c r="D910" s="30" t="inlineStr">
        <is>
          <t/>
        </is>
      </c>
      <c r="E910" s="31" t="inlineStr">
        <is>
          <t/>
        </is>
      </c>
      <c r="F910" s="32" t="inlineStr">
        <is>
          <t/>
        </is>
      </c>
      <c r="G910" s="33" t="inlineStr">
        <is>
          <t/>
        </is>
      </c>
      <c r="H910" s="34" t="inlineStr">
        <is>
          <t/>
        </is>
      </c>
      <c r="I910" s="35" t="inlineStr">
        <is>
          <t/>
        </is>
      </c>
      <c r="J910" s="36" t="inlineStr">
        <is>
          <t/>
        </is>
      </c>
      <c r="K910" s="37" t="inlineStr">
        <is>
          <t/>
        </is>
      </c>
      <c r="L910" s="38" t="inlineStr">
        <is>
          <t/>
        </is>
      </c>
      <c r="M910" s="39" t="inlineStr">
        <is>
          <t/>
        </is>
      </c>
      <c r="N910" s="40" t="inlineStr">
        <is>
          <t/>
        </is>
      </c>
      <c r="O910" s="41" t="inlineStr">
        <is>
          <t/>
        </is>
      </c>
      <c r="P910" s="42" t="inlineStr">
        <is>
          <t/>
        </is>
      </c>
      <c r="Q910" s="43" t="inlineStr">
        <is>
          <t/>
        </is>
      </c>
      <c r="R910" s="44" t="inlineStr">
        <is>
          <t/>
        </is>
      </c>
    </row>
    <row r="911">
      <c r="A911" s="9" t="inlineStr">
        <is>
          <t>66031-30</t>
        </is>
      </c>
      <c r="B911" s="10" t="inlineStr">
        <is>
          <t>Talentoday</t>
        </is>
      </c>
      <c r="C911" s="11" t="inlineStr">
        <is>
          <t>94107</t>
        </is>
      </c>
      <c r="D911" s="12" t="inlineStr">
        <is>
          <t>Developer of a social and data-driven career guidance application. The company provides a free assessment for individuals and a cloud-based framework for career and human resource experts optimize job placement.</t>
        </is>
      </c>
      <c r="E911" s="13" t="inlineStr">
        <is>
          <t>Application Software</t>
        </is>
      </c>
      <c r="F911" s="14" t="inlineStr">
        <is>
          <t>San Francisco, CA</t>
        </is>
      </c>
      <c r="G911" s="15" t="inlineStr">
        <is>
          <t>Privately Held (backing)</t>
        </is>
      </c>
      <c r="H911" s="16" t="inlineStr">
        <is>
          <t>Angel-Backed</t>
        </is>
      </c>
      <c r="I911" s="17" t="inlineStr">
        <is>
          <t>Adecco Group, Gerard Brossard, Herve Goguely, Nicolas Draca, Paris Incubateurs</t>
        </is>
      </c>
      <c r="J911" s="18" t="inlineStr">
        <is>
          <t>www.talentoday.com</t>
        </is>
      </c>
      <c r="K911" s="19" t="inlineStr">
        <is>
          <t/>
        </is>
      </c>
      <c r="L911" s="20" t="inlineStr">
        <is>
          <t>+1 (415) 655-1040</t>
        </is>
      </c>
      <c r="M911" s="21" t="inlineStr">
        <is>
          <t>Daniel Podaru</t>
        </is>
      </c>
      <c r="N911" s="22" t="inlineStr">
        <is>
          <t>Director, Mobile Engineering</t>
        </is>
      </c>
      <c r="O911" s="23" t="inlineStr">
        <is>
          <t/>
        </is>
      </c>
      <c r="P911" s="24" t="inlineStr">
        <is>
          <t>+1 (415) 655-1040</t>
        </is>
      </c>
      <c r="Q911" s="25" t="n">
        <v>2012.0</v>
      </c>
      <c r="R911" s="113">
        <f>HYPERLINK("https://my.pitchbook.com?c=66031-30", "View company online")</f>
      </c>
    </row>
    <row r="912">
      <c r="A912" s="27" t="inlineStr">
        <is>
          <t>94184-56</t>
        </is>
      </c>
      <c r="B912" s="28" t="inlineStr">
        <is>
          <t>TalentEarth</t>
        </is>
      </c>
      <c r="C912" s="29" t="inlineStr">
        <is>
          <t>95630</t>
        </is>
      </c>
      <c r="D912" s="30" t="inlineStr">
        <is>
          <t>Provider and developer of an online employment networking platform. The comapny provides a platform to create resume and helps individuals to connect with businesses thus providing individuals to get connected with work opportunities in their communities.</t>
        </is>
      </c>
      <c r="E912" s="31" t="inlineStr">
        <is>
          <t>Human Capital Services</t>
        </is>
      </c>
      <c r="F912" s="32" t="inlineStr">
        <is>
          <t>Folsom, CA</t>
        </is>
      </c>
      <c r="G912" s="33" t="inlineStr">
        <is>
          <t>Privately Held (backing)</t>
        </is>
      </c>
      <c r="H912" s="34" t="inlineStr">
        <is>
          <t>Angel-Backed</t>
        </is>
      </c>
      <c r="I912" s="35" t="inlineStr">
        <is>
          <t/>
        </is>
      </c>
      <c r="J912" s="36" t="inlineStr">
        <is>
          <t>www.talentearth.com</t>
        </is>
      </c>
      <c r="K912" s="37" t="inlineStr">
        <is>
          <t>info@talentearth.com</t>
        </is>
      </c>
      <c r="L912" s="38" t="inlineStr">
        <is>
          <t/>
        </is>
      </c>
      <c r="M912" s="39" t="inlineStr">
        <is>
          <t>Robert Stock</t>
        </is>
      </c>
      <c r="N912" s="40" t="inlineStr">
        <is>
          <t>Chief Executive Officer</t>
        </is>
      </c>
      <c r="O912" s="41" t="inlineStr">
        <is>
          <t>robert@talentearth.com</t>
        </is>
      </c>
      <c r="P912" s="42" t="inlineStr">
        <is>
          <t/>
        </is>
      </c>
      <c r="Q912" s="43" t="n">
        <v>2011.0</v>
      </c>
      <c r="R912" s="114">
        <f>HYPERLINK("https://my.pitchbook.com?c=94184-56", "View company online")</f>
      </c>
    </row>
    <row r="913">
      <c r="A913" s="9" t="inlineStr">
        <is>
          <t>176416-57</t>
        </is>
      </c>
      <c r="B913" s="10" t="inlineStr">
        <is>
          <t>Talent Writers</t>
        </is>
      </c>
      <c r="C913" s="85">
        <f>HYPERLINK("https://my.pitchbook.com?rrp=176416-57&amp;type=c", "This Company's information is not available to download. Need this Company? Request availability")</f>
      </c>
      <c r="D913" s="12" t="inlineStr">
        <is>
          <t/>
        </is>
      </c>
      <c r="E913" s="13" t="inlineStr">
        <is>
          <t/>
        </is>
      </c>
      <c r="F913" s="14" t="inlineStr">
        <is>
          <t/>
        </is>
      </c>
      <c r="G913" s="15" t="inlineStr">
        <is>
          <t/>
        </is>
      </c>
      <c r="H913" s="16" t="inlineStr">
        <is>
          <t/>
        </is>
      </c>
      <c r="I913" s="17" t="inlineStr">
        <is>
          <t/>
        </is>
      </c>
      <c r="J913" s="18" t="inlineStr">
        <is>
          <t/>
        </is>
      </c>
      <c r="K913" s="19" t="inlineStr">
        <is>
          <t/>
        </is>
      </c>
      <c r="L913" s="20" t="inlineStr">
        <is>
          <t/>
        </is>
      </c>
      <c r="M913" s="21" t="inlineStr">
        <is>
          <t/>
        </is>
      </c>
      <c r="N913" s="22" t="inlineStr">
        <is>
          <t/>
        </is>
      </c>
      <c r="O913" s="23" t="inlineStr">
        <is>
          <t/>
        </is>
      </c>
      <c r="P913" s="24" t="inlineStr">
        <is>
          <t/>
        </is>
      </c>
      <c r="Q913" s="25" t="inlineStr">
        <is>
          <t/>
        </is>
      </c>
      <c r="R913" s="26" t="inlineStr">
        <is>
          <t/>
        </is>
      </c>
    </row>
    <row r="914">
      <c r="A914" s="27" t="inlineStr">
        <is>
          <t>151281-01</t>
        </is>
      </c>
      <c r="B914" s="28" t="inlineStr">
        <is>
          <t>Talent Rover</t>
        </is>
      </c>
      <c r="C914" s="29" t="inlineStr">
        <is>
          <t>94111</t>
        </is>
      </c>
      <c r="D914" s="30" t="inlineStr">
        <is>
          <t>Provider of a platform for staffing and recruitment industry. The company's platform offers a mobile, cloud-based software that integrates social media and combines a robust applicant tracking system, human resource &amp; benefits administration and online time sheets.</t>
        </is>
      </c>
      <c r="E914" s="31" t="inlineStr">
        <is>
          <t>Social/Platform Software</t>
        </is>
      </c>
      <c r="F914" s="32" t="inlineStr">
        <is>
          <t>San Francisco, CA</t>
        </is>
      </c>
      <c r="G914" s="33" t="inlineStr">
        <is>
          <t>Privately Held (backing)</t>
        </is>
      </c>
      <c r="H914" s="34" t="inlineStr">
        <is>
          <t>Angel-Backed</t>
        </is>
      </c>
      <c r="I914" s="35" t="inlineStr">
        <is>
          <t/>
        </is>
      </c>
      <c r="J914" s="36" t="inlineStr">
        <is>
          <t>www.talentrover.com</t>
        </is>
      </c>
      <c r="K914" s="37" t="inlineStr">
        <is>
          <t>info@talentrover.com</t>
        </is>
      </c>
      <c r="L914" s="38" t="inlineStr">
        <is>
          <t>+1 (415) 692-3759</t>
        </is>
      </c>
      <c r="M914" s="39" t="inlineStr">
        <is>
          <t>Brandon Metcalf</t>
        </is>
      </c>
      <c r="N914" s="40" t="inlineStr">
        <is>
          <t>Co-Founder, Creator and Chief Operating Officer</t>
        </is>
      </c>
      <c r="O914" s="41" t="inlineStr">
        <is>
          <t>bmetcalf@talentrover.com</t>
        </is>
      </c>
      <c r="P914" s="42" t="inlineStr">
        <is>
          <t>+1 (415) 692-3759</t>
        </is>
      </c>
      <c r="Q914" s="43" t="n">
        <v>2011.0</v>
      </c>
      <c r="R914" s="114">
        <f>HYPERLINK("https://my.pitchbook.com?c=151281-01", "View company online")</f>
      </c>
    </row>
    <row r="915">
      <c r="A915" s="9" t="inlineStr">
        <is>
          <t>56341-54</t>
        </is>
      </c>
      <c r="B915" s="10" t="inlineStr">
        <is>
          <t>Talei</t>
        </is>
      </c>
      <c r="C915" s="11" t="inlineStr">
        <is>
          <t>90048</t>
        </is>
      </c>
      <c r="D915" s="12" t="inlineStr">
        <is>
          <t>Provider of online job portal for school &amp; college students. The company allows individuals and businesses to hire high school and college students for freelance work.</t>
        </is>
      </c>
      <c r="E915" s="13" t="inlineStr">
        <is>
          <t>Other Services (B2C Non-Financial)</t>
        </is>
      </c>
      <c r="F915" s="14" t="inlineStr">
        <is>
          <t>Los Angeles, CA</t>
        </is>
      </c>
      <c r="G915" s="15" t="inlineStr">
        <is>
          <t>Privately Held (backing)</t>
        </is>
      </c>
      <c r="H915" s="16" t="inlineStr">
        <is>
          <t>Angel-Backed</t>
        </is>
      </c>
      <c r="I915" s="17" t="inlineStr">
        <is>
          <t>Individual Investor</t>
        </is>
      </c>
      <c r="J915" s="18" t="inlineStr">
        <is>
          <t>www.studentfreelance.com</t>
        </is>
      </c>
      <c r="K915" s="19" t="inlineStr">
        <is>
          <t>info@studentfreelance.com</t>
        </is>
      </c>
      <c r="L915" s="20" t="inlineStr">
        <is>
          <t/>
        </is>
      </c>
      <c r="M915" s="21" t="inlineStr">
        <is>
          <t>Michael Talei</t>
        </is>
      </c>
      <c r="N915" s="22" t="inlineStr">
        <is>
          <t>Founder</t>
        </is>
      </c>
      <c r="O915" s="23" t="inlineStr">
        <is>
          <t>michael@studentfreelance.com</t>
        </is>
      </c>
      <c r="P915" s="24" t="inlineStr">
        <is>
          <t/>
        </is>
      </c>
      <c r="Q915" s="25" t="n">
        <v>2013.0</v>
      </c>
      <c r="R915" s="113">
        <f>HYPERLINK("https://my.pitchbook.com?c=56341-54", "View company online")</f>
      </c>
    </row>
    <row r="916">
      <c r="A916" s="27" t="inlineStr">
        <is>
          <t>166933-09</t>
        </is>
      </c>
      <c r="B916" s="28" t="inlineStr">
        <is>
          <t>Tala Security</t>
        </is>
      </c>
      <c r="C916" s="29" t="inlineStr">
        <is>
          <t>94536</t>
        </is>
      </c>
      <c r="D916" s="30" t="inlineStr">
        <is>
          <t>The company is currently operating in Stealth mode.</t>
        </is>
      </c>
      <c r="E916" s="31" t="inlineStr">
        <is>
          <t>Other Business Products and Services</t>
        </is>
      </c>
      <c r="F916" s="32" t="inlineStr">
        <is>
          <t>Fremont, CA</t>
        </is>
      </c>
      <c r="G916" s="33" t="inlineStr">
        <is>
          <t>Privately Held (backing)</t>
        </is>
      </c>
      <c r="H916" s="34" t="inlineStr">
        <is>
          <t>Angel-Backed</t>
        </is>
      </c>
      <c r="I916" s="35" t="inlineStr">
        <is>
          <t/>
        </is>
      </c>
      <c r="J916" s="36" t="inlineStr">
        <is>
          <t>www.talasecurity.com</t>
        </is>
      </c>
      <c r="K916" s="37" t="inlineStr">
        <is>
          <t/>
        </is>
      </c>
      <c r="L916" s="38" t="inlineStr">
        <is>
          <t>+1 (408) 655-8382</t>
        </is>
      </c>
      <c r="M916" s="39" t="inlineStr">
        <is>
          <t>Aanand Krishnan</t>
        </is>
      </c>
      <c r="N916" s="40" t="inlineStr">
        <is>
          <t>Chief Executive Officer &amp; Board Member</t>
        </is>
      </c>
      <c r="O916" s="41" t="inlineStr">
        <is>
          <t/>
        </is>
      </c>
      <c r="P916" s="42" t="inlineStr">
        <is>
          <t>+1 (408) 655-8382</t>
        </is>
      </c>
      <c r="Q916" s="43" t="n">
        <v>2016.0</v>
      </c>
      <c r="R916" s="114">
        <f>HYPERLINK("https://my.pitchbook.com?c=166933-09", "View company online")</f>
      </c>
    </row>
    <row r="917">
      <c r="A917" s="9" t="inlineStr">
        <is>
          <t>88737-85</t>
        </is>
      </c>
      <c r="B917" s="10" t="inlineStr">
        <is>
          <t>Tailored Games</t>
        </is>
      </c>
      <c r="C917" s="11" t="inlineStr">
        <is>
          <t>90295</t>
        </is>
      </c>
      <c r="D917" s="12" t="inlineStr">
        <is>
          <t>Provider of products and services for developing games. The company's website helps in creating sports games for its users.</t>
        </is>
      </c>
      <c r="E917" s="13" t="inlineStr">
        <is>
          <t>Entertainment Software</t>
        </is>
      </c>
      <c r="F917" s="14" t="inlineStr">
        <is>
          <t>Marina del Rey, CA</t>
        </is>
      </c>
      <c r="G917" s="15" t="inlineStr">
        <is>
          <t>Privately Held (backing)</t>
        </is>
      </c>
      <c r="H917" s="16" t="inlineStr">
        <is>
          <t>Angel-Backed</t>
        </is>
      </c>
      <c r="I917" s="17" t="inlineStr">
        <is>
          <t/>
        </is>
      </c>
      <c r="J917" s="18" t="inlineStr">
        <is>
          <t>www.tailoredgames.com</t>
        </is>
      </c>
      <c r="K917" s="19" t="inlineStr">
        <is>
          <t>info@tailoredgames.com</t>
        </is>
      </c>
      <c r="L917" s="20" t="inlineStr">
        <is>
          <t/>
        </is>
      </c>
      <c r="M917" s="21" t="inlineStr">
        <is>
          <t>Scott Schlichter</t>
        </is>
      </c>
      <c r="N917" s="22" t="inlineStr">
        <is>
          <t>Founder</t>
        </is>
      </c>
      <c r="O917" s="23" t="inlineStr">
        <is>
          <t/>
        </is>
      </c>
      <c r="P917" s="24" t="inlineStr">
        <is>
          <t/>
        </is>
      </c>
      <c r="Q917" s="25" t="n">
        <v>2011.0</v>
      </c>
      <c r="R917" s="113">
        <f>HYPERLINK("https://my.pitchbook.com?c=88737-85", "View company online")</f>
      </c>
    </row>
    <row r="918">
      <c r="A918" s="27" t="inlineStr">
        <is>
          <t>87397-03</t>
        </is>
      </c>
      <c r="B918" s="28" t="inlineStr">
        <is>
          <t>Tailio</t>
        </is>
      </c>
      <c r="C918" s="29" t="inlineStr">
        <is>
          <t>92130</t>
        </is>
      </c>
      <c r="D918" s="30" t="inlineStr">
        <is>
          <t>Provider of a pet health and wellness monitoring platform created to offer insights on animal health and welfare. The company's platform uses pet friendly sensing devices, cloud-based data analytics and a mobile application to offer seamless proactive monitoring and insights enabling pet owners and veterinarians to detect diseases early.</t>
        </is>
      </c>
      <c r="E918" s="31" t="inlineStr">
        <is>
          <t>Electronics (B2C)</t>
        </is>
      </c>
      <c r="F918" s="32" t="inlineStr">
        <is>
          <t>San Diego, CA</t>
        </is>
      </c>
      <c r="G918" s="33" t="inlineStr">
        <is>
          <t>Privately Held (backing)</t>
        </is>
      </c>
      <c r="H918" s="34" t="inlineStr">
        <is>
          <t>Accelerator/Incubator Backed</t>
        </is>
      </c>
      <c r="I918" s="35" t="inlineStr">
        <is>
          <t>Bob Kain, EvoNexus, StartR</t>
        </is>
      </c>
      <c r="J918" s="36" t="inlineStr">
        <is>
          <t>www.tailio.com</t>
        </is>
      </c>
      <c r="K918" s="37" t="inlineStr">
        <is>
          <t>tailio@petwireless.com</t>
        </is>
      </c>
      <c r="L918" s="38" t="inlineStr">
        <is>
          <t/>
        </is>
      </c>
      <c r="M918" s="39" t="inlineStr">
        <is>
          <t>Alex Treiner</t>
        </is>
      </c>
      <c r="N918" s="40" t="inlineStr">
        <is>
          <t>Co-Founder &amp; Chief Executive Officer</t>
        </is>
      </c>
      <c r="O918" s="41" t="inlineStr">
        <is>
          <t>alex.treiner@petwireless.com</t>
        </is>
      </c>
      <c r="P918" s="42" t="inlineStr">
        <is>
          <t/>
        </is>
      </c>
      <c r="Q918" s="43" t="n">
        <v>2011.0</v>
      </c>
      <c r="R918" s="114">
        <f>HYPERLINK("https://my.pitchbook.com?c=87397-03", "View company online")</f>
      </c>
    </row>
    <row r="919">
      <c r="A919" s="9" t="inlineStr">
        <is>
          <t>110739-70</t>
        </is>
      </c>
      <c r="B919" s="10" t="inlineStr">
        <is>
          <t>Tahoe Spirits</t>
        </is>
      </c>
      <c r="C919" s="11" t="inlineStr">
        <is>
          <t>96151</t>
        </is>
      </c>
      <c r="D919" s="12" t="inlineStr">
        <is>
          <t>Producer and seller of vodka. The company produces and sells vodka named Tahoe Blue Vodka which is made from original blend, 2 parts sugarcane, 1 part grape and 1 part grain and is based in South Lake Tahoe, California.</t>
        </is>
      </c>
      <c r="E919" s="13" t="inlineStr">
        <is>
          <t>Beverages</t>
        </is>
      </c>
      <c r="F919" s="14" t="inlineStr">
        <is>
          <t>South Lake Tahoe, CA</t>
        </is>
      </c>
      <c r="G919" s="15" t="inlineStr">
        <is>
          <t>Privately Held (backing)</t>
        </is>
      </c>
      <c r="H919" s="16" t="inlineStr">
        <is>
          <t>Angel-Backed</t>
        </is>
      </c>
      <c r="I919" s="17" t="inlineStr">
        <is>
          <t/>
        </is>
      </c>
      <c r="J919" s="18" t="inlineStr">
        <is>
          <t>www.tahoebluevodka.com</t>
        </is>
      </c>
      <c r="K919" s="19" t="inlineStr">
        <is>
          <t>info@tahoebluevodka.com</t>
        </is>
      </c>
      <c r="L919" s="20" t="inlineStr">
        <is>
          <t>+1 (530) 307-2884</t>
        </is>
      </c>
      <c r="M919" s="21" t="inlineStr">
        <is>
          <t>Matthew Levitt</t>
        </is>
      </c>
      <c r="N919" s="22" t="inlineStr">
        <is>
          <t>Chief Executive Officer, Board Member &amp; President</t>
        </is>
      </c>
      <c r="O919" s="23" t="inlineStr">
        <is>
          <t>matt@tahoebluevodka.com</t>
        </is>
      </c>
      <c r="P919" s="24" t="inlineStr">
        <is>
          <t>+1 (530) 307-2884</t>
        </is>
      </c>
      <c r="Q919" s="25" t="n">
        <v>2011.0</v>
      </c>
      <c r="R919" s="113">
        <f>HYPERLINK("https://my.pitchbook.com?c=110739-70", "View company online")</f>
      </c>
    </row>
    <row r="920">
      <c r="A920" s="27" t="inlineStr">
        <is>
          <t>89908-30</t>
        </is>
      </c>
      <c r="B920" s="28" t="inlineStr">
        <is>
          <t>Tahlent</t>
        </is>
      </c>
      <c r="C920" s="29" t="inlineStr">
        <is>
          <t>94102</t>
        </is>
      </c>
      <c r="D920" s="30" t="inlineStr">
        <is>
          <t>Provider of a subscription based sourcing platform. The company searches a range of social platforms to identify, match and rank candidates for recruiters, and then uses the social networks of employees to connect, reference check and refer these candidates for hiring. It also helps in broadcasting jobs through social networks.</t>
        </is>
      </c>
      <c r="E920" s="31" t="inlineStr">
        <is>
          <t>Business/Productivity Software</t>
        </is>
      </c>
      <c r="F920" s="32" t="inlineStr">
        <is>
          <t>San Francisco, CA</t>
        </is>
      </c>
      <c r="G920" s="33" t="inlineStr">
        <is>
          <t>Privately Held (backing)</t>
        </is>
      </c>
      <c r="H920" s="34" t="inlineStr">
        <is>
          <t>Angel-Backed</t>
        </is>
      </c>
      <c r="I920" s="35" t="inlineStr">
        <is>
          <t/>
        </is>
      </c>
      <c r="J920" s="36" t="inlineStr">
        <is>
          <t>www.swooptalent.com</t>
        </is>
      </c>
      <c r="K920" s="37" t="inlineStr">
        <is>
          <t>contact_us@swooptalent.com</t>
        </is>
      </c>
      <c r="L920" s="38" t="inlineStr">
        <is>
          <t>+1 (415) 513-5534</t>
        </is>
      </c>
      <c r="M920" s="39" t="inlineStr">
        <is>
          <t>Stacy Chapman</t>
        </is>
      </c>
      <c r="N920" s="40" t="inlineStr">
        <is>
          <t>Co-Founder &amp; Chief Executive Officer</t>
        </is>
      </c>
      <c r="O920" s="41" t="inlineStr">
        <is>
          <t>stacy@swooptalent.com</t>
        </is>
      </c>
      <c r="P920" s="42" t="inlineStr">
        <is>
          <t>+1 (415) 513-5534</t>
        </is>
      </c>
      <c r="Q920" s="43" t="n">
        <v>2010.0</v>
      </c>
      <c r="R920" s="114">
        <f>HYPERLINK("https://my.pitchbook.com?c=89908-30", "View company online")</f>
      </c>
    </row>
    <row r="921">
      <c r="A921" s="9" t="inlineStr">
        <is>
          <t>168339-79</t>
        </is>
      </c>
      <c r="B921" s="10" t="inlineStr">
        <is>
          <t>Tagove</t>
        </is>
      </c>
      <c r="C921" s="11" t="inlineStr">
        <is>
          <t>94103</t>
        </is>
      </c>
      <c r="D921" s="12" t="inlineStr">
        <is>
          <t>Provider of an online live communication platform. The company's virtual interaction platform allows marketing managers to communicate face-to-face with customers through live video chats and voice calls.</t>
        </is>
      </c>
      <c r="E921" s="13" t="inlineStr">
        <is>
          <t>Social/Platform Software</t>
        </is>
      </c>
      <c r="F921" s="14" t="inlineStr">
        <is>
          <t>San Francisco, CA</t>
        </is>
      </c>
      <c r="G921" s="15" t="inlineStr">
        <is>
          <t>Privately Held (backing)</t>
        </is>
      </c>
      <c r="H921" s="16" t="inlineStr">
        <is>
          <t>Accelerator/Incubator Backed</t>
        </is>
      </c>
      <c r="I921" s="17" t="inlineStr">
        <is>
          <t>500 Startups, NTT Leasing Capital</t>
        </is>
      </c>
      <c r="J921" s="18" t="inlineStr">
        <is>
          <t>www.tagove.com</t>
        </is>
      </c>
      <c r="K921" s="19" t="inlineStr">
        <is>
          <t>hello@tagove.com</t>
        </is>
      </c>
      <c r="L921" s="20" t="inlineStr">
        <is>
          <t>+1 (650) 237-9946</t>
        </is>
      </c>
      <c r="M921" s="21" t="inlineStr">
        <is>
          <t>Laduram Vishnoi</t>
        </is>
      </c>
      <c r="N921" s="22" t="inlineStr">
        <is>
          <t>Founder &amp; Chief Executive Officer</t>
        </is>
      </c>
      <c r="O921" s="23" t="inlineStr">
        <is>
          <t>laduram@tagove.com</t>
        </is>
      </c>
      <c r="P921" s="24" t="inlineStr">
        <is>
          <t>+44 (0)20 3393 3116</t>
        </is>
      </c>
      <c r="Q921" s="25" t="n">
        <v>2015.0</v>
      </c>
      <c r="R921" s="113">
        <f>HYPERLINK("https://my.pitchbook.com?c=168339-79", "View company online")</f>
      </c>
    </row>
    <row r="922">
      <c r="A922" s="27" t="inlineStr">
        <is>
          <t>115405-66</t>
        </is>
      </c>
      <c r="B922" s="28" t="inlineStr">
        <is>
          <t>Tagnos</t>
        </is>
      </c>
      <c r="C922" s="29" t="inlineStr">
        <is>
          <t>92617</t>
        </is>
      </c>
      <c r="D922" s="30" t="inlineStr">
        <is>
          <t>Owner and operator of a company providing real-time location systems that track the status of patients, staff, and equipment within a hospital. The company provides services like patient flow system, helps in keeping track of patients through their treatment stages and diagnostic procedures as well as highlight bottlenecks in the process of care.</t>
        </is>
      </c>
      <c r="E922" s="31" t="inlineStr">
        <is>
          <t>Other Healthcare Technology Systems</t>
        </is>
      </c>
      <c r="F922" s="32" t="inlineStr">
        <is>
          <t>Irvine, CA</t>
        </is>
      </c>
      <c r="G922" s="33" t="inlineStr">
        <is>
          <t>Privately Held (backing)</t>
        </is>
      </c>
      <c r="H922" s="34" t="inlineStr">
        <is>
          <t>Accelerator/Incubator Backed</t>
        </is>
      </c>
      <c r="I922" s="35" t="inlineStr">
        <is>
          <t>Cisco Entrepreneurs in Residence, EvoNexus, Singapore Angel Network</t>
        </is>
      </c>
      <c r="J922" s="36" t="inlineStr">
        <is>
          <t>www.tagnos.com</t>
        </is>
      </c>
      <c r="K922" s="37" t="inlineStr">
        <is>
          <t/>
        </is>
      </c>
      <c r="L922" s="38" t="inlineStr">
        <is>
          <t>+1 (949) 305-0806</t>
        </is>
      </c>
      <c r="M922" s="39" t="inlineStr">
        <is>
          <t>Neeraj Bhavani</t>
        </is>
      </c>
      <c r="N922" s="40" t="inlineStr">
        <is>
          <t>Co-Founder, Chief Executive Officer and Board Member</t>
        </is>
      </c>
      <c r="O922" s="41" t="inlineStr">
        <is>
          <t>neeraj.bhavani@tagnos.com</t>
        </is>
      </c>
      <c r="P922" s="42" t="inlineStr">
        <is>
          <t>+1 (949) 305-0806</t>
        </is>
      </c>
      <c r="Q922" s="43" t="n">
        <v>2010.0</v>
      </c>
      <c r="R922" s="114">
        <f>HYPERLINK("https://my.pitchbook.com?c=115405-66", "View company online")</f>
      </c>
    </row>
    <row r="923">
      <c r="A923" s="9" t="inlineStr">
        <is>
          <t>98474-05</t>
        </is>
      </c>
      <c r="B923" s="10" t="inlineStr">
        <is>
          <t>Taggler</t>
        </is>
      </c>
      <c r="C923" s="11" t="inlineStr">
        <is>
          <t>90012</t>
        </is>
      </c>
      <c r="D923" s="12" t="inlineStr">
        <is>
          <t>Operator of an apparel online platform. The company operates an online platform where customers post apparel printing jobs and local screen printers place competing quotes to win their order.</t>
        </is>
      </c>
      <c r="E923" s="13" t="inlineStr">
        <is>
          <t>Other Apparel</t>
        </is>
      </c>
      <c r="F923" s="14" t="inlineStr">
        <is>
          <t>Los Angeles, CA</t>
        </is>
      </c>
      <c r="G923" s="15" t="inlineStr">
        <is>
          <t>Privately Held (backing)</t>
        </is>
      </c>
      <c r="H923" s="16" t="inlineStr">
        <is>
          <t>Accelerator/Incubator Backed</t>
        </is>
      </c>
      <c r="I923" s="17" t="inlineStr">
        <is>
          <t>Louis Lucido, USC Viterbi Startup Garage</t>
        </is>
      </c>
      <c r="J923" s="18" t="inlineStr">
        <is>
          <t>www.taggler.com</t>
        </is>
      </c>
      <c r="K923" s="19" t="inlineStr">
        <is>
          <t>support@taggler.com</t>
        </is>
      </c>
      <c r="L923" s="20" t="inlineStr">
        <is>
          <t>+1 (888) 740-8701</t>
        </is>
      </c>
      <c r="M923" s="21" t="inlineStr">
        <is>
          <t>Chris Guercio</t>
        </is>
      </c>
      <c r="N923" s="22" t="inlineStr">
        <is>
          <t>Co-Founder &amp; Chief Technology Officer</t>
        </is>
      </c>
      <c r="O923" s="23" t="inlineStr">
        <is>
          <t>chris@taggler.com</t>
        </is>
      </c>
      <c r="P923" s="24" t="inlineStr">
        <is>
          <t>+1 (888) 740-8701</t>
        </is>
      </c>
      <c r="Q923" s="25" t="n">
        <v>2013.0</v>
      </c>
      <c r="R923" s="113">
        <f>HYPERLINK("https://my.pitchbook.com?c=98474-05", "View company online")</f>
      </c>
    </row>
    <row r="924">
      <c r="A924" s="27" t="inlineStr">
        <is>
          <t>179057-08</t>
        </is>
      </c>
      <c r="B924" s="28" t="inlineStr">
        <is>
          <t>TagDat</t>
        </is>
      </c>
      <c r="C924" s="29" t="inlineStr">
        <is>
          <t/>
        </is>
      </c>
      <c r="D924" s="30" t="inlineStr">
        <is>
          <t>Developer of a restaurant review and search application designed to help small startups to rise up and get noticed. The company's restaurant review and search application uses machine learning, big data and augmented visualization for processing reviews to generate results, enabling users to receive compatible results as per personal needs.</t>
        </is>
      </c>
      <c r="E924" s="31" t="inlineStr">
        <is>
          <t>Application Software</t>
        </is>
      </c>
      <c r="F924" s="32" t="inlineStr">
        <is>
          <t>Palo Alto, CA</t>
        </is>
      </c>
      <c r="G924" s="33" t="inlineStr">
        <is>
          <t>Privately Held (backing)</t>
        </is>
      </c>
      <c r="H924" s="34" t="inlineStr">
        <is>
          <t>Angel-Backed</t>
        </is>
      </c>
      <c r="I924" s="35" t="inlineStr">
        <is>
          <t>Shanghai Man Feng Asset Management Company</t>
        </is>
      </c>
      <c r="J924" s="36" t="inlineStr">
        <is>
          <t>www.tagdat.io</t>
        </is>
      </c>
      <c r="K924" s="37" t="inlineStr">
        <is>
          <t/>
        </is>
      </c>
      <c r="L924" s="38" t="inlineStr">
        <is>
          <t/>
        </is>
      </c>
      <c r="M924" s="39" t="inlineStr">
        <is>
          <t>Jinyuan Li</t>
        </is>
      </c>
      <c r="N924" s="40" t="inlineStr">
        <is>
          <t>Co-Founder &amp; Chief Commercial Officer</t>
        </is>
      </c>
      <c r="O924" s="41" t="inlineStr">
        <is>
          <t/>
        </is>
      </c>
      <c r="P924" s="42" t="inlineStr">
        <is>
          <t/>
        </is>
      </c>
      <c r="Q924" s="43" t="n">
        <v>2016.0</v>
      </c>
      <c r="R924" s="114">
        <f>HYPERLINK("https://my.pitchbook.com?c=179057-08", "View company online")</f>
      </c>
    </row>
    <row r="925">
      <c r="A925" s="9" t="inlineStr">
        <is>
          <t>169573-06</t>
        </is>
      </c>
      <c r="B925" s="10" t="inlineStr">
        <is>
          <t>Tactus Dynamics</t>
        </is>
      </c>
      <c r="C925" s="11" t="inlineStr">
        <is>
          <t/>
        </is>
      </c>
      <c r="D925" s="12" t="inlineStr">
        <is>
          <t>Developer of virtual reality and augmented reality devices. The company designs and develops virtual reality and augmented reality devices for video and online gaming purposes.</t>
        </is>
      </c>
      <c r="E925" s="13" t="inlineStr">
        <is>
          <t>Entertainment Software</t>
        </is>
      </c>
      <c r="F925" s="14" t="inlineStr">
        <is>
          <t>Chico, CA</t>
        </is>
      </c>
      <c r="G925" s="15" t="inlineStr">
        <is>
          <t>Privately Held (backing)</t>
        </is>
      </c>
      <c r="H925" s="16" t="inlineStr">
        <is>
          <t>Accelerator/Incubator Backed</t>
        </is>
      </c>
      <c r="I925" s="17" t="inlineStr">
        <is>
          <t>Chicostart</t>
        </is>
      </c>
      <c r="J925" s="18" t="inlineStr">
        <is>
          <t/>
        </is>
      </c>
      <c r="K925" s="19" t="inlineStr">
        <is>
          <t/>
        </is>
      </c>
      <c r="L925" s="20" t="inlineStr">
        <is>
          <t/>
        </is>
      </c>
      <c r="M925" s="21" t="inlineStr">
        <is>
          <t/>
        </is>
      </c>
      <c r="N925" s="22" t="inlineStr">
        <is>
          <t/>
        </is>
      </c>
      <c r="O925" s="23" t="inlineStr">
        <is>
          <t/>
        </is>
      </c>
      <c r="P925" s="24" t="inlineStr">
        <is>
          <t/>
        </is>
      </c>
      <c r="Q925" s="25" t="inlineStr">
        <is>
          <t/>
        </is>
      </c>
      <c r="R925" s="113">
        <f>HYPERLINK("https://my.pitchbook.com?c=169573-06", "View company online")</f>
      </c>
    </row>
    <row r="926">
      <c r="A926" s="27" t="inlineStr">
        <is>
          <t>172828-18</t>
        </is>
      </c>
      <c r="B926" s="28" t="inlineStr">
        <is>
          <t>Taction Enterprises</t>
        </is>
      </c>
      <c r="C926" s="86">
        <f>HYPERLINK("https://my.pitchbook.com?rrp=172828-18&amp;type=c", "This Company's information is not available to download. Need this Company? Request availability")</f>
      </c>
      <c r="D926" s="30" t="inlineStr">
        <is>
          <t/>
        </is>
      </c>
      <c r="E926" s="31" t="inlineStr">
        <is>
          <t/>
        </is>
      </c>
      <c r="F926" s="32" t="inlineStr">
        <is>
          <t/>
        </is>
      </c>
      <c r="G926" s="33" t="inlineStr">
        <is>
          <t/>
        </is>
      </c>
      <c r="H926" s="34" t="inlineStr">
        <is>
          <t/>
        </is>
      </c>
      <c r="I926" s="35" t="inlineStr">
        <is>
          <t/>
        </is>
      </c>
      <c r="J926" s="36" t="inlineStr">
        <is>
          <t/>
        </is>
      </c>
      <c r="K926" s="37" t="inlineStr">
        <is>
          <t/>
        </is>
      </c>
      <c r="L926" s="38" t="inlineStr">
        <is>
          <t/>
        </is>
      </c>
      <c r="M926" s="39" t="inlineStr">
        <is>
          <t/>
        </is>
      </c>
      <c r="N926" s="40" t="inlineStr">
        <is>
          <t/>
        </is>
      </c>
      <c r="O926" s="41" t="inlineStr">
        <is>
          <t/>
        </is>
      </c>
      <c r="P926" s="42" t="inlineStr">
        <is>
          <t/>
        </is>
      </c>
      <c r="Q926" s="43" t="inlineStr">
        <is>
          <t/>
        </is>
      </c>
      <c r="R926" s="44" t="inlineStr">
        <is>
          <t/>
        </is>
      </c>
    </row>
    <row r="927">
      <c r="A927" s="9" t="inlineStr">
        <is>
          <t>98940-79</t>
        </is>
      </c>
      <c r="B927" s="10" t="inlineStr">
        <is>
          <t>TacSense</t>
        </is>
      </c>
      <c r="C927" s="11" t="inlineStr">
        <is>
          <t>95776</t>
        </is>
      </c>
      <c r="D927" s="12" t="inlineStr">
        <is>
          <t>Developer of sensitive pressure sensor. The company specializes in developing flexible force and pressure sensors for medical devices, advanced robotics and wearable electronics.</t>
        </is>
      </c>
      <c r="E927" s="13" t="inlineStr">
        <is>
          <t>Electronics (B2C)</t>
        </is>
      </c>
      <c r="F927" s="14" t="inlineStr">
        <is>
          <t>Woodland, CA</t>
        </is>
      </c>
      <c r="G927" s="15" t="inlineStr">
        <is>
          <t>Privately Held (backing)</t>
        </is>
      </c>
      <c r="H927" s="16" t="inlineStr">
        <is>
          <t>Accelerator/Incubator Backed</t>
        </is>
      </c>
      <c r="I927" s="17" t="inlineStr">
        <is>
          <t>National Science Foundation</t>
        </is>
      </c>
      <c r="J927" s="18" t="inlineStr">
        <is>
          <t>www.tacsense.com</t>
        </is>
      </c>
      <c r="K927" s="19" t="inlineStr">
        <is>
          <t/>
        </is>
      </c>
      <c r="L927" s="20" t="inlineStr">
        <is>
          <t>+1 (530) 797-0008</t>
        </is>
      </c>
      <c r="M927" s="21" t="inlineStr">
        <is>
          <t>Bill Aldrich</t>
        </is>
      </c>
      <c r="N927" s="22" t="inlineStr">
        <is>
          <t>Chief Executive Officer</t>
        </is>
      </c>
      <c r="O927" s="23" t="inlineStr">
        <is>
          <t>bill@tacsense.com</t>
        </is>
      </c>
      <c r="P927" s="24" t="inlineStr">
        <is>
          <t>+1 (530) 797-0008</t>
        </is>
      </c>
      <c r="Q927" s="25" t="inlineStr">
        <is>
          <t/>
        </is>
      </c>
      <c r="R927" s="113">
        <f>HYPERLINK("https://my.pitchbook.com?c=98940-79", "View company online")</f>
      </c>
    </row>
    <row r="928">
      <c r="A928" s="27" t="inlineStr">
        <is>
          <t>177413-32</t>
        </is>
      </c>
      <c r="B928" s="28" t="inlineStr">
        <is>
          <t>Tacsat Networks</t>
        </is>
      </c>
      <c r="C928" s="86">
        <f>HYPERLINK("https://my.pitchbook.com?rrp=177413-32&amp;type=c", "This Company's information is not available to download. Need this Company? Request availability")</f>
      </c>
      <c r="D928" s="30" t="inlineStr">
        <is>
          <t/>
        </is>
      </c>
      <c r="E928" s="31" t="inlineStr">
        <is>
          <t/>
        </is>
      </c>
      <c r="F928" s="32" t="inlineStr">
        <is>
          <t/>
        </is>
      </c>
      <c r="G928" s="33" t="inlineStr">
        <is>
          <t/>
        </is>
      </c>
      <c r="H928" s="34" t="inlineStr">
        <is>
          <t/>
        </is>
      </c>
      <c r="I928" s="35" t="inlineStr">
        <is>
          <t/>
        </is>
      </c>
      <c r="J928" s="36" t="inlineStr">
        <is>
          <t/>
        </is>
      </c>
      <c r="K928" s="37" t="inlineStr">
        <is>
          <t/>
        </is>
      </c>
      <c r="L928" s="38" t="inlineStr">
        <is>
          <t/>
        </is>
      </c>
      <c r="M928" s="39" t="inlineStr">
        <is>
          <t/>
        </is>
      </c>
      <c r="N928" s="40" t="inlineStr">
        <is>
          <t/>
        </is>
      </c>
      <c r="O928" s="41" t="inlineStr">
        <is>
          <t/>
        </is>
      </c>
      <c r="P928" s="42" t="inlineStr">
        <is>
          <t/>
        </is>
      </c>
      <c r="Q928" s="43" t="inlineStr">
        <is>
          <t/>
        </is>
      </c>
      <c r="R928" s="44" t="inlineStr">
        <is>
          <t/>
        </is>
      </c>
    </row>
    <row r="929">
      <c r="A929" s="9" t="inlineStr">
        <is>
          <t>104459-77</t>
        </is>
      </c>
      <c r="B929" s="10" t="inlineStr">
        <is>
          <t>Tablomedia</t>
        </is>
      </c>
      <c r="C929" s="11" t="inlineStr">
        <is>
          <t>94104</t>
        </is>
      </c>
      <c r="D929" s="12" t="inlineStr">
        <is>
          <t>Developer of a mobile application software for presentation discussion. The company develops an application software that transforms linear presentations into engaging and responsive visual discussion by showing clients what they want to see.</t>
        </is>
      </c>
      <c r="E929" s="13" t="inlineStr">
        <is>
          <t>Application Software</t>
        </is>
      </c>
      <c r="F929" s="14" t="inlineStr">
        <is>
          <t>San Francisco, CA</t>
        </is>
      </c>
      <c r="G929" s="15" t="inlineStr">
        <is>
          <t>Privately Held (backing)</t>
        </is>
      </c>
      <c r="H929" s="16" t="inlineStr">
        <is>
          <t>Accelerator/Incubator Backed</t>
        </is>
      </c>
      <c r="I929" s="17" t="inlineStr">
        <is>
          <t>Founder.org, RocketSpace</t>
        </is>
      </c>
      <c r="J929" s="18" t="inlineStr">
        <is>
          <t>www.vimodi.com</t>
        </is>
      </c>
      <c r="K929" s="19" t="inlineStr">
        <is>
          <t/>
        </is>
      </c>
      <c r="L929" s="20" t="inlineStr">
        <is>
          <t/>
        </is>
      </c>
      <c r="M929" s="21" t="inlineStr">
        <is>
          <t>Afzal Amijee</t>
        </is>
      </c>
      <c r="N929" s="22" t="inlineStr">
        <is>
          <t>Co-Founder &amp; Chief Executive Officer</t>
        </is>
      </c>
      <c r="O929" s="23" t="inlineStr">
        <is>
          <t>aamijee@equityforafrica.org</t>
        </is>
      </c>
      <c r="P929" s="24" t="inlineStr">
        <is>
          <t/>
        </is>
      </c>
      <c r="Q929" s="25" t="n">
        <v>2012.0</v>
      </c>
      <c r="R929" s="113">
        <f>HYPERLINK("https://my.pitchbook.com?c=104459-77", "View company online")</f>
      </c>
    </row>
    <row r="930">
      <c r="A930" s="27" t="inlineStr">
        <is>
          <t>178650-01</t>
        </is>
      </c>
      <c r="B930" s="28" t="inlineStr">
        <is>
          <t>TableTime</t>
        </is>
      </c>
      <c r="C930" s="86">
        <f>HYPERLINK("https://my.pitchbook.com?rrp=178650-01&amp;type=c", "This Company's information is not available to download. Need this Company? Request availability")</f>
      </c>
      <c r="D930" s="30" t="inlineStr">
        <is>
          <t/>
        </is>
      </c>
      <c r="E930" s="31" t="inlineStr">
        <is>
          <t/>
        </is>
      </c>
      <c r="F930" s="32" t="inlineStr">
        <is>
          <t/>
        </is>
      </c>
      <c r="G930" s="33" t="inlineStr">
        <is>
          <t/>
        </is>
      </c>
      <c r="H930" s="34" t="inlineStr">
        <is>
          <t/>
        </is>
      </c>
      <c r="I930" s="35" t="inlineStr">
        <is>
          <t/>
        </is>
      </c>
      <c r="J930" s="36" t="inlineStr">
        <is>
          <t/>
        </is>
      </c>
      <c r="K930" s="37" t="inlineStr">
        <is>
          <t/>
        </is>
      </c>
      <c r="L930" s="38" t="inlineStr">
        <is>
          <t/>
        </is>
      </c>
      <c r="M930" s="39" t="inlineStr">
        <is>
          <t/>
        </is>
      </c>
      <c r="N930" s="40" t="inlineStr">
        <is>
          <t/>
        </is>
      </c>
      <c r="O930" s="41" t="inlineStr">
        <is>
          <t/>
        </is>
      </c>
      <c r="P930" s="42" t="inlineStr">
        <is>
          <t/>
        </is>
      </c>
      <c r="Q930" s="43" t="inlineStr">
        <is>
          <t/>
        </is>
      </c>
      <c r="R930" s="44" t="inlineStr">
        <is>
          <t/>
        </is>
      </c>
    </row>
    <row r="931">
      <c r="A931" s="9" t="inlineStr">
        <is>
          <t>178654-96</t>
        </is>
      </c>
      <c r="B931" s="10" t="inlineStr">
        <is>
          <t>TableFLIX</t>
        </is>
      </c>
      <c r="C931" s="85">
        <f>HYPERLINK("https://my.pitchbook.com?rrp=178654-96&amp;type=c", "This Company's information is not available to download. Need this Company? Request availability")</f>
      </c>
      <c r="D931" s="12" t="inlineStr">
        <is>
          <t/>
        </is>
      </c>
      <c r="E931" s="13" t="inlineStr">
        <is>
          <t/>
        </is>
      </c>
      <c r="F931" s="14" t="inlineStr">
        <is>
          <t/>
        </is>
      </c>
      <c r="G931" s="15" t="inlineStr">
        <is>
          <t/>
        </is>
      </c>
      <c r="H931" s="16" t="inlineStr">
        <is>
          <t/>
        </is>
      </c>
      <c r="I931" s="17" t="inlineStr">
        <is>
          <t/>
        </is>
      </c>
      <c r="J931" s="18" t="inlineStr">
        <is>
          <t/>
        </is>
      </c>
      <c r="K931" s="19" t="inlineStr">
        <is>
          <t/>
        </is>
      </c>
      <c r="L931" s="20" t="inlineStr">
        <is>
          <t/>
        </is>
      </c>
      <c r="M931" s="21" t="inlineStr">
        <is>
          <t/>
        </is>
      </c>
      <c r="N931" s="22" t="inlineStr">
        <is>
          <t/>
        </is>
      </c>
      <c r="O931" s="23" t="inlineStr">
        <is>
          <t/>
        </is>
      </c>
      <c r="P931" s="24" t="inlineStr">
        <is>
          <t/>
        </is>
      </c>
      <c r="Q931" s="25" t="inlineStr">
        <is>
          <t/>
        </is>
      </c>
      <c r="R931" s="26" t="inlineStr">
        <is>
          <t/>
        </is>
      </c>
    </row>
    <row r="932">
      <c r="A932" s="27" t="inlineStr">
        <is>
          <t>175515-67</t>
        </is>
      </c>
      <c r="B932" s="28" t="inlineStr">
        <is>
          <t>Table Topic Ventures</t>
        </is>
      </c>
      <c r="C932" s="86">
        <f>HYPERLINK("https://my.pitchbook.com?rrp=175515-67&amp;type=c", "This Company's information is not available to download. Need this Company? Request availability")</f>
      </c>
      <c r="D932" s="30" t="inlineStr">
        <is>
          <t/>
        </is>
      </c>
      <c r="E932" s="31" t="inlineStr">
        <is>
          <t/>
        </is>
      </c>
      <c r="F932" s="32" t="inlineStr">
        <is>
          <t/>
        </is>
      </c>
      <c r="G932" s="33" t="inlineStr">
        <is>
          <t/>
        </is>
      </c>
      <c r="H932" s="34" t="inlineStr">
        <is>
          <t/>
        </is>
      </c>
      <c r="I932" s="35" t="inlineStr">
        <is>
          <t/>
        </is>
      </c>
      <c r="J932" s="36" t="inlineStr">
        <is>
          <t/>
        </is>
      </c>
      <c r="K932" s="37" t="inlineStr">
        <is>
          <t/>
        </is>
      </c>
      <c r="L932" s="38" t="inlineStr">
        <is>
          <t/>
        </is>
      </c>
      <c r="M932" s="39" t="inlineStr">
        <is>
          <t/>
        </is>
      </c>
      <c r="N932" s="40" t="inlineStr">
        <is>
          <t/>
        </is>
      </c>
      <c r="O932" s="41" t="inlineStr">
        <is>
          <t/>
        </is>
      </c>
      <c r="P932" s="42" t="inlineStr">
        <is>
          <t/>
        </is>
      </c>
      <c r="Q932" s="43" t="inlineStr">
        <is>
          <t/>
        </is>
      </c>
      <c r="R932" s="44" t="inlineStr">
        <is>
          <t/>
        </is>
      </c>
    </row>
    <row r="933">
      <c r="A933" s="9" t="inlineStr">
        <is>
          <t>146298-16</t>
        </is>
      </c>
      <c r="B933" s="10" t="inlineStr">
        <is>
          <t>t4 Spatial</t>
        </is>
      </c>
      <c r="C933" s="11" t="inlineStr">
        <is>
          <t>93101</t>
        </is>
      </c>
      <c r="D933" s="12" t="inlineStr">
        <is>
          <t>Developer of online infrastructure management software. The company specializes in developing and designing cloud-based software for management of infrastructure asset networks.</t>
        </is>
      </c>
      <c r="E933" s="13" t="inlineStr">
        <is>
          <t>Other Software</t>
        </is>
      </c>
      <c r="F933" s="14" t="inlineStr">
        <is>
          <t>Santa Barbara, CA</t>
        </is>
      </c>
      <c r="G933" s="15" t="inlineStr">
        <is>
          <t>Privately Held (backing)</t>
        </is>
      </c>
      <c r="H933" s="16" t="inlineStr">
        <is>
          <t>Angel-Backed</t>
        </is>
      </c>
      <c r="I933" s="17" t="inlineStr">
        <is>
          <t/>
        </is>
      </c>
      <c r="J933" s="18" t="inlineStr">
        <is>
          <t>www.t4spatial.com</t>
        </is>
      </c>
      <c r="K933" s="19" t="inlineStr">
        <is>
          <t>info@t4spatial.com</t>
        </is>
      </c>
      <c r="L933" s="20" t="inlineStr">
        <is>
          <t>+1 (805) 921-3000</t>
        </is>
      </c>
      <c r="M933" s="21" t="inlineStr">
        <is>
          <t>Robert Hughes</t>
        </is>
      </c>
      <c r="N933" s="22" t="inlineStr">
        <is>
          <t>Executive Chairman</t>
        </is>
      </c>
      <c r="O933" s="23" t="inlineStr">
        <is>
          <t>rob.hughes@t4spatial.com</t>
        </is>
      </c>
      <c r="P933" s="24" t="inlineStr">
        <is>
          <t>+1 (805) 921-3000</t>
        </is>
      </c>
      <c r="Q933" s="25" t="n">
        <v>2011.0</v>
      </c>
      <c r="R933" s="113">
        <f>HYPERLINK("https://my.pitchbook.com?c=146298-16", "View company online")</f>
      </c>
    </row>
    <row r="934">
      <c r="A934" s="27" t="inlineStr">
        <is>
          <t>65250-55</t>
        </is>
      </c>
      <c r="B934" s="28" t="inlineStr">
        <is>
          <t>T Alliance Three - Sunnyvale</t>
        </is>
      </c>
      <c r="C934" s="29" t="inlineStr">
        <is>
          <t>92660</t>
        </is>
      </c>
      <c r="D934" s="30" t="inlineStr">
        <is>
          <t>The company is currently operating in stealth mode.</t>
        </is>
      </c>
      <c r="E934" s="31" t="inlineStr">
        <is>
          <t>Other Business Products and Services</t>
        </is>
      </c>
      <c r="F934" s="32" t="inlineStr">
        <is>
          <t>Newport Beach, CA</t>
        </is>
      </c>
      <c r="G934" s="33" t="inlineStr">
        <is>
          <t>Privately Held (backing)</t>
        </is>
      </c>
      <c r="H934" s="34" t="inlineStr">
        <is>
          <t>Angel-Backed</t>
        </is>
      </c>
      <c r="I934" s="35" t="inlineStr">
        <is>
          <t/>
        </is>
      </c>
      <c r="J934" s="36" t="inlineStr">
        <is>
          <t/>
        </is>
      </c>
      <c r="K934" s="37" t="inlineStr">
        <is>
          <t/>
        </is>
      </c>
      <c r="L934" s="38" t="inlineStr">
        <is>
          <t>+1 (949) 610-8200</t>
        </is>
      </c>
      <c r="M934" s="39" t="inlineStr">
        <is>
          <t>Mayur Patel</t>
        </is>
      </c>
      <c r="N934" s="40" t="inlineStr">
        <is>
          <t>Manager</t>
        </is>
      </c>
      <c r="O934" s="41" t="inlineStr">
        <is>
          <t/>
        </is>
      </c>
      <c r="P934" s="42" t="inlineStr">
        <is>
          <t>+1 (949) 610-8200</t>
        </is>
      </c>
      <c r="Q934" s="43" t="n">
        <v>2012.0</v>
      </c>
      <c r="R934" s="114">
        <f>HYPERLINK("https://my.pitchbook.com?c=65250-55", "View company online")</f>
      </c>
    </row>
    <row r="935">
      <c r="A935" s="9" t="inlineStr">
        <is>
          <t>108879-58</t>
        </is>
      </c>
      <c r="B935" s="10" t="inlineStr">
        <is>
          <t>Sywork</t>
        </is>
      </c>
      <c r="C935" s="11" t="inlineStr">
        <is>
          <t/>
        </is>
      </c>
      <c r="D935" s="12" t="inlineStr">
        <is>
          <t>Operator of a live video platform. The company operates a video platform build for illustrators and digital artists to help them to broadcast their work and make money.</t>
        </is>
      </c>
      <c r="E935" s="13" t="inlineStr">
        <is>
          <t>Social/Platform Software</t>
        </is>
      </c>
      <c r="F935" s="14" t="inlineStr">
        <is>
          <t>Mountain View, CA</t>
        </is>
      </c>
      <c r="G935" s="15" t="inlineStr">
        <is>
          <t>Privately Held (backing)</t>
        </is>
      </c>
      <c r="H935" s="16" t="inlineStr">
        <is>
          <t>Accelerator/Incubator Backed</t>
        </is>
      </c>
      <c r="I935" s="17" t="inlineStr">
        <is>
          <t>Y Combinator</t>
        </is>
      </c>
      <c r="J935" s="18" t="inlineStr">
        <is>
          <t>www.sywork.tv</t>
        </is>
      </c>
      <c r="K935" s="19" t="inlineStr">
        <is>
          <t>help@sywork.tv</t>
        </is>
      </c>
      <c r="L935" s="20" t="inlineStr">
        <is>
          <t>+1 (650) 772-8191</t>
        </is>
      </c>
      <c r="M935" s="21" t="inlineStr">
        <is>
          <t>Marcelo Echeverria</t>
        </is>
      </c>
      <c r="N935" s="22" t="inlineStr">
        <is>
          <t>Co-Founder &amp; Chief Executive Officer</t>
        </is>
      </c>
      <c r="O935" s="23" t="inlineStr">
        <is>
          <t>marcelo@sywork.tv</t>
        </is>
      </c>
      <c r="P935" s="24" t="inlineStr">
        <is>
          <t/>
        </is>
      </c>
      <c r="Q935" s="25" t="n">
        <v>2015.0</v>
      </c>
      <c r="R935" s="113">
        <f>HYPERLINK("https://my.pitchbook.com?c=108879-58", "View company online")</f>
      </c>
    </row>
    <row r="936">
      <c r="A936" s="27" t="inlineStr">
        <is>
          <t>167264-92</t>
        </is>
      </c>
      <c r="B936" s="28" t="inlineStr">
        <is>
          <t>System AI</t>
        </is>
      </c>
      <c r="C936" s="29" t="inlineStr">
        <is>
          <t>95054</t>
        </is>
      </c>
      <c r="D936" s="30" t="inlineStr">
        <is>
          <t>Developer of computing infrastructure technologies. The company specializes in developing computing infrastructure technologies that deliver natural language processing, machine learning and computer vision services.</t>
        </is>
      </c>
      <c r="E936" s="31" t="inlineStr">
        <is>
          <t>Other IT Services</t>
        </is>
      </c>
      <c r="F936" s="32" t="inlineStr">
        <is>
          <t>Santa Clara, CA</t>
        </is>
      </c>
      <c r="G936" s="33" t="inlineStr">
        <is>
          <t>Privately Held (backing)</t>
        </is>
      </c>
      <c r="H936" s="34" t="inlineStr">
        <is>
          <t>Accelerator/Incubator Backed</t>
        </is>
      </c>
      <c r="I936" s="35" t="inlineStr">
        <is>
          <t>StartX</t>
        </is>
      </c>
      <c r="J936" s="36" t="inlineStr">
        <is>
          <t>www.system.ai</t>
        </is>
      </c>
      <c r="K936" s="37" t="inlineStr">
        <is>
          <t/>
        </is>
      </c>
      <c r="L936" s="38" t="inlineStr">
        <is>
          <t/>
        </is>
      </c>
      <c r="M936" s="39" t="inlineStr">
        <is>
          <t>George Gregory</t>
        </is>
      </c>
      <c r="N936" s="40" t="inlineStr">
        <is>
          <t>Co-Founder &amp; Chief Executive Officer</t>
        </is>
      </c>
      <c r="O936" s="41" t="inlineStr">
        <is>
          <t>george@system.ai</t>
        </is>
      </c>
      <c r="P936" s="42" t="inlineStr">
        <is>
          <t/>
        </is>
      </c>
      <c r="Q936" s="43" t="n">
        <v>2014.0</v>
      </c>
      <c r="R936" s="114">
        <f>HYPERLINK("https://my.pitchbook.com?c=167264-92", "View company online")</f>
      </c>
    </row>
    <row r="937">
      <c r="A937" s="9" t="inlineStr">
        <is>
          <t>171090-28</t>
        </is>
      </c>
      <c r="B937" s="10" t="inlineStr">
        <is>
          <t>Synvitrobio</t>
        </is>
      </c>
      <c r="C937" s="11" t="inlineStr">
        <is>
          <t>94107</t>
        </is>
      </c>
      <c r="D937" s="12" t="inlineStr">
        <is>
          <t>Provider of a biotechnology platform intended to create a prototyping environment to rapidly speed up design-build-test cycles for bio-based processes. The company's biotechnology platform uses cell-free systems as a prototyping environment to allow the collection of relevant biological data without the restrictions inherent in cellular engineering, enabling bio-researchers to change the way biological engineering is conducted.</t>
        </is>
      </c>
      <c r="E937" s="13" t="inlineStr">
        <is>
          <t>Biotechnology</t>
        </is>
      </c>
      <c r="F937" s="14" t="inlineStr">
        <is>
          <t>San Francisco, CA</t>
        </is>
      </c>
      <c r="G937" s="15" t="inlineStr">
        <is>
          <t>Privately Held (backing)</t>
        </is>
      </c>
      <c r="H937" s="16" t="inlineStr">
        <is>
          <t>Accelerator/Incubator Backed</t>
        </is>
      </c>
      <c r="I937" s="17" t="inlineStr">
        <is>
          <t>California Institute for Quantitative Biosciences, Cyclotron Road, Defense Advanced Research Projects Agency, National Science Foundation, U.S. Department of Health and Human Services, United States Department of Defense</t>
        </is>
      </c>
      <c r="J937" s="18" t="inlineStr">
        <is>
          <t>www.synvitrobio.com</t>
        </is>
      </c>
      <c r="K937" s="19" t="inlineStr">
        <is>
          <t>info@synvitrobio.com</t>
        </is>
      </c>
      <c r="L937" s="20" t="inlineStr">
        <is>
          <t/>
        </is>
      </c>
      <c r="M937" s="21" t="inlineStr">
        <is>
          <t>Zachary Sun</t>
        </is>
      </c>
      <c r="N937" s="22" t="inlineStr">
        <is>
          <t>Co-Founder &amp; Chief Executive Officer</t>
        </is>
      </c>
      <c r="O937" s="23" t="inlineStr">
        <is>
          <t>zsun@synvitrobio.com</t>
        </is>
      </c>
      <c r="P937" s="24" t="inlineStr">
        <is>
          <t/>
        </is>
      </c>
      <c r="Q937" s="25" t="inlineStr">
        <is>
          <t/>
        </is>
      </c>
      <c r="R937" s="113">
        <f>HYPERLINK("https://my.pitchbook.com?c=171090-28", "View company online")</f>
      </c>
    </row>
    <row r="938">
      <c r="A938" s="27" t="inlineStr">
        <is>
          <t>113356-81</t>
        </is>
      </c>
      <c r="B938" s="28" t="inlineStr">
        <is>
          <t>SynTouch</t>
        </is>
      </c>
      <c r="C938" s="29" t="inlineStr">
        <is>
          <t/>
        </is>
      </c>
      <c r="D938" s="30" t="inlineStr">
        <is>
          <t>Developer of a tactile evaluation system designed to analyze and measure customer's touch perception. The company's tactile evaluation system permits testing of different materials for judging of tactile perception just like humans, enabling companies to increase profitability as well as reduce waste and costs.</t>
        </is>
      </c>
      <c r="E938" s="31" t="inlineStr">
        <is>
          <t>Other Commercial Products</t>
        </is>
      </c>
      <c r="F938" s="32" t="inlineStr">
        <is>
          <t>Los Angeles, CA</t>
        </is>
      </c>
      <c r="G938" s="33" t="inlineStr">
        <is>
          <t>Privately Held (backing)</t>
        </is>
      </c>
      <c r="H938" s="34" t="inlineStr">
        <is>
          <t>Accelerator/Incubator Backed</t>
        </is>
      </c>
      <c r="I938" s="35" t="inlineStr">
        <is>
          <t>Comet Labs, National Science Foundation, Plug and Play Tech Center, U.S. Department of Commerce, U.S. Department of Health and Human Services, United States Department of Agriculture, United States Department of Defense</t>
        </is>
      </c>
      <c r="J938" s="36" t="inlineStr">
        <is>
          <t>www.syntouchinc.com</t>
        </is>
      </c>
      <c r="K938" s="37" t="inlineStr">
        <is>
          <t>info@syntouchinc.com</t>
        </is>
      </c>
      <c r="L938" s="38" t="inlineStr">
        <is>
          <t/>
        </is>
      </c>
      <c r="M938" s="39" t="inlineStr">
        <is>
          <t>Gerald Loeb</t>
        </is>
      </c>
      <c r="N938" s="40" t="inlineStr">
        <is>
          <t>Co-Founder &amp; Chief Executive Officer</t>
        </is>
      </c>
      <c r="O938" s="41" t="inlineStr">
        <is>
          <t/>
        </is>
      </c>
      <c r="P938" s="42" t="inlineStr">
        <is>
          <t/>
        </is>
      </c>
      <c r="Q938" s="43" t="n">
        <v>2008.0</v>
      </c>
      <c r="R938" s="114">
        <f>HYPERLINK("https://my.pitchbook.com?c=113356-81", "View company online")</f>
      </c>
    </row>
    <row r="939">
      <c r="A939" s="9" t="inlineStr">
        <is>
          <t>169825-33</t>
        </is>
      </c>
      <c r="B939" s="10" t="inlineStr">
        <is>
          <t>Synthomics</t>
        </is>
      </c>
      <c r="C939" s="11" t="inlineStr">
        <is>
          <t>94025</t>
        </is>
      </c>
      <c r="D939" s="12" t="inlineStr">
        <is>
          <t>Developer of an oligonucleotide synthesizer designed to improve the economics, speed, customization and quality associated with DNA and RNA synthesis. The company's Green Machine DNA synthesizer synthesizes oligonucleotides on a reaction substrate that is capable of accommodating up to 1,536 unique oligonucleotides rather than the industry standard of 96, enabling bio-technologists to reduce the size of each reaction resulting in low reagent consumption and significant cost saving.</t>
        </is>
      </c>
      <c r="E939" s="13" t="inlineStr">
        <is>
          <t>Biotechnology</t>
        </is>
      </c>
      <c r="F939" s="14" t="inlineStr">
        <is>
          <t>Menlo Park, CA</t>
        </is>
      </c>
      <c r="G939" s="15" t="inlineStr">
        <is>
          <t>Privately Held (backing)</t>
        </is>
      </c>
      <c r="H939" s="16" t="inlineStr">
        <is>
          <t>Angel-Backed</t>
        </is>
      </c>
      <c r="I939" s="17" t="inlineStr">
        <is>
          <t>Tsingyuan Ventures, U.S. Department of Health and Human Services</t>
        </is>
      </c>
      <c r="J939" s="18" t="inlineStr">
        <is>
          <t>www.synthomics.com</t>
        </is>
      </c>
      <c r="K939" s="19" t="inlineStr">
        <is>
          <t>info@synthomics.com</t>
        </is>
      </c>
      <c r="L939" s="20" t="inlineStr">
        <is>
          <t>+1 (650) 549-8326</t>
        </is>
      </c>
      <c r="M939" s="21" t="inlineStr">
        <is>
          <t>Keith Anderson</t>
        </is>
      </c>
      <c r="N939" s="22" t="inlineStr">
        <is>
          <t>Co-Founder, President &amp; Chief Executive Officer</t>
        </is>
      </c>
      <c r="O939" s="23" t="inlineStr">
        <is>
          <t>keith.anderson@synthomics.com</t>
        </is>
      </c>
      <c r="P939" s="24" t="inlineStr">
        <is>
          <t>+1 (650) 549-8326</t>
        </is>
      </c>
      <c r="Q939" s="25" t="n">
        <v>2014.0</v>
      </c>
      <c r="R939" s="113">
        <f>HYPERLINK("https://my.pitchbook.com?c=169825-33", "View company online")</f>
      </c>
    </row>
    <row r="940">
      <c r="A940" s="27" t="inlineStr">
        <is>
          <t>121970-35</t>
        </is>
      </c>
      <c r="B940" s="28" t="inlineStr">
        <is>
          <t>Synovation Holdings</t>
        </is>
      </c>
      <c r="C940" s="29" t="inlineStr">
        <is>
          <t>91103</t>
        </is>
      </c>
      <c r="D940" s="30" t="inlineStr">
        <is>
          <t>The company is currently operating in Stealth mode.</t>
        </is>
      </c>
      <c r="E940" s="31" t="inlineStr">
        <is>
          <t>Other Business Products and Services</t>
        </is>
      </c>
      <c r="F940" s="32" t="inlineStr">
        <is>
          <t>Pasadena, CA</t>
        </is>
      </c>
      <c r="G940" s="33" t="inlineStr">
        <is>
          <t>Privately Held (backing)</t>
        </is>
      </c>
      <c r="H940" s="34" t="inlineStr">
        <is>
          <t>Angel-Backed</t>
        </is>
      </c>
      <c r="I940" s="35" t="inlineStr">
        <is>
          <t/>
        </is>
      </c>
      <c r="J940" s="36" t="inlineStr">
        <is>
          <t/>
        </is>
      </c>
      <c r="K940" s="37" t="inlineStr">
        <is>
          <t/>
        </is>
      </c>
      <c r="L940" s="38" t="inlineStr">
        <is>
          <t>+1 (626) 696-1433</t>
        </is>
      </c>
      <c r="M940" s="39" t="inlineStr">
        <is>
          <t>Clayton Varga</t>
        </is>
      </c>
      <c r="N940" s="40" t="inlineStr">
        <is>
          <t>Manager &amp; Board Member</t>
        </is>
      </c>
      <c r="O940" s="41" t="inlineStr">
        <is>
          <t/>
        </is>
      </c>
      <c r="P940" s="42" t="inlineStr">
        <is>
          <t>+1 (626) 696-1433</t>
        </is>
      </c>
      <c r="Q940" s="43" t="n">
        <v>2014.0</v>
      </c>
      <c r="R940" s="114">
        <f>HYPERLINK("https://my.pitchbook.com?c=121970-35", "View company online")</f>
      </c>
    </row>
    <row r="941">
      <c r="A941" s="9" t="inlineStr">
        <is>
          <t>95525-29</t>
        </is>
      </c>
      <c r="B941" s="10" t="inlineStr">
        <is>
          <t>Synosure Games</t>
        </is>
      </c>
      <c r="C941" s="11" t="inlineStr">
        <is>
          <t>90017</t>
        </is>
      </c>
      <c r="D941" s="12" t="inlineStr">
        <is>
          <t>Developer of mobile games. The company creates mobile games that gives players quality content, depth, and re-playability.</t>
        </is>
      </c>
      <c r="E941" s="13" t="inlineStr">
        <is>
          <t>Entertainment Software</t>
        </is>
      </c>
      <c r="F941" s="14" t="inlineStr">
        <is>
          <t>Los Angeles, CA</t>
        </is>
      </c>
      <c r="G941" s="15" t="inlineStr">
        <is>
          <t>Privately Held (backing)</t>
        </is>
      </c>
      <c r="H941" s="16" t="inlineStr">
        <is>
          <t>Accelerator/Incubator Backed</t>
        </is>
      </c>
      <c r="I941" s="17" t="inlineStr">
        <is>
          <t>Howard Marks, Paul Kessler, StartEngine.com</t>
        </is>
      </c>
      <c r="J941" s="18" t="inlineStr">
        <is>
          <t>www.synosuregames.com</t>
        </is>
      </c>
      <c r="K941" s="19" t="inlineStr">
        <is>
          <t/>
        </is>
      </c>
      <c r="L941" s="20" t="inlineStr">
        <is>
          <t/>
        </is>
      </c>
      <c r="M941" s="21" t="inlineStr">
        <is>
          <t>Thuan Ho</t>
        </is>
      </c>
      <c r="N941" s="22" t="inlineStr">
        <is>
          <t>Co-Founder, Chief Executive Officer and Chief Creative Officer</t>
        </is>
      </c>
      <c r="O941" s="23" t="inlineStr">
        <is>
          <t>tho@synosuregames.com</t>
        </is>
      </c>
      <c r="P941" s="24" t="inlineStr">
        <is>
          <t/>
        </is>
      </c>
      <c r="Q941" s="25" t="inlineStr">
        <is>
          <t/>
        </is>
      </c>
      <c r="R941" s="113">
        <f>HYPERLINK("https://my.pitchbook.com?c=95525-29", "View company online")</f>
      </c>
    </row>
    <row r="942">
      <c r="A942" s="27" t="inlineStr">
        <is>
          <t>166062-97</t>
        </is>
      </c>
      <c r="B942" s="28" t="inlineStr">
        <is>
          <t>Synocate</t>
        </is>
      </c>
      <c r="C942" s="29" t="inlineStr">
        <is>
          <t>94305</t>
        </is>
      </c>
      <c r="D942" s="30" t="inlineStr">
        <is>
          <t>Provider of an online platform to navigate the college admissions process. The company's platform provides recommendations and helps high school students to build an all-round application to increase their chances of admission into top universities.</t>
        </is>
      </c>
      <c r="E942" s="31" t="inlineStr">
        <is>
          <t>Educational and Training Services (B2C)</t>
        </is>
      </c>
      <c r="F942" s="32" t="inlineStr">
        <is>
          <t>Palo Alto, CA</t>
        </is>
      </c>
      <c r="G942" s="33" t="inlineStr">
        <is>
          <t>Privately Held (backing)</t>
        </is>
      </c>
      <c r="H942" s="34" t="inlineStr">
        <is>
          <t>Accelerator/Incubator Backed</t>
        </is>
      </c>
      <c r="I942" s="35" t="inlineStr">
        <is>
          <t>Pear Ventures</t>
        </is>
      </c>
      <c r="J942" s="36" t="inlineStr">
        <is>
          <t>www.synocate.com</t>
        </is>
      </c>
      <c r="K942" s="37" t="inlineStr">
        <is>
          <t>admin@synocate.com</t>
        </is>
      </c>
      <c r="L942" s="38" t="inlineStr">
        <is>
          <t>+1 (800) 491-6920</t>
        </is>
      </c>
      <c r="M942" s="39" t="inlineStr">
        <is>
          <t>Conner Jevning</t>
        </is>
      </c>
      <c r="N942" s="40" t="inlineStr">
        <is>
          <t>Co-Founder &amp; Chief Technology Officer</t>
        </is>
      </c>
      <c r="O942" s="41" t="inlineStr">
        <is>
          <t>conner@synocate.com</t>
        </is>
      </c>
      <c r="P942" s="42" t="inlineStr">
        <is>
          <t>+1 (800) 491-6920</t>
        </is>
      </c>
      <c r="Q942" s="43" t="n">
        <v>2009.0</v>
      </c>
      <c r="R942" s="114">
        <f>HYPERLINK("https://my.pitchbook.com?c=166062-97", "View company online")</f>
      </c>
    </row>
    <row r="943">
      <c r="A943" s="9" t="inlineStr">
        <is>
          <t>151182-73</t>
        </is>
      </c>
      <c r="B943" s="10" t="inlineStr">
        <is>
          <t>SynGest</t>
        </is>
      </c>
      <c r="C943" s="11" t="inlineStr">
        <is>
          <t>94133</t>
        </is>
      </c>
      <c r="D943" s="12" t="inlineStr">
        <is>
          <t>Provider of strategic fuel and fertilizer. The company offers renewable energy from feedstocks and crop wastes.</t>
        </is>
      </c>
      <c r="E943" s="13" t="inlineStr">
        <is>
          <t>Energy Production</t>
        </is>
      </c>
      <c r="F943" s="14" t="inlineStr">
        <is>
          <t>San Francisco, CA</t>
        </is>
      </c>
      <c r="G943" s="15" t="inlineStr">
        <is>
          <t>Privately Held (backing)</t>
        </is>
      </c>
      <c r="H943" s="16" t="inlineStr">
        <is>
          <t>Angel-Backed</t>
        </is>
      </c>
      <c r="I943" s="17" t="inlineStr">
        <is>
          <t/>
        </is>
      </c>
      <c r="J943" s="18" t="inlineStr">
        <is>
          <t>www.syngest.com</t>
        </is>
      </c>
      <c r="K943" s="19" t="inlineStr">
        <is>
          <t>info@syngest.com</t>
        </is>
      </c>
      <c r="L943" s="20" t="inlineStr">
        <is>
          <t>+1 (415) 986-8300</t>
        </is>
      </c>
      <c r="M943" s="21" t="inlineStr">
        <is>
          <t>Ravi Randhava</t>
        </is>
      </c>
      <c r="N943" s="22" t="inlineStr">
        <is>
          <t>Chief Technology Officer</t>
        </is>
      </c>
      <c r="O943" s="23" t="inlineStr">
        <is>
          <t>rrandhava@syngest.com</t>
        </is>
      </c>
      <c r="P943" s="24" t="inlineStr">
        <is>
          <t>+1 (415) 986-8300</t>
        </is>
      </c>
      <c r="Q943" s="25" t="n">
        <v>2008.0</v>
      </c>
      <c r="R943" s="113">
        <f>HYPERLINK("https://my.pitchbook.com?c=151182-73", "View company online")</f>
      </c>
    </row>
    <row r="944">
      <c r="A944" s="27" t="inlineStr">
        <is>
          <t>66015-01</t>
        </is>
      </c>
      <c r="B944" s="28" t="inlineStr">
        <is>
          <t>Synedgen</t>
        </is>
      </c>
      <c r="C944" s="29" t="inlineStr">
        <is>
          <t>91711</t>
        </is>
      </c>
      <c r="D944" s="30" t="inlineStr">
        <is>
          <t>Developer and provider of life saving products and therapy. The company develops life-saving products and therapies that encourage wound healing, reduce complications of tissue damage and inflammation, prevent infection by drug-resistant bacteria and remove the biofilms in which they thrive.</t>
        </is>
      </c>
      <c r="E944" s="31" t="inlineStr">
        <is>
          <t>Other Devices and Supplies</t>
        </is>
      </c>
      <c r="F944" s="32" t="inlineStr">
        <is>
          <t>Claremont, CA</t>
        </is>
      </c>
      <c r="G944" s="33" t="inlineStr">
        <is>
          <t>Privately Held (backing)</t>
        </is>
      </c>
      <c r="H944" s="34" t="inlineStr">
        <is>
          <t>Angel-Backed</t>
        </is>
      </c>
      <c r="I944" s="35" t="inlineStr">
        <is>
          <t/>
        </is>
      </c>
      <c r="J944" s="36" t="inlineStr">
        <is>
          <t>www.synedgen.com</t>
        </is>
      </c>
      <c r="K944" s="37" t="inlineStr">
        <is>
          <t>info@synedgen.com</t>
        </is>
      </c>
      <c r="L944" s="38" t="inlineStr">
        <is>
          <t/>
        </is>
      </c>
      <c r="M944" s="39" t="inlineStr">
        <is>
          <t>William Wiesmann</t>
        </is>
      </c>
      <c r="N944" s="40" t="inlineStr">
        <is>
          <t>Co-Founder, Chief Executive Officer &amp; Chairman</t>
        </is>
      </c>
      <c r="O944" s="41" t="inlineStr">
        <is>
          <t>ww@synedgen.com</t>
        </is>
      </c>
      <c r="P944" s="42" t="inlineStr">
        <is>
          <t/>
        </is>
      </c>
      <c r="Q944" s="43" t="n">
        <v>2009.0</v>
      </c>
      <c r="R944" s="114">
        <f>HYPERLINK("https://my.pitchbook.com?c=66015-01", "View company online")</f>
      </c>
    </row>
    <row r="945">
      <c r="A945" s="9" t="inlineStr">
        <is>
          <t>93904-66</t>
        </is>
      </c>
      <c r="B945" s="10" t="inlineStr">
        <is>
          <t>Synchronicity.co</t>
        </is>
      </c>
      <c r="C945" s="11" t="inlineStr">
        <is>
          <t>90066</t>
        </is>
      </c>
      <c r="D945" s="12" t="inlineStr">
        <is>
          <t>Developer of a distribution platform for the broadcasting industry. The company offers help in different aspects of production and distribution of radio programming and advertising.</t>
        </is>
      </c>
      <c r="E945" s="13" t="inlineStr">
        <is>
          <t>Media and Information Services (B2B)</t>
        </is>
      </c>
      <c r="F945" s="14" t="inlineStr">
        <is>
          <t>Los Angeles, CA</t>
        </is>
      </c>
      <c r="G945" s="15" t="inlineStr">
        <is>
          <t>Privately Held (backing)</t>
        </is>
      </c>
      <c r="H945" s="16" t="inlineStr">
        <is>
          <t>Angel-Backed</t>
        </is>
      </c>
      <c r="I945" s="17" t="inlineStr">
        <is>
          <t>Scott Davison</t>
        </is>
      </c>
      <c r="J945" s="18" t="inlineStr">
        <is>
          <t>www.synchronicity.co</t>
        </is>
      </c>
      <c r="K945" s="19" t="inlineStr">
        <is>
          <t>new@synchronicity.co</t>
        </is>
      </c>
      <c r="L945" s="20" t="inlineStr">
        <is>
          <t>+1 (888) 420-7590</t>
        </is>
      </c>
      <c r="M945" s="21" t="inlineStr">
        <is>
          <t>Robin Solis</t>
        </is>
      </c>
      <c r="N945" s="22" t="inlineStr">
        <is>
          <t>Co-Founder</t>
        </is>
      </c>
      <c r="O945" s="23" t="inlineStr">
        <is>
          <t>robin@synchronicity.co</t>
        </is>
      </c>
      <c r="P945" s="24" t="inlineStr">
        <is>
          <t>+1 (888) 420-7590</t>
        </is>
      </c>
      <c r="Q945" s="25" t="n">
        <v>2011.0</v>
      </c>
      <c r="R945" s="113">
        <f>HYPERLINK("https://my.pitchbook.com?c=93904-66", "View company online")</f>
      </c>
    </row>
    <row r="946">
      <c r="A946" s="27" t="inlineStr">
        <is>
          <t>143904-34</t>
        </is>
      </c>
      <c r="B946" s="28" t="inlineStr">
        <is>
          <t>Sync Think</t>
        </is>
      </c>
      <c r="C946" s="29" t="inlineStr">
        <is>
          <t>02114</t>
        </is>
      </c>
      <c r="D946" s="30" t="inlineStr">
        <is>
          <t>Developer of eye-tracking metrics and devices. The company specializes in developing eye-tracking metrics and devices that uses virtual reality to assess abnormal eye movement.</t>
        </is>
      </c>
      <c r="E946" s="31" t="inlineStr">
        <is>
          <t>Monitoring Equipment</t>
        </is>
      </c>
      <c r="F946" s="32" t="inlineStr">
        <is>
          <t>Boston, MA</t>
        </is>
      </c>
      <c r="G946" s="33" t="inlineStr">
        <is>
          <t>Privately Held (backing)</t>
        </is>
      </c>
      <c r="H946" s="34" t="inlineStr">
        <is>
          <t>Accelerator/Incubator Backed</t>
        </is>
      </c>
      <c r="I946" s="35" t="inlineStr">
        <is>
          <t>MassChallenge, United States Department of Defense</t>
        </is>
      </c>
      <c r="J946" s="36" t="inlineStr">
        <is>
          <t>www.syncthink.com</t>
        </is>
      </c>
      <c r="K946" s="37" t="inlineStr">
        <is>
          <t>info@syncthink.com</t>
        </is>
      </c>
      <c r="L946" s="38" t="inlineStr">
        <is>
          <t>+1 (617) 221-3517</t>
        </is>
      </c>
      <c r="M946" s="39" t="inlineStr">
        <is>
          <t>Ernest Santin</t>
        </is>
      </c>
      <c r="N946" s="40" t="inlineStr">
        <is>
          <t>Chief Executive Officer</t>
        </is>
      </c>
      <c r="O946" s="41" t="inlineStr">
        <is>
          <t/>
        </is>
      </c>
      <c r="P946" s="42" t="inlineStr">
        <is>
          <t>+1 (617) 221-3517</t>
        </is>
      </c>
      <c r="Q946" s="43" t="n">
        <v>2008.0</v>
      </c>
      <c r="R946" s="114">
        <f>HYPERLINK("https://my.pitchbook.com?c=143904-34", "View company online")</f>
      </c>
    </row>
    <row r="947">
      <c r="A947" s="9" t="inlineStr">
        <is>
          <t>163080-01</t>
        </is>
      </c>
      <c r="B947" s="10" t="inlineStr">
        <is>
          <t>Synapse AI</t>
        </is>
      </c>
      <c r="C947" s="11" t="inlineStr">
        <is>
          <t>94306</t>
        </is>
      </c>
      <c r="D947" s="12" t="inlineStr">
        <is>
          <t>Provider of an enterprise mobility platform. The company offers a platform which uses machine learning and voice recognition to offer voice features to mobile professionals.</t>
        </is>
      </c>
      <c r="E947" s="13" t="inlineStr">
        <is>
          <t>Social/Platform Software</t>
        </is>
      </c>
      <c r="F947" s="14" t="inlineStr">
        <is>
          <t>Palo Alto, CA</t>
        </is>
      </c>
      <c r="G947" s="15" t="inlineStr">
        <is>
          <t>Privately Held (backing)</t>
        </is>
      </c>
      <c r="H947" s="16" t="inlineStr">
        <is>
          <t>Accelerator/Incubator Backed</t>
        </is>
      </c>
      <c r="I947" s="17" t="inlineStr">
        <is>
          <t>StartX</t>
        </is>
      </c>
      <c r="J947" s="18" t="inlineStr">
        <is>
          <t>www.synapse-ai.com</t>
        </is>
      </c>
      <c r="K947" s="19" t="inlineStr">
        <is>
          <t/>
        </is>
      </c>
      <c r="L947" s="20" t="inlineStr">
        <is>
          <t/>
        </is>
      </c>
      <c r="M947" s="21" t="inlineStr">
        <is>
          <t>Abdulrahman Sahmoud</t>
        </is>
      </c>
      <c r="N947" s="22" t="inlineStr">
        <is>
          <t>Software Developer</t>
        </is>
      </c>
      <c r="O947" s="23" t="inlineStr">
        <is>
          <t/>
        </is>
      </c>
      <c r="P947" s="24" t="inlineStr">
        <is>
          <t/>
        </is>
      </c>
      <c r="Q947" s="25" t="inlineStr">
        <is>
          <t/>
        </is>
      </c>
      <c r="R947" s="113">
        <f>HYPERLINK("https://my.pitchbook.com?c=163080-01", "View company online")</f>
      </c>
    </row>
    <row r="948">
      <c r="A948" s="27" t="inlineStr">
        <is>
          <t>90463-24</t>
        </is>
      </c>
      <c r="B948" s="28" t="inlineStr">
        <is>
          <t>SyMynd</t>
        </is>
      </c>
      <c r="C948" s="29" t="inlineStr">
        <is>
          <t>94085</t>
        </is>
      </c>
      <c r="D948" s="30" t="inlineStr">
        <is>
          <t>Provider of an online education platform. The company's platform enables everyone to access higher and professional education from leading universities and publishers.</t>
        </is>
      </c>
      <c r="E948" s="31" t="inlineStr">
        <is>
          <t>Educational Software</t>
        </is>
      </c>
      <c r="F948" s="32" t="inlineStr">
        <is>
          <t>Sunnyvale, CA</t>
        </is>
      </c>
      <c r="G948" s="33" t="inlineStr">
        <is>
          <t>Privately Held (backing)</t>
        </is>
      </c>
      <c r="H948" s="34" t="inlineStr">
        <is>
          <t>Accelerator/Incubator Backed</t>
        </is>
      </c>
      <c r="I948" s="35" t="inlineStr">
        <is>
          <t>Plug and Play Tech Center</t>
        </is>
      </c>
      <c r="J948" s="36" t="inlineStr">
        <is>
          <t>www.symynd.com</t>
        </is>
      </c>
      <c r="K948" s="37" t="inlineStr">
        <is>
          <t/>
        </is>
      </c>
      <c r="L948" s="38" t="inlineStr">
        <is>
          <t/>
        </is>
      </c>
      <c r="M948" s="39" t="inlineStr">
        <is>
          <t/>
        </is>
      </c>
      <c r="N948" s="40" t="inlineStr">
        <is>
          <t/>
        </is>
      </c>
      <c r="O948" s="41" t="inlineStr">
        <is>
          <t/>
        </is>
      </c>
      <c r="P948" s="42" t="inlineStr">
        <is>
          <t/>
        </is>
      </c>
      <c r="Q948" s="43" t="n">
        <v>2011.0</v>
      </c>
      <c r="R948" s="114">
        <f>HYPERLINK("https://my.pitchbook.com?c=90463-24", "View company online")</f>
      </c>
    </row>
    <row r="949">
      <c r="A949" s="9" t="inlineStr">
        <is>
          <t>155654-47</t>
        </is>
      </c>
      <c r="B949" s="10" t="inlineStr">
        <is>
          <t>Symple Surgical</t>
        </is>
      </c>
      <c r="C949" s="11" t="inlineStr">
        <is>
          <t>94025</t>
        </is>
      </c>
      <c r="D949" s="12" t="inlineStr">
        <is>
          <t>Owner and operator of a medical device company. The company designs and develops a therapeutic microwave energy device for renal sympathetic denervation to modulate and monitor hyperactive sympathetic nerve signals.</t>
        </is>
      </c>
      <c r="E949" s="13" t="inlineStr">
        <is>
          <t>Therapeutic Devices</t>
        </is>
      </c>
      <c r="F949" s="14" t="inlineStr">
        <is>
          <t>Menlo Park, CA</t>
        </is>
      </c>
      <c r="G949" s="15" t="inlineStr">
        <is>
          <t>Privately Held (backing)</t>
        </is>
      </c>
      <c r="H949" s="16" t="inlineStr">
        <is>
          <t>Angel-Backed</t>
        </is>
      </c>
      <c r="I949" s="17" t="inlineStr">
        <is>
          <t>Flinn Foundation</t>
        </is>
      </c>
      <c r="J949" s="18" t="inlineStr">
        <is>
          <t>www.symplesurgical.com</t>
        </is>
      </c>
      <c r="K949" s="19" t="inlineStr">
        <is>
          <t/>
        </is>
      </c>
      <c r="L949" s="20" t="inlineStr">
        <is>
          <t/>
        </is>
      </c>
      <c r="M949" s="21" t="inlineStr">
        <is>
          <t>Randy Preston</t>
        </is>
      </c>
      <c r="N949" s="22" t="inlineStr">
        <is>
          <t>Co-Founder &amp; Chief Operating Officer</t>
        </is>
      </c>
      <c r="O949" s="23" t="inlineStr">
        <is>
          <t/>
        </is>
      </c>
      <c r="P949" s="24" t="inlineStr">
        <is>
          <t/>
        </is>
      </c>
      <c r="Q949" s="25" t="n">
        <v>2012.0</v>
      </c>
      <c r="R949" s="113">
        <f>HYPERLINK("https://my.pitchbook.com?c=155654-47", "View company online")</f>
      </c>
    </row>
    <row r="950">
      <c r="A950" s="27" t="inlineStr">
        <is>
          <t>170349-22</t>
        </is>
      </c>
      <c r="B950" s="28" t="inlineStr">
        <is>
          <t>Symple (payments platform)</t>
        </is>
      </c>
      <c r="C950" s="29" t="inlineStr">
        <is>
          <t/>
        </is>
      </c>
      <c r="D950" s="30" t="inlineStr">
        <is>
          <t>Provider of an online platform designed to track invoices and manage business payments. The company's online platform digitizes all paper invoices, sends and tracks invoices online by capturing a screenshot of online payment records and sending them directly to user's mobile phones whenever a payment is received or made, enabling businesses and retail vendors to keep a track of all invoices, follow up customers and manage secured online payments.</t>
        </is>
      </c>
      <c r="E950" s="31" t="inlineStr">
        <is>
          <t>Application Software</t>
        </is>
      </c>
      <c r="F950" s="32" t="inlineStr">
        <is>
          <t>San Francisco, CA</t>
        </is>
      </c>
      <c r="G950" s="33" t="inlineStr">
        <is>
          <t>Privately Held (backing)</t>
        </is>
      </c>
      <c r="H950" s="34" t="inlineStr">
        <is>
          <t>Accelerator/Incubator Backed</t>
        </is>
      </c>
      <c r="I950" s="35" t="inlineStr">
        <is>
          <t>Y Combinator</t>
        </is>
      </c>
      <c r="J950" s="36" t="inlineStr">
        <is>
          <t>www.getsymple.com</t>
        </is>
      </c>
      <c r="K950" s="37" t="inlineStr">
        <is>
          <t/>
        </is>
      </c>
      <c r="L950" s="38" t="inlineStr">
        <is>
          <t/>
        </is>
      </c>
      <c r="M950" s="39" t="inlineStr">
        <is>
          <t>Steven Abraham</t>
        </is>
      </c>
      <c r="N950" s="40" t="inlineStr">
        <is>
          <t>Co-Founder</t>
        </is>
      </c>
      <c r="O950" s="41" t="inlineStr">
        <is>
          <t>steve@getsymple.com</t>
        </is>
      </c>
      <c r="P950" s="42" t="inlineStr">
        <is>
          <t/>
        </is>
      </c>
      <c r="Q950" s="43" t="inlineStr">
        <is>
          <t/>
        </is>
      </c>
      <c r="R950" s="114">
        <f>HYPERLINK("https://my.pitchbook.com?c=170349-22", "View company online")</f>
      </c>
    </row>
    <row r="951">
      <c r="A951" s="9" t="inlineStr">
        <is>
          <t>113457-97</t>
        </is>
      </c>
      <c r="B951" s="10" t="inlineStr">
        <is>
          <t>Symmpl</t>
        </is>
      </c>
      <c r="C951" s="85">
        <f>HYPERLINK("https://my.pitchbook.com?rrp=113457-97&amp;type=c", "This Company's information is not available to download. Need this Company? Request availability")</f>
      </c>
      <c r="D951" s="12" t="inlineStr">
        <is>
          <t/>
        </is>
      </c>
      <c r="E951" s="13" t="inlineStr">
        <is>
          <t/>
        </is>
      </c>
      <c r="F951" s="14" t="inlineStr">
        <is>
          <t/>
        </is>
      </c>
      <c r="G951" s="15" t="inlineStr">
        <is>
          <t/>
        </is>
      </c>
      <c r="H951" s="16" t="inlineStr">
        <is>
          <t/>
        </is>
      </c>
      <c r="I951" s="17" t="inlineStr">
        <is>
          <t/>
        </is>
      </c>
      <c r="J951" s="18" t="inlineStr">
        <is>
          <t/>
        </is>
      </c>
      <c r="K951" s="19" t="inlineStr">
        <is>
          <t/>
        </is>
      </c>
      <c r="L951" s="20" t="inlineStr">
        <is>
          <t/>
        </is>
      </c>
      <c r="M951" s="21" t="inlineStr">
        <is>
          <t/>
        </is>
      </c>
      <c r="N951" s="22" t="inlineStr">
        <is>
          <t/>
        </is>
      </c>
      <c r="O951" s="23" t="inlineStr">
        <is>
          <t/>
        </is>
      </c>
      <c r="P951" s="24" t="inlineStr">
        <is>
          <t/>
        </is>
      </c>
      <c r="Q951" s="25" t="inlineStr">
        <is>
          <t/>
        </is>
      </c>
      <c r="R951" s="26" t="inlineStr">
        <is>
          <t/>
        </is>
      </c>
    </row>
    <row r="952">
      <c r="A952" s="27" t="inlineStr">
        <is>
          <t>99614-71</t>
        </is>
      </c>
      <c r="B952" s="28" t="inlineStr">
        <is>
          <t>SymbiOx</t>
        </is>
      </c>
      <c r="C952" s="29" t="inlineStr">
        <is>
          <t>92037</t>
        </is>
      </c>
      <c r="D952" s="30" t="inlineStr">
        <is>
          <t>Developer of a photosynthetic scaffold technology. The company develops a photosynthetic scaffold technology called SymbiO-Derm that provides physicians with tools for the treatment, unctional restoration and healing of damaged and diseased tissues.</t>
        </is>
      </c>
      <c r="E952" s="31" t="inlineStr">
        <is>
          <t>Biotechnology</t>
        </is>
      </c>
      <c r="F952" s="32" t="inlineStr">
        <is>
          <t>San Diego, CA</t>
        </is>
      </c>
      <c r="G952" s="33" t="inlineStr">
        <is>
          <t>Privately Held (backing)</t>
        </is>
      </c>
      <c r="H952" s="34" t="inlineStr">
        <is>
          <t>Accelerator/Incubator Backed</t>
        </is>
      </c>
      <c r="I952" s="35" t="inlineStr">
        <is>
          <t>Georgia Tech VentureLab, StartR</t>
        </is>
      </c>
      <c r="J952" s="36" t="inlineStr">
        <is>
          <t>weww.symbiox.org</t>
        </is>
      </c>
      <c r="K952" s="37" t="inlineStr">
        <is>
          <t/>
        </is>
      </c>
      <c r="L952" s="38" t="inlineStr">
        <is>
          <t/>
        </is>
      </c>
      <c r="M952" s="39" t="inlineStr">
        <is>
          <t>Anil Sadarangani</t>
        </is>
      </c>
      <c r="N952" s="40" t="inlineStr">
        <is>
          <t>Co-Founder &amp; Vice President of Business Development</t>
        </is>
      </c>
      <c r="O952" s="41" t="inlineStr">
        <is>
          <t>anil.sadarangani@symbiox.org</t>
        </is>
      </c>
      <c r="P952" s="42" t="inlineStr">
        <is>
          <t/>
        </is>
      </c>
      <c r="Q952" s="43" t="inlineStr">
        <is>
          <t/>
        </is>
      </c>
      <c r="R952" s="114">
        <f>HYPERLINK("https://my.pitchbook.com?c=99614-71", "View company online")</f>
      </c>
    </row>
    <row r="953">
      <c r="A953" s="9" t="inlineStr">
        <is>
          <t>110508-31</t>
        </is>
      </c>
      <c r="B953" s="10" t="inlineStr">
        <is>
          <t>Symbio Robotics</t>
        </is>
      </c>
      <c r="C953" s="11" t="inlineStr">
        <is>
          <t/>
        </is>
      </c>
      <c r="D953" s="12" t="inlineStr">
        <is>
          <t>Provider of a platform for distributed robotic systems. The company creates UAS platforms for immersive and intuitive control applications.</t>
        </is>
      </c>
      <c r="E953" s="13" t="inlineStr">
        <is>
          <t>Other Commercial Products</t>
        </is>
      </c>
      <c r="F953" s="14" t="inlineStr">
        <is>
          <t>Los Angeles, CA</t>
        </is>
      </c>
      <c r="G953" s="15" t="inlineStr">
        <is>
          <t>Privately Held (backing)</t>
        </is>
      </c>
      <c r="H953" s="16" t="inlineStr">
        <is>
          <t>Accelerator/Incubator Backed</t>
        </is>
      </c>
      <c r="I953" s="17" t="inlineStr">
        <is>
          <t>Founder.org, Skydeck | Berkeley</t>
        </is>
      </c>
      <c r="J953" s="18" t="inlineStr">
        <is>
          <t>www.symbiorobotics.com</t>
        </is>
      </c>
      <c r="K953" s="19" t="inlineStr">
        <is>
          <t>info@symbiorobotics.com</t>
        </is>
      </c>
      <c r="L953" s="20" t="inlineStr">
        <is>
          <t/>
        </is>
      </c>
      <c r="M953" s="21" t="inlineStr">
        <is>
          <t>Maxwell Reynolds</t>
        </is>
      </c>
      <c r="N953" s="22" t="inlineStr">
        <is>
          <t>Co-Founder &amp; Chief Executive Officer</t>
        </is>
      </c>
      <c r="O953" s="23" t="inlineStr">
        <is>
          <t>max@symbiorobotics.com</t>
        </is>
      </c>
      <c r="P953" s="24" t="inlineStr">
        <is>
          <t/>
        </is>
      </c>
      <c r="Q953" s="25" t="n">
        <v>2014.0</v>
      </c>
      <c r="R953" s="113">
        <f>HYPERLINK("https://my.pitchbook.com?c=110508-31", "View company online")</f>
      </c>
    </row>
    <row r="954">
      <c r="A954" s="27" t="inlineStr">
        <is>
          <t>88730-92</t>
        </is>
      </c>
      <c r="B954" s="28" t="inlineStr">
        <is>
          <t>Sylvan Source</t>
        </is>
      </c>
      <c r="C954" s="29" t="inlineStr">
        <is>
          <t>94070</t>
        </is>
      </c>
      <c r="D954" s="30" t="inlineStr">
        <is>
          <t>Provider of water treatment services. The company offers water purification technologies that eliminates chemicals, filters and membranes to assure water quality for residential and industrial use.</t>
        </is>
      </c>
      <c r="E954" s="31" t="inlineStr">
        <is>
          <t>Other Commercial Services</t>
        </is>
      </c>
      <c r="F954" s="32" t="inlineStr">
        <is>
          <t>San Carlos, CA</t>
        </is>
      </c>
      <c r="G954" s="33" t="inlineStr">
        <is>
          <t>Privately Held (backing)</t>
        </is>
      </c>
      <c r="H954" s="34" t="inlineStr">
        <is>
          <t>Angel-Backed</t>
        </is>
      </c>
      <c r="I954" s="35" t="inlineStr">
        <is>
          <t>Jim Simmons, Robert Frankenberg</t>
        </is>
      </c>
      <c r="J954" s="36" t="inlineStr">
        <is>
          <t>www.sylvansource.com</t>
        </is>
      </c>
      <c r="K954" s="37" t="inlineStr">
        <is>
          <t>info@sylvansource.com</t>
        </is>
      </c>
      <c r="L954" s="38" t="inlineStr">
        <is>
          <t>+1 (650) 594-1420</t>
        </is>
      </c>
      <c r="M954" s="39" t="inlineStr">
        <is>
          <t>Laura Demmons</t>
        </is>
      </c>
      <c r="N954" s="40" t="inlineStr">
        <is>
          <t>Founder, Chairman &amp; Chief Executive Officer</t>
        </is>
      </c>
      <c r="O954" s="41" t="inlineStr">
        <is>
          <t>ldemmons@sylvansource.com</t>
        </is>
      </c>
      <c r="P954" s="42" t="inlineStr">
        <is>
          <t>+1 (650) 594-1420</t>
        </is>
      </c>
      <c r="Q954" s="43" t="n">
        <v>2003.0</v>
      </c>
      <c r="R954" s="114">
        <f>HYPERLINK("https://my.pitchbook.com?c=88730-92", "View company online")</f>
      </c>
    </row>
    <row r="955">
      <c r="A955" s="9" t="inlineStr">
        <is>
          <t>127241-47</t>
        </is>
      </c>
      <c r="B955" s="10" t="inlineStr">
        <is>
          <t>Syllabliss</t>
        </is>
      </c>
      <c r="C955" s="11" t="inlineStr">
        <is>
          <t/>
        </is>
      </c>
      <c r="D955" s="12" t="inlineStr">
        <is>
          <t>Developer of application software for communication. The company's application helps students to create, edit and manage schedules through email communications. It can be accessible from mobile devices, tablet and computers.</t>
        </is>
      </c>
      <c r="E955" s="13" t="inlineStr">
        <is>
          <t>Application Software</t>
        </is>
      </c>
      <c r="F955" s="14" t="inlineStr">
        <is>
          <t>CA</t>
        </is>
      </c>
      <c r="G955" s="15" t="inlineStr">
        <is>
          <t>Privately Held (backing)</t>
        </is>
      </c>
      <c r="H955" s="16" t="inlineStr">
        <is>
          <t>Accelerator/Incubator Backed</t>
        </is>
      </c>
      <c r="I955" s="17" t="inlineStr">
        <is>
          <t>Chicostart</t>
        </is>
      </c>
      <c r="J955" s="18" t="inlineStr">
        <is>
          <t/>
        </is>
      </c>
      <c r="K955" s="19" t="inlineStr">
        <is>
          <t/>
        </is>
      </c>
      <c r="L955" s="20" t="inlineStr">
        <is>
          <t/>
        </is>
      </c>
      <c r="M955" s="21" t="inlineStr">
        <is>
          <t/>
        </is>
      </c>
      <c r="N955" s="22" t="inlineStr">
        <is>
          <t/>
        </is>
      </c>
      <c r="O955" s="23" t="inlineStr">
        <is>
          <t/>
        </is>
      </c>
      <c r="P955" s="24" t="inlineStr">
        <is>
          <t/>
        </is>
      </c>
      <c r="Q955" s="25" t="inlineStr">
        <is>
          <t/>
        </is>
      </c>
      <c r="R955" s="113">
        <f>HYPERLINK("https://my.pitchbook.com?c=127241-47", "View company online")</f>
      </c>
    </row>
    <row r="956">
      <c r="A956" s="27" t="inlineStr">
        <is>
          <t>172622-71</t>
        </is>
      </c>
      <c r="B956" s="28" t="inlineStr">
        <is>
          <t>Syllable</t>
        </is>
      </c>
      <c r="C956" s="86">
        <f>HYPERLINK("https://my.pitchbook.com?rrp=172622-71&amp;type=c", "This Company's information is not available to download. Need this Company? Request availability")</f>
      </c>
      <c r="D956" s="30" t="inlineStr">
        <is>
          <t/>
        </is>
      </c>
      <c r="E956" s="31" t="inlineStr">
        <is>
          <t/>
        </is>
      </c>
      <c r="F956" s="32" t="inlineStr">
        <is>
          <t/>
        </is>
      </c>
      <c r="G956" s="33" t="inlineStr">
        <is>
          <t/>
        </is>
      </c>
      <c r="H956" s="34" t="inlineStr">
        <is>
          <t/>
        </is>
      </c>
      <c r="I956" s="35" t="inlineStr">
        <is>
          <t/>
        </is>
      </c>
      <c r="J956" s="36" t="inlineStr">
        <is>
          <t/>
        </is>
      </c>
      <c r="K956" s="37" t="inlineStr">
        <is>
          <t/>
        </is>
      </c>
      <c r="L956" s="38" t="inlineStr">
        <is>
          <t/>
        </is>
      </c>
      <c r="M956" s="39" t="inlineStr">
        <is>
          <t/>
        </is>
      </c>
      <c r="N956" s="40" t="inlineStr">
        <is>
          <t/>
        </is>
      </c>
      <c r="O956" s="41" t="inlineStr">
        <is>
          <t/>
        </is>
      </c>
      <c r="P956" s="42" t="inlineStr">
        <is>
          <t/>
        </is>
      </c>
      <c r="Q956" s="43" t="inlineStr">
        <is>
          <t/>
        </is>
      </c>
      <c r="R956" s="44" t="inlineStr">
        <is>
          <t/>
        </is>
      </c>
    </row>
    <row r="957">
      <c r="A957" s="9" t="inlineStr">
        <is>
          <t>178893-19</t>
        </is>
      </c>
      <c r="B957" s="10" t="inlineStr">
        <is>
          <t>Sycamore (On-Demand Jobs)</t>
        </is>
      </c>
      <c r="C957" s="11" t="inlineStr">
        <is>
          <t/>
        </is>
      </c>
      <c r="D957" s="12" t="inlineStr">
        <is>
          <t>Provider of an onboarding drivers for on-demand jobs. The company is currently operating in Stealth mode.</t>
        </is>
      </c>
      <c r="E957" s="13" t="inlineStr">
        <is>
          <t>Other Consumer Products and Services</t>
        </is>
      </c>
      <c r="F957" s="14" t="inlineStr">
        <is>
          <t>CA</t>
        </is>
      </c>
      <c r="G957" s="15" t="inlineStr">
        <is>
          <t>Privately Held (backing)</t>
        </is>
      </c>
      <c r="H957" s="16" t="inlineStr">
        <is>
          <t>Accelerator/Incubator Backed</t>
        </is>
      </c>
      <c r="I957" s="17" t="inlineStr">
        <is>
          <t>Y Combinator</t>
        </is>
      </c>
      <c r="J957" s="18" t="inlineStr">
        <is>
          <t>www.mysycamore.com</t>
        </is>
      </c>
      <c r="K957" s="19" t="inlineStr">
        <is>
          <t/>
        </is>
      </c>
      <c r="L957" s="20" t="inlineStr">
        <is>
          <t/>
        </is>
      </c>
      <c r="M957" s="21" t="inlineStr">
        <is>
          <t/>
        </is>
      </c>
      <c r="N957" s="22" t="inlineStr">
        <is>
          <t/>
        </is>
      </c>
      <c r="O957" s="23" t="inlineStr">
        <is>
          <t/>
        </is>
      </c>
      <c r="P957" s="24" t="inlineStr">
        <is>
          <t/>
        </is>
      </c>
      <c r="Q957" s="25" t="n">
        <v>2017.0</v>
      </c>
      <c r="R957" s="113">
        <f>HYPERLINK("https://my.pitchbook.com?c=178893-19", "View company online")</f>
      </c>
    </row>
    <row r="958">
      <c r="A958" s="27" t="inlineStr">
        <is>
          <t>152042-77</t>
        </is>
      </c>
      <c r="B958" s="28" t="inlineStr">
        <is>
          <t>Sybrillo</t>
        </is>
      </c>
      <c r="C958" s="29" t="inlineStr">
        <is>
          <t>94063</t>
        </is>
      </c>
      <c r="D958" s="30" t="inlineStr">
        <is>
          <t>Manufacturer of a camera stabilizer. The company manufactures remote controlled camera stabilizer for stable video recording.</t>
        </is>
      </c>
      <c r="E958" s="31" t="inlineStr">
        <is>
          <t>Electronics (B2C)</t>
        </is>
      </c>
      <c r="F958" s="32" t="inlineStr">
        <is>
          <t>Redwood City, CA</t>
        </is>
      </c>
      <c r="G958" s="33" t="inlineStr">
        <is>
          <t>Privately Held (backing)</t>
        </is>
      </c>
      <c r="H958" s="34" t="inlineStr">
        <is>
          <t>Angel-Backed</t>
        </is>
      </c>
      <c r="I958" s="35" t="inlineStr">
        <is>
          <t>Baconsult</t>
        </is>
      </c>
      <c r="J958" s="36" t="inlineStr">
        <is>
          <t>www.sybrillo.com</t>
        </is>
      </c>
      <c r="K958" s="37" t="inlineStr">
        <is>
          <t>info@sybrillo.com</t>
        </is>
      </c>
      <c r="L958" s="38" t="inlineStr">
        <is>
          <t/>
        </is>
      </c>
      <c r="M958" s="39" t="inlineStr">
        <is>
          <t>Dávid Mankovics</t>
        </is>
      </c>
      <c r="N958" s="40" t="inlineStr">
        <is>
          <t>Chief Executive Officer and Co-Founder</t>
        </is>
      </c>
      <c r="O958" s="41" t="inlineStr">
        <is>
          <t>david@sybrillo.com</t>
        </is>
      </c>
      <c r="P958" s="42" t="inlineStr">
        <is>
          <t/>
        </is>
      </c>
      <c r="Q958" s="43" t="n">
        <v>2014.0</v>
      </c>
      <c r="R958" s="114">
        <f>HYPERLINK("https://my.pitchbook.com?c=152042-77", "View company online")</f>
      </c>
    </row>
    <row r="959">
      <c r="A959" s="9" t="inlineStr">
        <is>
          <t>166859-65</t>
        </is>
      </c>
      <c r="B959" s="10" t="inlineStr">
        <is>
          <t>SwoopMe</t>
        </is>
      </c>
      <c r="C959" s="11" t="inlineStr">
        <is>
          <t>94133</t>
        </is>
      </c>
      <c r="D959" s="12" t="inlineStr">
        <is>
          <t>Developer of an application for roadside assistance. The company develops a mobile application that provides customer and truck location, real time ETAs and customer feedback for towing and vehicle assistance companies.</t>
        </is>
      </c>
      <c r="E959" s="13" t="inlineStr">
        <is>
          <t>Application Software</t>
        </is>
      </c>
      <c r="F959" s="14" t="inlineStr">
        <is>
          <t>San Francisco, CA</t>
        </is>
      </c>
      <c r="G959" s="15" t="inlineStr">
        <is>
          <t>Privately Held (backing)</t>
        </is>
      </c>
      <c r="H959" s="16" t="inlineStr">
        <is>
          <t>Angel-Backed</t>
        </is>
      </c>
      <c r="I959" s="17" t="inlineStr">
        <is>
          <t/>
        </is>
      </c>
      <c r="J959" s="18" t="inlineStr">
        <is>
          <t>www.joinswoop.com</t>
        </is>
      </c>
      <c r="K959" s="19" t="inlineStr">
        <is>
          <t/>
        </is>
      </c>
      <c r="L959" s="20" t="inlineStr">
        <is>
          <t>+1 (747) 444-1986</t>
        </is>
      </c>
      <c r="M959" s="21" t="inlineStr">
        <is>
          <t>Sameer Bhalla</t>
        </is>
      </c>
      <c r="N959" s="22" t="inlineStr">
        <is>
          <t>Co-Founder &amp; Board Member</t>
        </is>
      </c>
      <c r="O959" s="23" t="inlineStr">
        <is>
          <t>sameer@joinswoop.com</t>
        </is>
      </c>
      <c r="P959" s="24" t="inlineStr">
        <is>
          <t>+1 (747) 444-1986</t>
        </is>
      </c>
      <c r="Q959" s="25" t="n">
        <v>2014.0</v>
      </c>
      <c r="R959" s="113">
        <f>HYPERLINK("https://my.pitchbook.com?c=166859-65", "View company online")</f>
      </c>
    </row>
    <row r="960">
      <c r="A960" s="27" t="inlineStr">
        <is>
          <t>169571-98</t>
        </is>
      </c>
      <c r="B960" s="28" t="inlineStr">
        <is>
          <t>Swoop Products</t>
        </is>
      </c>
      <c r="C960" s="29" t="inlineStr">
        <is>
          <t>92128</t>
        </is>
      </c>
      <c r="D960" s="30" t="inlineStr">
        <is>
          <t>Developer of an air pump for bike tires. The company designs and develops an air pump that attaches to existing air pumps and fits multiple valve types.</t>
        </is>
      </c>
      <c r="E960" s="31" t="inlineStr">
        <is>
          <t>Automotive</t>
        </is>
      </c>
      <c r="F960" s="32" t="inlineStr">
        <is>
          <t>San Diego, CA</t>
        </is>
      </c>
      <c r="G960" s="33" t="inlineStr">
        <is>
          <t>Privately Held (backing)</t>
        </is>
      </c>
      <c r="H960" s="34" t="inlineStr">
        <is>
          <t>Accelerator/Incubator Backed</t>
        </is>
      </c>
      <c r="I960" s="35" t="inlineStr">
        <is>
          <t>Chicostart</t>
        </is>
      </c>
      <c r="J960" s="36" t="inlineStr">
        <is>
          <t>www.swoopproducts.com</t>
        </is>
      </c>
      <c r="K960" s="37" t="inlineStr">
        <is>
          <t/>
        </is>
      </c>
      <c r="L960" s="38" t="inlineStr">
        <is>
          <t>+1 (408) 761-2255</t>
        </is>
      </c>
      <c r="M960" s="39" t="inlineStr">
        <is>
          <t/>
        </is>
      </c>
      <c r="N960" s="40" t="inlineStr">
        <is>
          <t/>
        </is>
      </c>
      <c r="O960" s="41" t="inlineStr">
        <is>
          <t/>
        </is>
      </c>
      <c r="P960" s="42" t="inlineStr">
        <is>
          <t/>
        </is>
      </c>
      <c r="Q960" s="43" t="n">
        <v>2015.0</v>
      </c>
      <c r="R960" s="114">
        <f>HYPERLINK("https://my.pitchbook.com?c=169571-98", "View company online")</f>
      </c>
    </row>
    <row r="961">
      <c r="A961" s="9" t="inlineStr">
        <is>
          <t>55201-24</t>
        </is>
      </c>
      <c r="B961" s="10" t="inlineStr">
        <is>
          <t>Swoop Magazine</t>
        </is>
      </c>
      <c r="C961" s="11" t="inlineStr">
        <is>
          <t>90245</t>
        </is>
      </c>
      <c r="D961" s="12" t="inlineStr">
        <is>
          <t>Provider of advertisement supported lifestyle magazine with additional services such as content delivery, social networking, media production and event promotion. The company provides local and global information on trends in nightlife, fashion, music, action sports, outreach, community and world reviews.</t>
        </is>
      </c>
      <c r="E961" s="13" t="inlineStr">
        <is>
          <t>Publishing</t>
        </is>
      </c>
      <c r="F961" s="14" t="inlineStr">
        <is>
          <t>El Segundo, CA</t>
        </is>
      </c>
      <c r="G961" s="15" t="inlineStr">
        <is>
          <t>Privately Held (backing)</t>
        </is>
      </c>
      <c r="H961" s="16" t="inlineStr">
        <is>
          <t>Angel-Backed</t>
        </is>
      </c>
      <c r="I961" s="17" t="inlineStr">
        <is>
          <t>Individual Investor</t>
        </is>
      </c>
      <c r="J961" s="18" t="inlineStr">
        <is>
          <t>www.swoopbrand.com</t>
        </is>
      </c>
      <c r="K961" s="19" t="inlineStr">
        <is>
          <t>swoopmagazine@me.com</t>
        </is>
      </c>
      <c r="L961" s="20" t="inlineStr">
        <is>
          <t>+1 (310) 938-7366</t>
        </is>
      </c>
      <c r="M961" s="21" t="inlineStr">
        <is>
          <t>Scott Bailey</t>
        </is>
      </c>
      <c r="N961" s="22" t="inlineStr">
        <is>
          <t>Founder &amp; Chief Executive Officer</t>
        </is>
      </c>
      <c r="O961" s="23" t="inlineStr">
        <is>
          <t>swoopmagazine@me.com</t>
        </is>
      </c>
      <c r="P961" s="24" t="inlineStr">
        <is>
          <t>+1 (310) 938-7366</t>
        </is>
      </c>
      <c r="Q961" s="25" t="n">
        <v>2007.0</v>
      </c>
      <c r="R961" s="113">
        <f>HYPERLINK("https://my.pitchbook.com?c=55201-24", "View company online")</f>
      </c>
    </row>
    <row r="962">
      <c r="A962" s="27" t="inlineStr">
        <is>
          <t>148760-56</t>
        </is>
      </c>
      <c r="B962" s="28" t="inlineStr">
        <is>
          <t>Swivelfly</t>
        </is>
      </c>
      <c r="C962" s="29" t="inlineStr">
        <is>
          <t>95054</t>
        </is>
      </c>
      <c r="D962" s="30" t="inlineStr">
        <is>
          <t>Provider of interior decoration services. The company mainly supplies furniture to their corporate clientele and also offers business furnishing services.</t>
        </is>
      </c>
      <c r="E962" s="31" t="inlineStr">
        <is>
          <t>Office Services (B2B)</t>
        </is>
      </c>
      <c r="F962" s="32" t="inlineStr">
        <is>
          <t>Santa Clara, CA</t>
        </is>
      </c>
      <c r="G962" s="33" t="inlineStr">
        <is>
          <t>Privately Held (backing)</t>
        </is>
      </c>
      <c r="H962" s="34" t="inlineStr">
        <is>
          <t>Angel-Backed</t>
        </is>
      </c>
      <c r="I962" s="35" t="inlineStr">
        <is>
          <t>Sidemark</t>
        </is>
      </c>
      <c r="J962" s="36" t="inlineStr">
        <is>
          <t>www.swivelfly.com</t>
        </is>
      </c>
      <c r="K962" s="37" t="inlineStr">
        <is>
          <t>sales@swivelfly.com</t>
        </is>
      </c>
      <c r="L962" s="38" t="inlineStr">
        <is>
          <t>+1 (844) 794-8353</t>
        </is>
      </c>
      <c r="M962" s="39" t="inlineStr">
        <is>
          <t>Bruce Paul</t>
        </is>
      </c>
      <c r="N962" s="40" t="inlineStr">
        <is>
          <t>Founder, President, Chief Executive Officer &amp; Board Member</t>
        </is>
      </c>
      <c r="O962" s="41" t="inlineStr">
        <is>
          <t>bruce@swivelfly.com</t>
        </is>
      </c>
      <c r="P962" s="42" t="inlineStr">
        <is>
          <t>+1 (844) 794-8353</t>
        </is>
      </c>
      <c r="Q962" s="43" t="n">
        <v>2015.0</v>
      </c>
      <c r="R962" s="114">
        <f>HYPERLINK("https://my.pitchbook.com?c=148760-56", "View company online")</f>
      </c>
    </row>
    <row r="963">
      <c r="A963" s="9" t="inlineStr">
        <is>
          <t>108849-43</t>
        </is>
      </c>
      <c r="B963" s="10" t="inlineStr">
        <is>
          <t>Switchboard Sally</t>
        </is>
      </c>
      <c r="C963" s="85">
        <f>HYPERLINK("https://my.pitchbook.com?rrp=108849-43&amp;type=c", "This Company's information is not available to download. Need this Company? Request availability")</f>
      </c>
      <c r="D963" s="12" t="inlineStr">
        <is>
          <t/>
        </is>
      </c>
      <c r="E963" s="13" t="inlineStr">
        <is>
          <t/>
        </is>
      </c>
      <c r="F963" s="14" t="inlineStr">
        <is>
          <t/>
        </is>
      </c>
      <c r="G963" s="15" t="inlineStr">
        <is>
          <t/>
        </is>
      </c>
      <c r="H963" s="16" t="inlineStr">
        <is>
          <t/>
        </is>
      </c>
      <c r="I963" s="17" t="inlineStr">
        <is>
          <t/>
        </is>
      </c>
      <c r="J963" s="18" t="inlineStr">
        <is>
          <t/>
        </is>
      </c>
      <c r="K963" s="19" t="inlineStr">
        <is>
          <t/>
        </is>
      </c>
      <c r="L963" s="20" t="inlineStr">
        <is>
          <t/>
        </is>
      </c>
      <c r="M963" s="21" t="inlineStr">
        <is>
          <t/>
        </is>
      </c>
      <c r="N963" s="22" t="inlineStr">
        <is>
          <t/>
        </is>
      </c>
      <c r="O963" s="23" t="inlineStr">
        <is>
          <t/>
        </is>
      </c>
      <c r="P963" s="24" t="inlineStr">
        <is>
          <t/>
        </is>
      </c>
      <c r="Q963" s="25" t="inlineStr">
        <is>
          <t/>
        </is>
      </c>
      <c r="R963" s="26" t="inlineStr">
        <is>
          <t/>
        </is>
      </c>
    </row>
    <row r="964">
      <c r="A964" s="27" t="inlineStr">
        <is>
          <t>90488-62</t>
        </is>
      </c>
      <c r="B964" s="28" t="inlineStr">
        <is>
          <t>Switch Embassy</t>
        </is>
      </c>
      <c r="C964" s="29" t="inlineStr">
        <is>
          <t>94105</t>
        </is>
      </c>
      <c r="D964" s="30" t="inlineStr">
        <is>
          <t>Provider of fashion technology services. The company develops a disruptive line of context-aware and responsive fashion and accessories. It manufactures a line of illuminated t-shirts with images and texts controlled via a mobile phone application.</t>
        </is>
      </c>
      <c r="E964" s="31" t="inlineStr">
        <is>
          <t>Accessories</t>
        </is>
      </c>
      <c r="F964" s="32" t="inlineStr">
        <is>
          <t>San Francisco, CA</t>
        </is>
      </c>
      <c r="G964" s="33" t="inlineStr">
        <is>
          <t>Privately Held (backing)</t>
        </is>
      </c>
      <c r="H964" s="34" t="inlineStr">
        <is>
          <t>Accelerator/Incubator Backed</t>
        </is>
      </c>
      <c r="I964" s="35" t="inlineStr">
        <is>
          <t>Highway1, New York Fashion Tech Lab</t>
        </is>
      </c>
      <c r="J964" s="36" t="inlineStr">
        <is>
          <t>www.switchembassy.com</t>
        </is>
      </c>
      <c r="K964" s="37" t="inlineStr">
        <is>
          <t/>
        </is>
      </c>
      <c r="L964" s="38" t="inlineStr">
        <is>
          <t>+1 (646) 894-0809</t>
        </is>
      </c>
      <c r="M964" s="39" t="inlineStr">
        <is>
          <t>Alison Lewis</t>
        </is>
      </c>
      <c r="N964" s="40" t="inlineStr">
        <is>
          <t>Chief Executive Officer, Chief Creative Officer &amp; Co-Founder</t>
        </is>
      </c>
      <c r="O964" s="41" t="inlineStr">
        <is>
          <t>alison@switchembassy.com</t>
        </is>
      </c>
      <c r="P964" s="42" t="inlineStr">
        <is>
          <t>+1 (646) 894-0809</t>
        </is>
      </c>
      <c r="Q964" s="43" t="n">
        <v>2012.0</v>
      </c>
      <c r="R964" s="114">
        <f>HYPERLINK("https://my.pitchbook.com?c=90488-62", "View company online")</f>
      </c>
    </row>
    <row r="965">
      <c r="A965" s="9" t="inlineStr">
        <is>
          <t>93902-95</t>
        </is>
      </c>
      <c r="B965" s="10" t="inlineStr">
        <is>
          <t>Swish Analytics</t>
        </is>
      </c>
      <c r="C965" s="11" t="inlineStr">
        <is>
          <t>94133</t>
        </is>
      </c>
      <c r="D965" s="12" t="inlineStr">
        <is>
          <t>Developer and provider of algorithm-driven tools. The company offers sports metrics, statistics, forecasts, predictions and analysis by using in-depth historical data and proprietary algorithms.</t>
        </is>
      </c>
      <c r="E965" s="13" t="inlineStr">
        <is>
          <t>Information Services (B2C)</t>
        </is>
      </c>
      <c r="F965" s="14" t="inlineStr">
        <is>
          <t>San Francisco, CA</t>
        </is>
      </c>
      <c r="G965" s="15" t="inlineStr">
        <is>
          <t>Privately Held (backing)</t>
        </is>
      </c>
      <c r="H965" s="16" t="inlineStr">
        <is>
          <t>Accelerator/Incubator Backed</t>
        </is>
      </c>
      <c r="I965" s="17" t="inlineStr">
        <is>
          <t>Douglas Sims, Elysian Park Ventures, Joseph Skoff, LA Dodgers Accelerator</t>
        </is>
      </c>
      <c r="J965" s="18" t="inlineStr">
        <is>
          <t>www.swishanalytics.com</t>
        </is>
      </c>
      <c r="K965" s="19" t="inlineStr">
        <is>
          <t>info@swishanalytics.com</t>
        </is>
      </c>
      <c r="L965" s="20" t="inlineStr">
        <is>
          <t>+1 (415) 802-6421</t>
        </is>
      </c>
      <c r="M965" s="21" t="inlineStr">
        <is>
          <t>Corey Beaumont</t>
        </is>
      </c>
      <c r="N965" s="22" t="inlineStr">
        <is>
          <t>Co-Founder &amp; Chief Financial Officer</t>
        </is>
      </c>
      <c r="O965" s="23" t="inlineStr">
        <is>
          <t>corey@swishanalytics.com</t>
        </is>
      </c>
      <c r="P965" s="24" t="inlineStr">
        <is>
          <t>+1 (415) 802-6421</t>
        </is>
      </c>
      <c r="Q965" s="25" t="n">
        <v>2013.0</v>
      </c>
      <c r="R965" s="113">
        <f>HYPERLINK("https://my.pitchbook.com?c=93902-95", "View company online")</f>
      </c>
    </row>
    <row r="966">
      <c r="A966" s="27" t="inlineStr">
        <is>
          <t>138819-52</t>
        </is>
      </c>
      <c r="B966" s="28" t="inlineStr">
        <is>
          <t>SwipeZoom</t>
        </is>
      </c>
      <c r="C966" s="29" t="inlineStr">
        <is>
          <t>SE1 7JB</t>
        </is>
      </c>
      <c r="D966" s="30" t="inlineStr">
        <is>
          <t>Developer of Saas based online payment processor intended to convert existing stores, warehouses or depots into global fulfillment centers. The company's software ensures exchange rate transparency based on a transnational business model enabling users to make money when the transaction happens.</t>
        </is>
      </c>
      <c r="E966" s="31" t="inlineStr">
        <is>
          <t>Financial Software</t>
        </is>
      </c>
      <c r="F966" s="32" t="inlineStr">
        <is>
          <t>London, United Kingdom</t>
        </is>
      </c>
      <c r="G966" s="33" t="inlineStr">
        <is>
          <t>Privately Held (backing)</t>
        </is>
      </c>
      <c r="H966" s="34" t="inlineStr">
        <is>
          <t>Angel-Backed</t>
        </is>
      </c>
      <c r="I966" s="35" t="inlineStr">
        <is>
          <t/>
        </is>
      </c>
      <c r="J966" s="36" t="inlineStr">
        <is>
          <t>www.swipezoom.com</t>
        </is>
      </c>
      <c r="K966" s="37" t="inlineStr">
        <is>
          <t>info@swipezoom.com</t>
        </is>
      </c>
      <c r="L966" s="38" t="inlineStr">
        <is>
          <t/>
        </is>
      </c>
      <c r="M966" s="39" t="inlineStr">
        <is>
          <t>Amer Qavi</t>
        </is>
      </c>
      <c r="N966" s="40" t="inlineStr">
        <is>
          <t>Co-Founder &amp; Chief Executive Officer</t>
        </is>
      </c>
      <c r="O966" s="41" t="inlineStr">
        <is>
          <t/>
        </is>
      </c>
      <c r="P966" s="42" t="inlineStr">
        <is>
          <t/>
        </is>
      </c>
      <c r="Q966" s="43" t="n">
        <v>2011.0</v>
      </c>
      <c r="R966" s="114">
        <f>HYPERLINK("https://my.pitchbook.com?c=138819-52", "View company online")</f>
      </c>
    </row>
    <row r="967">
      <c r="A967" s="9" t="inlineStr">
        <is>
          <t>101626-21</t>
        </is>
      </c>
      <c r="B967" s="10" t="inlineStr">
        <is>
          <t>Swiper</t>
        </is>
      </c>
      <c r="C967" s="11" t="inlineStr">
        <is>
          <t>92011</t>
        </is>
      </c>
      <c r="D967" s="12" t="inlineStr">
        <is>
          <t>Developer of an online platform for shopping and fashion games. The company develops a web based platform focused on finding fashion items and applies crowd sourcing to online shopping in the form of daily contests based around different themes.</t>
        </is>
      </c>
      <c r="E967" s="13" t="inlineStr">
        <is>
          <t>Other Consumer Products and Services</t>
        </is>
      </c>
      <c r="F967" s="14" t="inlineStr">
        <is>
          <t>Carlsbad, CA</t>
        </is>
      </c>
      <c r="G967" s="15" t="inlineStr">
        <is>
          <t>Privately Held (backing)</t>
        </is>
      </c>
      <c r="H967" s="16" t="inlineStr">
        <is>
          <t>Accelerator/Incubator Backed</t>
        </is>
      </c>
      <c r="I967" s="17" t="inlineStr">
        <is>
          <t>Cindy Bi, Y Combinator, Zillionize</t>
        </is>
      </c>
      <c r="J967" s="18" t="inlineStr">
        <is>
          <t>www.hauteday.com</t>
        </is>
      </c>
      <c r="K967" s="19" t="inlineStr">
        <is>
          <t/>
        </is>
      </c>
      <c r="L967" s="20" t="inlineStr">
        <is>
          <t/>
        </is>
      </c>
      <c r="M967" s="21" t="inlineStr">
        <is>
          <t>Michael Witz</t>
        </is>
      </c>
      <c r="N967" s="22" t="inlineStr">
        <is>
          <t>Co-Founder</t>
        </is>
      </c>
      <c r="O967" s="23" t="inlineStr">
        <is>
          <t>michael@hauteday.com</t>
        </is>
      </c>
      <c r="P967" s="24" t="inlineStr">
        <is>
          <t/>
        </is>
      </c>
      <c r="Q967" s="25" t="n">
        <v>2014.0</v>
      </c>
      <c r="R967" s="113">
        <f>HYPERLINK("https://my.pitchbook.com?c=101626-21", "View company online")</f>
      </c>
    </row>
    <row r="968">
      <c r="A968" s="27" t="inlineStr">
        <is>
          <t>57973-87</t>
        </is>
      </c>
      <c r="B968" s="28" t="inlineStr">
        <is>
          <t>SWIIM System</t>
        </is>
      </c>
      <c r="C968" s="29" t="inlineStr">
        <is>
          <t>80210</t>
        </is>
      </c>
      <c r="D968" s="30" t="inlineStr">
        <is>
          <t>Developer of software systems for agricultural sector. The company specializes in developing software system that provides a farmer tools to plan and optimize their farming operations, by considering alternative practices on their farm, to conserve water usage and quantify a portion of their water for alternative transfer (to municipal, environmental or other uses). All while keeping their farm in profitable operation.</t>
        </is>
      </c>
      <c r="E968" s="31" t="inlineStr">
        <is>
          <t>Automation/Workflow Software</t>
        </is>
      </c>
      <c r="F968" s="32" t="inlineStr">
        <is>
          <t>Denver, CO</t>
        </is>
      </c>
      <c r="G968" s="33" t="inlineStr">
        <is>
          <t>Privately Held (backing)</t>
        </is>
      </c>
      <c r="H968" s="34" t="inlineStr">
        <is>
          <t>Angel-Backed</t>
        </is>
      </c>
      <c r="I968" s="35" t="inlineStr">
        <is>
          <t>AgFunder, goFARM Australia</t>
        </is>
      </c>
      <c r="J968" s="36" t="inlineStr">
        <is>
          <t>www.swiimsystem.com</t>
        </is>
      </c>
      <c r="K968" s="37" t="inlineStr">
        <is>
          <t/>
        </is>
      </c>
      <c r="L968" s="38" t="inlineStr">
        <is>
          <t>+1 (303) 698-9100</t>
        </is>
      </c>
      <c r="M968" s="39" t="inlineStr">
        <is>
          <t>David Cohen</t>
        </is>
      </c>
      <c r="N968" s="40" t="inlineStr">
        <is>
          <t>Chief Financial Officer</t>
        </is>
      </c>
      <c r="O968" s="41" t="inlineStr">
        <is>
          <t>dcohen@swiimsystem.com</t>
        </is>
      </c>
      <c r="P968" s="42" t="inlineStr">
        <is>
          <t>+1 (303) 698-9100</t>
        </is>
      </c>
      <c r="Q968" s="43" t="n">
        <v>2009.0</v>
      </c>
      <c r="R968" s="114">
        <f>HYPERLINK("https://my.pitchbook.com?c=57973-87", "View company online")</f>
      </c>
    </row>
    <row r="969">
      <c r="A969" s="9" t="inlineStr">
        <is>
          <t>172792-90</t>
        </is>
      </c>
      <c r="B969" s="10" t="inlineStr">
        <is>
          <t>SwiftPet</t>
        </is>
      </c>
      <c r="C969" s="85">
        <f>HYPERLINK("https://my.pitchbook.com?rrp=172792-90&amp;type=c", "This Company's information is not available to download. Need this Company? Request availability")</f>
      </c>
      <c r="D969" s="12" t="inlineStr">
        <is>
          <t/>
        </is>
      </c>
      <c r="E969" s="13" t="inlineStr">
        <is>
          <t/>
        </is>
      </c>
      <c r="F969" s="14" t="inlineStr">
        <is>
          <t/>
        </is>
      </c>
      <c r="G969" s="15" t="inlineStr">
        <is>
          <t/>
        </is>
      </c>
      <c r="H969" s="16" t="inlineStr">
        <is>
          <t/>
        </is>
      </c>
      <c r="I969" s="17" t="inlineStr">
        <is>
          <t/>
        </is>
      </c>
      <c r="J969" s="18" t="inlineStr">
        <is>
          <t/>
        </is>
      </c>
      <c r="K969" s="19" t="inlineStr">
        <is>
          <t/>
        </is>
      </c>
      <c r="L969" s="20" t="inlineStr">
        <is>
          <t/>
        </is>
      </c>
      <c r="M969" s="21" t="inlineStr">
        <is>
          <t/>
        </is>
      </c>
      <c r="N969" s="22" t="inlineStr">
        <is>
          <t/>
        </is>
      </c>
      <c r="O969" s="23" t="inlineStr">
        <is>
          <t/>
        </is>
      </c>
      <c r="P969" s="24" t="inlineStr">
        <is>
          <t/>
        </is>
      </c>
      <c r="Q969" s="25" t="inlineStr">
        <is>
          <t/>
        </is>
      </c>
      <c r="R969" s="26" t="inlineStr">
        <is>
          <t/>
        </is>
      </c>
    </row>
    <row r="970">
      <c r="A970" s="27" t="inlineStr">
        <is>
          <t>168830-83</t>
        </is>
      </c>
      <c r="B970" s="28" t="inlineStr">
        <is>
          <t>SwiftMotion</t>
        </is>
      </c>
      <c r="C970" s="29" t="inlineStr">
        <is>
          <t>94704</t>
        </is>
      </c>
      <c r="D970" s="30" t="inlineStr">
        <is>
          <t>Developer of wearable sensors and analytics for industrial workers. The company develops IoT sensors which monitors movement and physiological metrics to assess risks and reduce injuries in work places.</t>
        </is>
      </c>
      <c r="E970" s="31" t="inlineStr">
        <is>
          <t>Other IT Services</t>
        </is>
      </c>
      <c r="F970" s="32" t="inlineStr">
        <is>
          <t>Berkeley, CA</t>
        </is>
      </c>
      <c r="G970" s="33" t="inlineStr">
        <is>
          <t>Privately Held (backing)</t>
        </is>
      </c>
      <c r="H970" s="34" t="inlineStr">
        <is>
          <t>Accelerator/Incubator Backed</t>
        </is>
      </c>
      <c r="I970" s="35" t="inlineStr">
        <is>
          <t>Skydeck | Berkeley</t>
        </is>
      </c>
      <c r="J970" s="36" t="inlineStr">
        <is>
          <t>www.swiftmotion.io</t>
        </is>
      </c>
      <c r="K970" s="37" t="inlineStr">
        <is>
          <t>info@swiftmotion.io</t>
        </is>
      </c>
      <c r="L970" s="38" t="inlineStr">
        <is>
          <t/>
        </is>
      </c>
      <c r="M970" s="39" t="inlineStr">
        <is>
          <t>Venkat Ramasamy</t>
        </is>
      </c>
      <c r="N970" s="40" t="inlineStr">
        <is>
          <t>Co-Founder</t>
        </is>
      </c>
      <c r="O970" s="41" t="inlineStr">
        <is>
          <t/>
        </is>
      </c>
      <c r="P970" s="42" t="inlineStr">
        <is>
          <t/>
        </is>
      </c>
      <c r="Q970" s="43" t="inlineStr">
        <is>
          <t/>
        </is>
      </c>
      <c r="R970" s="114">
        <f>HYPERLINK("https://my.pitchbook.com?c=168830-83", "View company online")</f>
      </c>
    </row>
    <row r="971">
      <c r="A971" s="9" t="inlineStr">
        <is>
          <t>115608-97</t>
        </is>
      </c>
      <c r="B971" s="10" t="inlineStr">
        <is>
          <t>Swiftmile</t>
        </is>
      </c>
      <c r="C971" s="11" t="inlineStr">
        <is>
          <t>94403</t>
        </is>
      </c>
      <c r="D971" s="12" t="inlineStr">
        <is>
          <t>Maker of portable vehicles for urban transportation. The company makes compact, lightweight and easy to fold vehicles for public transit for congested urban environments.</t>
        </is>
      </c>
      <c r="E971" s="13" t="inlineStr">
        <is>
          <t>Automotive</t>
        </is>
      </c>
      <c r="F971" s="14" t="inlineStr">
        <is>
          <t>San Mateo, CA</t>
        </is>
      </c>
      <c r="G971" s="15" t="inlineStr">
        <is>
          <t>Privately Held (backing)</t>
        </is>
      </c>
      <c r="H971" s="16" t="inlineStr">
        <is>
          <t>Angel-Backed</t>
        </is>
      </c>
      <c r="I971" s="17" t="inlineStr">
        <is>
          <t>Verizon Ventures</t>
        </is>
      </c>
      <c r="J971" s="18" t="inlineStr">
        <is>
          <t>www.swiftmile.com</t>
        </is>
      </c>
      <c r="K971" s="19" t="inlineStr">
        <is>
          <t>info@swiftmile.com</t>
        </is>
      </c>
      <c r="L971" s="20" t="inlineStr">
        <is>
          <t>+1 (650) 248-6842</t>
        </is>
      </c>
      <c r="M971" s="21" t="inlineStr">
        <is>
          <t>Colin Roche</t>
        </is>
      </c>
      <c r="N971" s="22" t="inlineStr">
        <is>
          <t>Co-Founder &amp; Chief Executive Officer</t>
        </is>
      </c>
      <c r="O971" s="23" t="inlineStr">
        <is>
          <t>colin@swiftmile.com</t>
        </is>
      </c>
      <c r="P971" s="24" t="inlineStr">
        <is>
          <t>+1 (650) 248-6842</t>
        </is>
      </c>
      <c r="Q971" s="25" t="n">
        <v>2014.0</v>
      </c>
      <c r="R971" s="113">
        <f>HYPERLINK("https://my.pitchbook.com?c=115608-97", "View company online")</f>
      </c>
    </row>
    <row r="972">
      <c r="A972" s="27" t="inlineStr">
        <is>
          <t>162204-85</t>
        </is>
      </c>
      <c r="B972" s="28" t="inlineStr">
        <is>
          <t>Swift Health Systems</t>
        </is>
      </c>
      <c r="C972" s="29" t="inlineStr">
        <is>
          <t>92617</t>
        </is>
      </c>
      <c r="D972" s="30" t="inlineStr">
        <is>
          <t>Developer of an orthodontic device designed to straighten teeth and perfect a patient's smile. The company's orthodontic device offers wide indications and personalized orthodontic system hidden behind the teeth and uses light and continuous forces to gently correct a smile with less pain and fewer doctor visits, enabling patients to get a better smile.</t>
        </is>
      </c>
      <c r="E972" s="31" t="inlineStr">
        <is>
          <t>Other Devices and Supplies</t>
        </is>
      </c>
      <c r="F972" s="32" t="inlineStr">
        <is>
          <t>Irvine, CA</t>
        </is>
      </c>
      <c r="G972" s="33" t="inlineStr">
        <is>
          <t>Privately Held (backing)</t>
        </is>
      </c>
      <c r="H972" s="34" t="inlineStr">
        <is>
          <t>Accelerator/Incubator Backed</t>
        </is>
      </c>
      <c r="I972" s="35" t="inlineStr">
        <is>
          <t>EvoNexus, MedTech Innovator, OneStart</t>
        </is>
      </c>
      <c r="J972" s="36" t="inlineStr">
        <is>
          <t>www.myinbrace.com</t>
        </is>
      </c>
      <c r="K972" s="37" t="inlineStr">
        <is>
          <t/>
        </is>
      </c>
      <c r="L972" s="38" t="inlineStr">
        <is>
          <t>+1 (949) 438-0823</t>
        </is>
      </c>
      <c r="M972" s="39" t="inlineStr">
        <is>
          <t>John Pham</t>
        </is>
      </c>
      <c r="N972" s="40" t="inlineStr">
        <is>
          <t>Chief Executive Officer &amp; Board Member</t>
        </is>
      </c>
      <c r="O972" s="41" t="inlineStr">
        <is>
          <t>john@in-brace.com</t>
        </is>
      </c>
      <c r="P972" s="42" t="inlineStr">
        <is>
          <t>+1 (949) 438-0823</t>
        </is>
      </c>
      <c r="Q972" s="43" t="n">
        <v>2014.0</v>
      </c>
      <c r="R972" s="114">
        <f>HYPERLINK("https://my.pitchbook.com?c=162204-85", "View company online")</f>
      </c>
    </row>
    <row r="973">
      <c r="A973" s="9" t="inlineStr">
        <is>
          <t>102521-98</t>
        </is>
      </c>
      <c r="B973" s="10" t="inlineStr">
        <is>
          <t>Swggr Media</t>
        </is>
      </c>
      <c r="C973" s="11" t="inlineStr">
        <is>
          <t>90401</t>
        </is>
      </c>
      <c r="D973" s="12" t="inlineStr">
        <is>
          <t>Developer of an application for sharing styles from virtual closets. The company develops an application that enables users to host a virtual online closet collection where they can instantly style and share looks for themselves, as well as their friends and followers. Users collect reward points that are redeemable for discounts from their favorite brands and retailers, exclusive merchandise, and special access to fashion tastemakers.</t>
        </is>
      </c>
      <c r="E973" s="13" t="inlineStr">
        <is>
          <t>Application Software</t>
        </is>
      </c>
      <c r="F973" s="14" t="inlineStr">
        <is>
          <t>Santa Monica, CA</t>
        </is>
      </c>
      <c r="G973" s="15" t="inlineStr">
        <is>
          <t>Privately Held (backing)</t>
        </is>
      </c>
      <c r="H973" s="16" t="inlineStr">
        <is>
          <t>Accelerator/Incubator Backed</t>
        </is>
      </c>
      <c r="I973" s="17" t="inlineStr">
        <is>
          <t>Stubbs Alderton &amp; Markiles Preccelerator</t>
        </is>
      </c>
      <c r="J973" s="18" t="inlineStr">
        <is>
          <t>www.swggr.net</t>
        </is>
      </c>
      <c r="K973" s="19" t="inlineStr">
        <is>
          <t>admin@swggr.net</t>
        </is>
      </c>
      <c r="L973" s="20" t="inlineStr">
        <is>
          <t>+1 (774) 249-2121</t>
        </is>
      </c>
      <c r="M973" s="21" t="inlineStr">
        <is>
          <t>Yuri Moreira</t>
        </is>
      </c>
      <c r="N973" s="22" t="inlineStr">
        <is>
          <t>Chief Executive Officer, Board Member and Co-Founder</t>
        </is>
      </c>
      <c r="O973" s="23" t="inlineStr">
        <is>
          <t>yuri@swggr.net</t>
        </is>
      </c>
      <c r="P973" s="24" t="inlineStr">
        <is>
          <t>+1 (774) 249-2121</t>
        </is>
      </c>
      <c r="Q973" s="25" t="n">
        <v>2013.0</v>
      </c>
      <c r="R973" s="113">
        <f>HYPERLINK("https://my.pitchbook.com?c=102521-98", "View company online")</f>
      </c>
    </row>
    <row r="974">
      <c r="A974" s="27" t="inlineStr">
        <is>
          <t>99097-48</t>
        </is>
      </c>
      <c r="B974" s="28" t="inlineStr">
        <is>
          <t>Swenyo</t>
        </is>
      </c>
      <c r="C974" s="29" t="inlineStr">
        <is>
          <t>92024</t>
        </is>
      </c>
      <c r="D974" s="30" t="inlineStr">
        <is>
          <t>Provider of an online shopping platform for home furnishing. The company offers furniture, bedding, home accessories, lamps, lightning and art and craft home decorating products.</t>
        </is>
      </c>
      <c r="E974" s="31" t="inlineStr">
        <is>
          <t>Internet Retail</t>
        </is>
      </c>
      <c r="F974" s="32" t="inlineStr">
        <is>
          <t>Encinitas, CA</t>
        </is>
      </c>
      <c r="G974" s="33" t="inlineStr">
        <is>
          <t>Privately Held (backing)</t>
        </is>
      </c>
      <c r="H974" s="34" t="inlineStr">
        <is>
          <t>Angel-Backed</t>
        </is>
      </c>
      <c r="I974" s="35" t="inlineStr">
        <is>
          <t>Richard Alden</t>
        </is>
      </c>
      <c r="J974" s="36" t="inlineStr">
        <is>
          <t>www.swenyo.com</t>
        </is>
      </c>
      <c r="K974" s="37" t="inlineStr">
        <is>
          <t>help@swenyo.com</t>
        </is>
      </c>
      <c r="L974" s="38" t="inlineStr">
        <is>
          <t>+1 (844) 479-3696</t>
        </is>
      </c>
      <c r="M974" s="39" t="inlineStr">
        <is>
          <t>Randy O'Connell</t>
        </is>
      </c>
      <c r="N974" s="40" t="inlineStr">
        <is>
          <t>Chief Financial Officer</t>
        </is>
      </c>
      <c r="O974" s="41" t="inlineStr">
        <is>
          <t>randy@swenyo.com</t>
        </is>
      </c>
      <c r="P974" s="42" t="inlineStr">
        <is>
          <t>+1 (858) 775-3040</t>
        </is>
      </c>
      <c r="Q974" s="43" t="n">
        <v>2013.0</v>
      </c>
      <c r="R974" s="114">
        <f>HYPERLINK("https://my.pitchbook.com?c=99097-48", "View company online")</f>
      </c>
    </row>
    <row r="975">
      <c r="A975" s="9" t="inlineStr">
        <is>
          <t>175209-94</t>
        </is>
      </c>
      <c r="B975" s="10" t="inlineStr">
        <is>
          <t>Swell</t>
        </is>
      </c>
      <c r="C975" s="11" t="inlineStr">
        <is>
          <t>92660</t>
        </is>
      </c>
      <c r="D975" s="12" t="inlineStr">
        <is>
          <t>Developer of an impact investing platform designed to manage stock portfolios. The company's impact investing platform is designed to analyze global mega-trends to identify themes that offer high impact and potentially high returns, enabling clients to earn profits and see their wealth grow with time.</t>
        </is>
      </c>
      <c r="E975" s="13" t="inlineStr">
        <is>
          <t>Other Financial Services</t>
        </is>
      </c>
      <c r="F975" s="14" t="inlineStr">
        <is>
          <t>Newport Beach, CA</t>
        </is>
      </c>
      <c r="G975" s="15" t="inlineStr">
        <is>
          <t>Privately Held (backing)</t>
        </is>
      </c>
      <c r="H975" s="16" t="inlineStr">
        <is>
          <t>Accelerator/Incubator Backed</t>
        </is>
      </c>
      <c r="I975" s="17" t="inlineStr">
        <is>
          <t>Pacific LifeCorp</t>
        </is>
      </c>
      <c r="J975" s="18" t="inlineStr">
        <is>
          <t>www.swellinvesting.com</t>
        </is>
      </c>
      <c r="K975" s="19" t="inlineStr">
        <is>
          <t/>
        </is>
      </c>
      <c r="L975" s="20" t="inlineStr">
        <is>
          <t/>
        </is>
      </c>
      <c r="M975" s="21" t="inlineStr">
        <is>
          <t>Teresa Orsolini</t>
        </is>
      </c>
      <c r="N975" s="22" t="inlineStr">
        <is>
          <t>Chief Marketing Officer</t>
        </is>
      </c>
      <c r="O975" s="23" t="inlineStr">
        <is>
          <t>teresa@swellinvesting.com</t>
        </is>
      </c>
      <c r="P975" s="24" t="inlineStr">
        <is>
          <t/>
        </is>
      </c>
      <c r="Q975" s="25" t="n">
        <v>2015.0</v>
      </c>
      <c r="R975" s="113">
        <f>HYPERLINK("https://my.pitchbook.com?c=175209-94", "View company online")</f>
      </c>
    </row>
    <row r="976">
      <c r="A976" s="27" t="inlineStr">
        <is>
          <t>53418-97</t>
        </is>
      </c>
      <c r="B976" s="28" t="inlineStr">
        <is>
          <t>Sweety High</t>
        </is>
      </c>
      <c r="C976" s="29" t="inlineStr">
        <is>
          <t>91403</t>
        </is>
      </c>
      <c r="D976" s="30" t="inlineStr">
        <is>
          <t>Developer of an online software platform for girls. The company provides an online networking platform which allows girls to support each other in art, entertainment and design.</t>
        </is>
      </c>
      <c r="E976" s="31" t="inlineStr">
        <is>
          <t>Social/Platform Software</t>
        </is>
      </c>
      <c r="F976" s="32" t="inlineStr">
        <is>
          <t>Los Angeles, CA</t>
        </is>
      </c>
      <c r="G976" s="33" t="inlineStr">
        <is>
          <t>Privately Held (backing)</t>
        </is>
      </c>
      <c r="H976" s="34" t="inlineStr">
        <is>
          <t>Angel-Backed</t>
        </is>
      </c>
      <c r="I976" s="35" t="inlineStr">
        <is>
          <t>Individual Investor</t>
        </is>
      </c>
      <c r="J976" s="36" t="inlineStr">
        <is>
          <t>www.sweetyhigh.com</t>
        </is>
      </c>
      <c r="K976" s="37" t="inlineStr">
        <is>
          <t>contact@sweetyhigh.com</t>
        </is>
      </c>
      <c r="L976" s="38" t="inlineStr">
        <is>
          <t>+1 (818) 444-4500</t>
        </is>
      </c>
      <c r="M976" s="39" t="inlineStr">
        <is>
          <t>Frank Simonetti</t>
        </is>
      </c>
      <c r="N976" s="40" t="inlineStr">
        <is>
          <t>Chief Executive Officer &amp; Co-Founder</t>
        </is>
      </c>
      <c r="O976" s="41" t="inlineStr">
        <is>
          <t>frank@sweetyhigh.com</t>
        </is>
      </c>
      <c r="P976" s="42" t="inlineStr">
        <is>
          <t>+1 (818) 444-4500</t>
        </is>
      </c>
      <c r="Q976" s="43" t="inlineStr">
        <is>
          <t/>
        </is>
      </c>
      <c r="R976" s="114">
        <f>HYPERLINK("https://my.pitchbook.com?c=53418-97", "View company online")</f>
      </c>
    </row>
    <row r="977">
      <c r="A977" s="9" t="inlineStr">
        <is>
          <t>150975-46</t>
        </is>
      </c>
      <c r="B977" s="10" t="inlineStr">
        <is>
          <t>Sweetfin Poke</t>
        </is>
      </c>
      <c r="C977" s="11" t="inlineStr">
        <is>
          <t>90401</t>
        </is>
      </c>
      <c r="D977" s="12" t="inlineStr">
        <is>
          <t>Operator of a restaurant chain. The company operates a restaurant chain in California offering healthy Hawaiian cuisine.</t>
        </is>
      </c>
      <c r="E977" s="13" t="inlineStr">
        <is>
          <t>Food Products</t>
        </is>
      </c>
      <c r="F977" s="14" t="inlineStr">
        <is>
          <t>Santa Monica, CA</t>
        </is>
      </c>
      <c r="G977" s="15" t="inlineStr">
        <is>
          <t>Privately Held (backing)</t>
        </is>
      </c>
      <c r="H977" s="16" t="inlineStr">
        <is>
          <t>Angel-Backed</t>
        </is>
      </c>
      <c r="I977" s="17" t="inlineStr">
        <is>
          <t>David Swinghamer, Larry Mindel</t>
        </is>
      </c>
      <c r="J977" s="18" t="inlineStr">
        <is>
          <t>www.sweetfinpoke.com</t>
        </is>
      </c>
      <c r="K977" s="19" t="inlineStr">
        <is>
          <t>info@sweetfin.com</t>
        </is>
      </c>
      <c r="L977" s="20" t="inlineStr">
        <is>
          <t/>
        </is>
      </c>
      <c r="M977" s="21" t="inlineStr">
        <is>
          <t>Alan Nathan</t>
        </is>
      </c>
      <c r="N977" s="22" t="inlineStr">
        <is>
          <t>Co-Founder &amp; Partner</t>
        </is>
      </c>
      <c r="O977" s="23" t="inlineStr">
        <is>
          <t/>
        </is>
      </c>
      <c r="P977" s="24" t="inlineStr">
        <is>
          <t/>
        </is>
      </c>
      <c r="Q977" s="25" t="n">
        <v>2015.0</v>
      </c>
      <c r="R977" s="113">
        <f>HYPERLINK("https://my.pitchbook.com?c=150975-46", "View company online")</f>
      </c>
    </row>
    <row r="978">
      <c r="A978" s="27" t="inlineStr">
        <is>
          <t>149332-42</t>
        </is>
      </c>
      <c r="B978" s="28" t="inlineStr">
        <is>
          <t>SweatGuru</t>
        </is>
      </c>
      <c r="C978" s="29" t="inlineStr">
        <is>
          <t/>
        </is>
      </c>
      <c r="D978" s="30" t="inlineStr">
        <is>
          <t>Provider of an online platform for finding exercise and fitness classes. The company provides an online platform which allows the user to find, book and organize exercise and fitness classes including yoga, gym and other forms of exercise classes in a specified geographical area.</t>
        </is>
      </c>
      <c r="E978" s="31" t="inlineStr">
        <is>
          <t>Other Services (B2C Non-Financial)</t>
        </is>
      </c>
      <c r="F978" s="32" t="inlineStr">
        <is>
          <t>San Francisco, CA</t>
        </is>
      </c>
      <c r="G978" s="33" t="inlineStr">
        <is>
          <t>Privately Held (backing)</t>
        </is>
      </c>
      <c r="H978" s="34" t="inlineStr">
        <is>
          <t>Accelerator/Incubator Backed</t>
        </is>
      </c>
      <c r="I978" s="35" t="inlineStr">
        <is>
          <t>Casey King, Founder.org, Jesse Brill, Tech.Co, UC Berkeley, Yelena Bushman</t>
        </is>
      </c>
      <c r="J978" s="36" t="inlineStr">
        <is>
          <t>www.about.sweatguru.com</t>
        </is>
      </c>
      <c r="K978" s="37" t="inlineStr">
        <is>
          <t>guru@sweatguru.com</t>
        </is>
      </c>
      <c r="L978" s="38" t="inlineStr">
        <is>
          <t>+1 (512) 710-9960</t>
        </is>
      </c>
      <c r="M978" s="39" t="inlineStr">
        <is>
          <t>Jamie King</t>
        </is>
      </c>
      <c r="N978" s="40" t="inlineStr">
        <is>
          <t>Co-Founder &amp; Chief Executive Officer</t>
        </is>
      </c>
      <c r="O978" s="41" t="inlineStr">
        <is>
          <t>jamie@sweatguru.com</t>
        </is>
      </c>
      <c r="P978" s="42" t="inlineStr">
        <is>
          <t>+1 (512) 710-9960</t>
        </is>
      </c>
      <c r="Q978" s="43" t="n">
        <v>2012.0</v>
      </c>
      <c r="R978" s="114">
        <f>HYPERLINK("https://my.pitchbook.com?c=149332-42", "View company online")</f>
      </c>
    </row>
    <row r="979">
      <c r="A979" s="9" t="inlineStr">
        <is>
          <t>172677-61</t>
        </is>
      </c>
      <c r="B979" s="10" t="inlineStr">
        <is>
          <t>Swch</t>
        </is>
      </c>
      <c r="C979" s="85">
        <f>HYPERLINK("https://my.pitchbook.com?rrp=172677-61&amp;type=c", "This Company's information is not available to download. Need this Company? Request availability")</f>
      </c>
      <c r="D979" s="12" t="inlineStr">
        <is>
          <t/>
        </is>
      </c>
      <c r="E979" s="13" t="inlineStr">
        <is>
          <t/>
        </is>
      </c>
      <c r="F979" s="14" t="inlineStr">
        <is>
          <t/>
        </is>
      </c>
      <c r="G979" s="15" t="inlineStr">
        <is>
          <t/>
        </is>
      </c>
      <c r="H979" s="16" t="inlineStr">
        <is>
          <t/>
        </is>
      </c>
      <c r="I979" s="17" t="inlineStr">
        <is>
          <t/>
        </is>
      </c>
      <c r="J979" s="18" t="inlineStr">
        <is>
          <t/>
        </is>
      </c>
      <c r="K979" s="19" t="inlineStr">
        <is>
          <t/>
        </is>
      </c>
      <c r="L979" s="20" t="inlineStr">
        <is>
          <t/>
        </is>
      </c>
      <c r="M979" s="21" t="inlineStr">
        <is>
          <t/>
        </is>
      </c>
      <c r="N979" s="22" t="inlineStr">
        <is>
          <t/>
        </is>
      </c>
      <c r="O979" s="23" t="inlineStr">
        <is>
          <t/>
        </is>
      </c>
      <c r="P979" s="24" t="inlineStr">
        <is>
          <t/>
        </is>
      </c>
      <c r="Q979" s="25" t="inlineStr">
        <is>
          <t/>
        </is>
      </c>
      <c r="R979" s="26" t="inlineStr">
        <is>
          <t/>
        </is>
      </c>
    </row>
    <row r="980">
      <c r="A980" s="27" t="inlineStr">
        <is>
          <t>102389-59</t>
        </is>
      </c>
      <c r="B980" s="28" t="inlineStr">
        <is>
          <t>Sway Network</t>
        </is>
      </c>
      <c r="C980" s="29" t="inlineStr">
        <is>
          <t>90401</t>
        </is>
      </c>
      <c r="D980" s="30" t="inlineStr">
        <is>
          <t>Developer of an smartphone dating application. The company's application allows to meet new people.</t>
        </is>
      </c>
      <c r="E980" s="31" t="inlineStr">
        <is>
          <t>Application Software</t>
        </is>
      </c>
      <c r="F980" s="32" t="inlineStr">
        <is>
          <t>Santa Monica, CA</t>
        </is>
      </c>
      <c r="G980" s="33" t="inlineStr">
        <is>
          <t>Privately Held (backing)</t>
        </is>
      </c>
      <c r="H980" s="34" t="inlineStr">
        <is>
          <t>Accelerator/Incubator Backed</t>
        </is>
      </c>
      <c r="I980" s="35" t="inlineStr">
        <is>
          <t>Science</t>
        </is>
      </c>
      <c r="J980" s="36" t="inlineStr">
        <is>
          <t>www.findsway.com</t>
        </is>
      </c>
      <c r="K980" s="37" t="inlineStr">
        <is>
          <t>help@findsway.com</t>
        </is>
      </c>
      <c r="L980" s="38" t="inlineStr">
        <is>
          <t/>
        </is>
      </c>
      <c r="M980" s="39" t="inlineStr">
        <is>
          <t>Adam Huie</t>
        </is>
      </c>
      <c r="N980" s="40" t="inlineStr">
        <is>
          <t>Chief Executive Officer</t>
        </is>
      </c>
      <c r="O980" s="41" t="inlineStr">
        <is>
          <t>adam@wishbone.io</t>
        </is>
      </c>
      <c r="P980" s="42" t="inlineStr">
        <is>
          <t/>
        </is>
      </c>
      <c r="Q980" s="43" t="n">
        <v>2013.0</v>
      </c>
      <c r="R980" s="114">
        <f>HYPERLINK("https://my.pitchbook.com?c=102389-59", "View company online")</f>
      </c>
    </row>
    <row r="981">
      <c r="A981" s="9" t="inlineStr">
        <is>
          <t>156491-83</t>
        </is>
      </c>
      <c r="B981" s="10" t="inlineStr">
        <is>
          <t>Sway Finance</t>
        </is>
      </c>
      <c r="C981" s="11" t="inlineStr">
        <is>
          <t>94107</t>
        </is>
      </c>
      <c r="D981" s="12" t="inlineStr">
        <is>
          <t>Developer of a chat bot to manage personal finance. The company develops an artificial intelligence based chat bot application that manages a company's revenue, financial updates, expenses and bank balances on demand.</t>
        </is>
      </c>
      <c r="E981" s="13" t="inlineStr">
        <is>
          <t>Financial Software</t>
        </is>
      </c>
      <c r="F981" s="14" t="inlineStr">
        <is>
          <t>San Francisco, CA</t>
        </is>
      </c>
      <c r="G981" s="15" t="inlineStr">
        <is>
          <t>Privately Held (backing)</t>
        </is>
      </c>
      <c r="H981" s="16" t="inlineStr">
        <is>
          <t>Accelerator/Incubator Backed</t>
        </is>
      </c>
      <c r="I981" s="17" t="inlineStr">
        <is>
          <t>Slack Technologies, Y Combinator</t>
        </is>
      </c>
      <c r="J981" s="18" t="inlineStr">
        <is>
          <t>www.swayfinance.com</t>
        </is>
      </c>
      <c r="K981" s="19" t="inlineStr">
        <is>
          <t>hello@swayfinance.com</t>
        </is>
      </c>
      <c r="L981" s="20" t="inlineStr">
        <is>
          <t/>
        </is>
      </c>
      <c r="M981" s="21" t="inlineStr">
        <is>
          <t>Catherine Jue</t>
        </is>
      </c>
      <c r="N981" s="22" t="inlineStr">
        <is>
          <t>Co-Founder, CPO &amp; Chief Technology Officer</t>
        </is>
      </c>
      <c r="O981" s="23" t="inlineStr">
        <is>
          <t>catherine.jue@swayfinance.com</t>
        </is>
      </c>
      <c r="P981" s="24" t="inlineStr">
        <is>
          <t/>
        </is>
      </c>
      <c r="Q981" s="25" t="n">
        <v>2015.0</v>
      </c>
      <c r="R981" s="113">
        <f>HYPERLINK("https://my.pitchbook.com?c=156491-83", "View company online")</f>
      </c>
    </row>
    <row r="982">
      <c r="A982" s="27" t="inlineStr">
        <is>
          <t>121763-98</t>
        </is>
      </c>
      <c r="B982" s="28" t="inlineStr">
        <is>
          <t>Swarm (Collaborative Organizations)</t>
        </is>
      </c>
      <c r="C982" s="29" t="inlineStr">
        <is>
          <t>94301</t>
        </is>
      </c>
      <c r="D982" s="30" t="inlineStr">
        <is>
          <t>Provider of an online financial platform for equity market. The company provides a crowdfunding network for funding innovation and re-imagining equity markets with block-chain technology.</t>
        </is>
      </c>
      <c r="E982" s="31" t="inlineStr">
        <is>
          <t>Financial Software</t>
        </is>
      </c>
      <c r="F982" s="32" t="inlineStr">
        <is>
          <t>Palo Alto, CA</t>
        </is>
      </c>
      <c r="G982" s="33" t="inlineStr">
        <is>
          <t>Privately Held (backing)</t>
        </is>
      </c>
      <c r="H982" s="34" t="inlineStr">
        <is>
          <t>Accelerator/Incubator Backed</t>
        </is>
      </c>
      <c r="I982" s="35" t="inlineStr">
        <is>
          <t>Alexander Shelkovnikov, Anthony Cros, Daniel Neukomm, Munjal Shah, Nathan Kaiser, Sam Clare, Techstars, Thomas Olson, Yushan Ventures</t>
        </is>
      </c>
      <c r="J982" s="36" t="inlineStr">
        <is>
          <t>www.swarm.co</t>
        </is>
      </c>
      <c r="K982" s="37" t="inlineStr">
        <is>
          <t>copyright@swarmcorp.com</t>
        </is>
      </c>
      <c r="L982" s="38" t="inlineStr">
        <is>
          <t>+1 (650) 714-1164</t>
        </is>
      </c>
      <c r="M982" s="39" t="inlineStr">
        <is>
          <t>Joel Dietz</t>
        </is>
      </c>
      <c r="N982" s="40" t="inlineStr">
        <is>
          <t>Co-Founder &amp; Chief Executive Officer</t>
        </is>
      </c>
      <c r="O982" s="41" t="inlineStr">
        <is>
          <t>joel@swarm.fund</t>
        </is>
      </c>
      <c r="P982" s="42" t="inlineStr">
        <is>
          <t>+1 (650) 714-1164</t>
        </is>
      </c>
      <c r="Q982" s="43" t="n">
        <v>2014.0</v>
      </c>
      <c r="R982" s="114">
        <f>HYPERLINK("https://my.pitchbook.com?c=121763-98", "View company online")</f>
      </c>
    </row>
    <row r="983">
      <c r="A983" s="9" t="inlineStr">
        <is>
          <t>177450-76</t>
        </is>
      </c>
      <c r="B983" s="10" t="inlineStr">
        <is>
          <t>SVOI</t>
        </is>
      </c>
      <c r="C983" s="85">
        <f>HYPERLINK("https://my.pitchbook.com?rrp=177450-76&amp;type=c", "This Company's information is not available to download. Need this Company? Request availability")</f>
      </c>
      <c r="D983" s="12" t="inlineStr">
        <is>
          <t/>
        </is>
      </c>
      <c r="E983" s="13" t="inlineStr">
        <is>
          <t/>
        </is>
      </c>
      <c r="F983" s="14" t="inlineStr">
        <is>
          <t/>
        </is>
      </c>
      <c r="G983" s="15" t="inlineStr">
        <is>
          <t/>
        </is>
      </c>
      <c r="H983" s="16" t="inlineStr">
        <is>
          <t/>
        </is>
      </c>
      <c r="I983" s="17" t="inlineStr">
        <is>
          <t/>
        </is>
      </c>
      <c r="J983" s="18" t="inlineStr">
        <is>
          <t/>
        </is>
      </c>
      <c r="K983" s="19" t="inlineStr">
        <is>
          <t/>
        </is>
      </c>
      <c r="L983" s="20" t="inlineStr">
        <is>
          <t/>
        </is>
      </c>
      <c r="M983" s="21" t="inlineStr">
        <is>
          <t/>
        </is>
      </c>
      <c r="N983" s="22" t="inlineStr">
        <is>
          <t/>
        </is>
      </c>
      <c r="O983" s="23" t="inlineStr">
        <is>
          <t/>
        </is>
      </c>
      <c r="P983" s="24" t="inlineStr">
        <is>
          <t/>
        </is>
      </c>
      <c r="Q983" s="25" t="inlineStr">
        <is>
          <t/>
        </is>
      </c>
      <c r="R983" s="26" t="inlineStr">
        <is>
          <t/>
        </is>
      </c>
    </row>
    <row r="984">
      <c r="A984" s="27" t="inlineStr">
        <is>
          <t>106959-25</t>
        </is>
      </c>
      <c r="B984" s="28" t="inlineStr">
        <is>
          <t>Suture Ease</t>
        </is>
      </c>
      <c r="C984" s="29" t="inlineStr">
        <is>
          <t>95112</t>
        </is>
      </c>
      <c r="D984" s="30" t="inlineStr">
        <is>
          <t>Developer of laparoscopic port site closure device. The company develops laparoscopic devices for closure of port site punctures.</t>
        </is>
      </c>
      <c r="E984" s="31" t="inlineStr">
        <is>
          <t>Other Devices and Supplies</t>
        </is>
      </c>
      <c r="F984" s="32" t="inlineStr">
        <is>
          <t>San Jose, CA</t>
        </is>
      </c>
      <c r="G984" s="33" t="inlineStr">
        <is>
          <t>Privately Held (backing)</t>
        </is>
      </c>
      <c r="H984" s="34" t="inlineStr">
        <is>
          <t>Angel-Backed</t>
        </is>
      </c>
      <c r="I984" s="35" t="inlineStr">
        <is>
          <t>Camran Nezhat, Individual Investor, Innovation Capital Law Group, Joe Wasco, Josh Fookes, Marker Medical, Phoenix DeVentures, SAGE - Shasta Angel Group for Entrepreneurs</t>
        </is>
      </c>
      <c r="J984" s="36" t="inlineStr">
        <is>
          <t>www.suturease.com</t>
        </is>
      </c>
      <c r="K984" s="37" t="inlineStr">
        <is>
          <t>info@suturease.com</t>
        </is>
      </c>
      <c r="L984" s="38" t="inlineStr">
        <is>
          <t>+1 (408) 459-7595</t>
        </is>
      </c>
      <c r="M984" s="39" t="inlineStr">
        <is>
          <t>Kirt Kirtland</t>
        </is>
      </c>
      <c r="N984" s="40" t="inlineStr">
        <is>
          <t>Chief Executive Officer &amp; President</t>
        </is>
      </c>
      <c r="O984" s="41" t="inlineStr">
        <is>
          <t/>
        </is>
      </c>
      <c r="P984" s="42" t="inlineStr">
        <is>
          <t>+1 (650) 851-0091</t>
        </is>
      </c>
      <c r="Q984" s="43" t="n">
        <v>2011.0</v>
      </c>
      <c r="R984" s="114">
        <f>HYPERLINK("https://my.pitchbook.com?c=106959-25", "View company online")</f>
      </c>
    </row>
    <row r="985">
      <c r="A985" s="9" t="inlineStr">
        <is>
          <t>90485-56</t>
        </is>
      </c>
      <c r="B985" s="10" t="inlineStr">
        <is>
          <t>SutiSoft</t>
        </is>
      </c>
      <c r="C985" s="11" t="inlineStr">
        <is>
          <t>94022</t>
        </is>
      </c>
      <c r="D985" s="12" t="inlineStr">
        <is>
          <t>Developer of cloud-based business management platforms designed to improve business performance and competitive edge. The company offers spend, HR, WEM and CRM platform for expense reporting, property management, invoicing, HR management, performance tracking, expense management and data analytics, enabling enterprises to reduce costs and drive efficiencies.</t>
        </is>
      </c>
      <c r="E985" s="13" t="inlineStr">
        <is>
          <t>Business/Productivity Software</t>
        </is>
      </c>
      <c r="F985" s="14" t="inlineStr">
        <is>
          <t>Los Altos, CA</t>
        </is>
      </c>
      <c r="G985" s="15" t="inlineStr">
        <is>
          <t>Privately Held (backing)</t>
        </is>
      </c>
      <c r="H985" s="16" t="inlineStr">
        <is>
          <t>Angel-Backed</t>
        </is>
      </c>
      <c r="I985" s="17" t="inlineStr">
        <is>
          <t/>
        </is>
      </c>
      <c r="J985" s="18" t="inlineStr">
        <is>
          <t>www.sutisoft.com</t>
        </is>
      </c>
      <c r="K985" s="19" t="inlineStr">
        <is>
          <t>info@sutisoft.com</t>
        </is>
      </c>
      <c r="L985" s="20" t="inlineStr">
        <is>
          <t>+1 (650) 969-7884</t>
        </is>
      </c>
      <c r="M985" s="21" t="inlineStr">
        <is>
          <t>N. Damodar Reddy</t>
        </is>
      </c>
      <c r="N985" s="22" t="inlineStr">
        <is>
          <t>Founder, Chairman &amp; Chief Executive Officer</t>
        </is>
      </c>
      <c r="O985" s="23" t="inlineStr">
        <is>
          <t/>
        </is>
      </c>
      <c r="P985" s="24" t="inlineStr">
        <is>
          <t>+1 (650) 969-7884</t>
        </is>
      </c>
      <c r="Q985" s="25" t="n">
        <v>2006.0</v>
      </c>
      <c r="R985" s="113">
        <f>HYPERLINK("https://my.pitchbook.com?c=90485-56", "View company online")</f>
      </c>
    </row>
    <row r="986">
      <c r="A986" s="27" t="inlineStr">
        <is>
          <t>92623-87</t>
        </is>
      </c>
      <c r="B986" s="28" t="inlineStr">
        <is>
          <t>Sustaining Technologies</t>
        </is>
      </c>
      <c r="C986" s="29" t="inlineStr">
        <is>
          <t>95404</t>
        </is>
      </c>
      <c r="D986" s="30" t="inlineStr">
        <is>
          <t>Provider of economic development services. The company engages in offering community economic development services.</t>
        </is>
      </c>
      <c r="E986" s="31" t="inlineStr">
        <is>
          <t>Consulting Services (B2B)</t>
        </is>
      </c>
      <c r="F986" s="32" t="inlineStr">
        <is>
          <t>Santa Rosa, CA</t>
        </is>
      </c>
      <c r="G986" s="33" t="inlineStr">
        <is>
          <t>Privately Held (backing)</t>
        </is>
      </c>
      <c r="H986" s="34" t="inlineStr">
        <is>
          <t>Angel-Backed</t>
        </is>
      </c>
      <c r="I986" s="35" t="inlineStr">
        <is>
          <t/>
        </is>
      </c>
      <c r="J986" s="36" t="inlineStr">
        <is>
          <t>www.sustainingtechnologies.com</t>
        </is>
      </c>
      <c r="K986" s="37" t="inlineStr">
        <is>
          <t>info@sustainingtechnologies.com</t>
        </is>
      </c>
      <c r="L986" s="38" t="inlineStr">
        <is>
          <t>+1 (707) 304-2259</t>
        </is>
      </c>
      <c r="M986" s="39" t="inlineStr">
        <is>
          <t>Reavis Sutphin-Gray</t>
        </is>
      </c>
      <c r="N986" s="40" t="inlineStr">
        <is>
          <t>Co-Founder, Lead Software Developer, Co-Managing Member &amp; Software Architect</t>
        </is>
      </c>
      <c r="O986" s="41" t="inlineStr">
        <is>
          <t>r.sutphin-gray@sustainingtechnologies.com</t>
        </is>
      </c>
      <c r="P986" s="42" t="inlineStr">
        <is>
          <t>+1 (707) 304-2259</t>
        </is>
      </c>
      <c r="Q986" s="43" t="n">
        <v>2009.0</v>
      </c>
      <c r="R986" s="114">
        <f>HYPERLINK("https://my.pitchbook.com?c=92623-87", "View company online")</f>
      </c>
    </row>
    <row r="987">
      <c r="A987" s="9" t="inlineStr">
        <is>
          <t>161407-09</t>
        </is>
      </c>
      <c r="B987" s="10" t="inlineStr">
        <is>
          <t>Sustainable Now Technologies</t>
        </is>
      </c>
      <c r="C987" s="11" t="inlineStr">
        <is>
          <t>90755</t>
        </is>
      </c>
      <c r="D987" s="12" t="inlineStr">
        <is>
          <t>Manufacturer of sustainable products created to reduce carbon content in the environment. The company designs and builds a device that reduces carbon content in the environment and produces organic algae biomass enabling users to reduce their carbon footprint and cleanse the environment.</t>
        </is>
      </c>
      <c r="E987" s="13" t="inlineStr">
        <is>
          <t>Other Equipment</t>
        </is>
      </c>
      <c r="F987" s="14" t="inlineStr">
        <is>
          <t>Signal Hill, CA</t>
        </is>
      </c>
      <c r="G987" s="15" t="inlineStr">
        <is>
          <t>Privately Held (backing)</t>
        </is>
      </c>
      <c r="H987" s="16" t="inlineStr">
        <is>
          <t>Angel-Backed</t>
        </is>
      </c>
      <c r="I987" s="17" t="inlineStr">
        <is>
          <t/>
        </is>
      </c>
      <c r="J987" s="18" t="inlineStr">
        <is>
          <t>www.sustainablenowtechnologies.com</t>
        </is>
      </c>
      <c r="K987" s="19" t="inlineStr">
        <is>
          <t/>
        </is>
      </c>
      <c r="L987" s="20" t="inlineStr">
        <is>
          <t>+1 (415) 602-9199</t>
        </is>
      </c>
      <c r="M987" s="21" t="inlineStr">
        <is>
          <t>Nathan Morrison</t>
        </is>
      </c>
      <c r="N987" s="22" t="inlineStr">
        <is>
          <t>Founding Member &amp; Chief Executive Officer</t>
        </is>
      </c>
      <c r="O987" s="23" t="inlineStr">
        <is>
          <t>nathan.morrison@sustainablenowtechnologies.com</t>
        </is>
      </c>
      <c r="P987" s="24" t="inlineStr">
        <is>
          <t>+1 (415) 602-9199</t>
        </is>
      </c>
      <c r="Q987" s="25" t="n">
        <v>2009.0</v>
      </c>
      <c r="R987" s="113">
        <f>HYPERLINK("https://my.pitchbook.com?c=161407-09", "View company online")</f>
      </c>
    </row>
    <row r="988">
      <c r="A988" s="27" t="inlineStr">
        <is>
          <t>53495-83</t>
        </is>
      </c>
      <c r="B988" s="28" t="inlineStr">
        <is>
          <t>Sustainable Life Media</t>
        </is>
      </c>
      <c r="C988" s="29" t="inlineStr">
        <is>
          <t>94010</t>
        </is>
      </c>
      <c r="D988" s="30" t="inlineStr">
        <is>
          <t>Provider of business-to-business media and event services.</t>
        </is>
      </c>
      <c r="E988" s="31" t="inlineStr">
        <is>
          <t>Media and Information Services (B2B)</t>
        </is>
      </c>
      <c r="F988" s="32" t="inlineStr">
        <is>
          <t>Burlingame, CA</t>
        </is>
      </c>
      <c r="G988" s="33" t="inlineStr">
        <is>
          <t>Privately Held (backing)</t>
        </is>
      </c>
      <c r="H988" s="34" t="inlineStr">
        <is>
          <t>Angel-Backed</t>
        </is>
      </c>
      <c r="I988" s="35" t="inlineStr">
        <is>
          <t>Individual Investor</t>
        </is>
      </c>
      <c r="J988" s="36" t="inlineStr">
        <is>
          <t>www.sustainablebrands.com</t>
        </is>
      </c>
      <c r="K988" s="37" t="inlineStr">
        <is>
          <t/>
        </is>
      </c>
      <c r="L988" s="38" t="inlineStr">
        <is>
          <t>+1 (650) 344-9693</t>
        </is>
      </c>
      <c r="M988" s="39" t="inlineStr">
        <is>
          <t>KoAnn Skrzyniarz</t>
        </is>
      </c>
      <c r="N988" s="40" t="inlineStr">
        <is>
          <t>Chief Executive Officer &amp; Co-Founder</t>
        </is>
      </c>
      <c r="O988" s="41" t="inlineStr">
        <is>
          <t>koann@sustainablelifemedia.com</t>
        </is>
      </c>
      <c r="P988" s="42" t="inlineStr">
        <is>
          <t>+1 (650) 344-9693</t>
        </is>
      </c>
      <c r="Q988" s="43" t="n">
        <v>2004.0</v>
      </c>
      <c r="R988" s="114">
        <f>HYPERLINK("https://my.pitchbook.com?c=53495-83", "View company online")</f>
      </c>
    </row>
    <row r="989">
      <c r="A989" s="9" t="inlineStr">
        <is>
          <t>171570-52</t>
        </is>
      </c>
      <c r="B989" s="10" t="inlineStr">
        <is>
          <t>Survox</t>
        </is>
      </c>
      <c r="C989" s="85">
        <f>HYPERLINK("https://my.pitchbook.com?rrp=171570-52&amp;type=c", "This Company's information is not available to download. Need this Company? Request availability")</f>
      </c>
      <c r="D989" s="12" t="inlineStr">
        <is>
          <t/>
        </is>
      </c>
      <c r="E989" s="13" t="inlineStr">
        <is>
          <t/>
        </is>
      </c>
      <c r="F989" s="14" t="inlineStr">
        <is>
          <t/>
        </is>
      </c>
      <c r="G989" s="15" t="inlineStr">
        <is>
          <t/>
        </is>
      </c>
      <c r="H989" s="16" t="inlineStr">
        <is>
          <t/>
        </is>
      </c>
      <c r="I989" s="17" t="inlineStr">
        <is>
          <t/>
        </is>
      </c>
      <c r="J989" s="18" t="inlineStr">
        <is>
          <t/>
        </is>
      </c>
      <c r="K989" s="19" t="inlineStr">
        <is>
          <t/>
        </is>
      </c>
      <c r="L989" s="20" t="inlineStr">
        <is>
          <t/>
        </is>
      </c>
      <c r="M989" s="21" t="inlineStr">
        <is>
          <t/>
        </is>
      </c>
      <c r="N989" s="22" t="inlineStr">
        <is>
          <t/>
        </is>
      </c>
      <c r="O989" s="23" t="inlineStr">
        <is>
          <t/>
        </is>
      </c>
      <c r="P989" s="24" t="inlineStr">
        <is>
          <t/>
        </is>
      </c>
      <c r="Q989" s="25" t="inlineStr">
        <is>
          <t/>
        </is>
      </c>
      <c r="R989" s="26" t="inlineStr">
        <is>
          <t/>
        </is>
      </c>
    </row>
    <row r="990">
      <c r="A990" s="27" t="inlineStr">
        <is>
          <t>94036-69</t>
        </is>
      </c>
      <c r="B990" s="28" t="inlineStr">
        <is>
          <t>Survmetrics</t>
        </is>
      </c>
      <c r="C990" s="29" t="inlineStr">
        <is>
          <t>94040</t>
        </is>
      </c>
      <c r="D990" s="30" t="inlineStr">
        <is>
          <t>Provider of an online survey platform. The company helps its users to create surveys with an improved user experience and higher response rates. It also enables its users to create surveys that promotes the engagement with their clients.</t>
        </is>
      </c>
      <c r="E990" s="31" t="inlineStr">
        <is>
          <t>Social/Platform Software</t>
        </is>
      </c>
      <c r="F990" s="32" t="inlineStr">
        <is>
          <t>Mountain View, CA</t>
        </is>
      </c>
      <c r="G990" s="33" t="inlineStr">
        <is>
          <t>Privately Held (backing)</t>
        </is>
      </c>
      <c r="H990" s="34" t="inlineStr">
        <is>
          <t>Accelerator/Incubator Backed</t>
        </is>
      </c>
      <c r="I990" s="35" t="inlineStr">
        <is>
          <t>500 Startups, Hernando Guzman, Michael Momsen, Mike Okyere, Orange Fab, Rasmus Wilhelmsen, Sean Percival, Suzanne Andrews</t>
        </is>
      </c>
      <c r="J990" s="36" t="inlineStr">
        <is>
          <t>www.survmetrics.com</t>
        </is>
      </c>
      <c r="K990" s="37" t="inlineStr">
        <is>
          <t>hello@survmetrics.com</t>
        </is>
      </c>
      <c r="L990" s="38" t="inlineStr">
        <is>
          <t>+1 (650) 669-0062</t>
        </is>
      </c>
      <c r="M990" s="39" t="inlineStr">
        <is>
          <t>Ramon Escobar</t>
        </is>
      </c>
      <c r="N990" s="40" t="inlineStr">
        <is>
          <t>Co-Founder, Head of Business Operations &amp; Chief Operating Officer</t>
        </is>
      </c>
      <c r="O990" s="41" t="inlineStr">
        <is>
          <t>ramon@survmetrics.com</t>
        </is>
      </c>
      <c r="P990" s="42" t="inlineStr">
        <is>
          <t>+1 (650) 669-0062</t>
        </is>
      </c>
      <c r="Q990" s="43" t="n">
        <v>2013.0</v>
      </c>
      <c r="R990" s="114">
        <f>HYPERLINK("https://my.pitchbook.com?c=94036-69", "View company online")</f>
      </c>
    </row>
    <row r="991">
      <c r="A991" s="9" t="inlineStr">
        <is>
          <t>156818-89</t>
        </is>
      </c>
      <c r="B991" s="10" t="inlineStr">
        <is>
          <t>Surveyor Health</t>
        </is>
      </c>
      <c r="C991" s="11" t="inlineStr">
        <is>
          <t>94404</t>
        </is>
      </c>
      <c r="D991" s="12" t="inlineStr">
        <is>
          <t>Provider of an online medication reviews discovery platform. The company offers a Web-based platform and mobile application that allows healthcare providers to reduce additive side effects, interactions, contraindications, high risk drugs, and duplicate therapy.</t>
        </is>
      </c>
      <c r="E991" s="13" t="inlineStr">
        <is>
          <t>Other Healthcare Technology Systems</t>
        </is>
      </c>
      <c r="F991" s="14" t="inlineStr">
        <is>
          <t>Foster City, CA</t>
        </is>
      </c>
      <c r="G991" s="15" t="inlineStr">
        <is>
          <t>Privately Held (backing)</t>
        </is>
      </c>
      <c r="H991" s="16" t="inlineStr">
        <is>
          <t>Angel-Backed</t>
        </is>
      </c>
      <c r="I991" s="17" t="inlineStr">
        <is>
          <t/>
        </is>
      </c>
      <c r="J991" s="18" t="inlineStr">
        <is>
          <t>www.surveyorhealth.com</t>
        </is>
      </c>
      <c r="K991" s="19" t="inlineStr">
        <is>
          <t>info@surveyorhealth.com</t>
        </is>
      </c>
      <c r="L991" s="20" t="inlineStr">
        <is>
          <t>+1 (877) 797-8783</t>
        </is>
      </c>
      <c r="M991" s="21" t="inlineStr">
        <is>
          <t>Linda Von Schweber</t>
        </is>
      </c>
      <c r="N991" s="22" t="inlineStr">
        <is>
          <t>Co-Founder, Executive Co-Chairman, President &amp; Board Member</t>
        </is>
      </c>
      <c r="O991" s="23" t="inlineStr">
        <is>
          <t>linda@surveyorhealth.com</t>
        </is>
      </c>
      <c r="P991" s="24" t="inlineStr">
        <is>
          <t>+1 (877) 797-8783</t>
        </is>
      </c>
      <c r="Q991" s="25" t="n">
        <v>2006.0</v>
      </c>
      <c r="R991" s="113">
        <f>HYPERLINK("https://my.pitchbook.com?c=156818-89", "View company online")</f>
      </c>
    </row>
    <row r="992">
      <c r="A992" s="27" t="inlineStr">
        <is>
          <t>149991-49</t>
        </is>
      </c>
      <c r="B992" s="28" t="inlineStr">
        <is>
          <t>Surgicare of La Veta</t>
        </is>
      </c>
      <c r="C992" s="29" t="inlineStr">
        <is>
          <t>92868</t>
        </is>
      </c>
      <c r="D992" s="30" t="inlineStr">
        <is>
          <t>Operator of an outpatient surgical care center. The company operates an outpatient surgical care center in the United States.</t>
        </is>
      </c>
      <c r="E992" s="31" t="inlineStr">
        <is>
          <t>Clinics/Outpatient Services</t>
        </is>
      </c>
      <c r="F992" s="32" t="inlineStr">
        <is>
          <t>Orange, CA</t>
        </is>
      </c>
      <c r="G992" s="33" t="inlineStr">
        <is>
          <t>Privately Held (backing)</t>
        </is>
      </c>
      <c r="H992" s="34" t="inlineStr">
        <is>
          <t>Angel-Backed</t>
        </is>
      </c>
      <c r="I992" s="35" t="inlineStr">
        <is>
          <t/>
        </is>
      </c>
      <c r="J992" s="36" t="inlineStr">
        <is>
          <t>www.lavetasurgical.com</t>
        </is>
      </c>
      <c r="K992" s="37" t="inlineStr">
        <is>
          <t/>
        </is>
      </c>
      <c r="L992" s="38" t="inlineStr">
        <is>
          <t>+1 (714) 744-0900</t>
        </is>
      </c>
      <c r="M992" s="39" t="inlineStr">
        <is>
          <t>Donald Ruhland</t>
        </is>
      </c>
      <c r="N992" s="40" t="inlineStr">
        <is>
          <t>Medical Director</t>
        </is>
      </c>
      <c r="O992" s="41" t="inlineStr">
        <is>
          <t/>
        </is>
      </c>
      <c r="P992" s="42" t="inlineStr">
        <is>
          <t>+1 (714) 744-0900</t>
        </is>
      </c>
      <c r="Q992" s="43" t="n">
        <v>1988.0</v>
      </c>
      <c r="R992" s="114">
        <f>HYPERLINK("https://my.pitchbook.com?c=149991-49", "View company online")</f>
      </c>
    </row>
    <row r="993">
      <c r="A993" s="9" t="inlineStr">
        <is>
          <t>111317-95</t>
        </is>
      </c>
      <c r="B993" s="10" t="inlineStr">
        <is>
          <t>Surfing Donkey Cocktail</t>
        </is>
      </c>
      <c r="C993" s="11" t="inlineStr">
        <is>
          <t>90405</t>
        </is>
      </c>
      <c r="D993" s="12" t="inlineStr">
        <is>
          <t>Provider of craft cocktail beverages. The company offers handcrafted cocktails using spirits and other organic ingredients.</t>
        </is>
      </c>
      <c r="E993" s="13" t="inlineStr">
        <is>
          <t>Beverages</t>
        </is>
      </c>
      <c r="F993" s="14" t="inlineStr">
        <is>
          <t>Santa Monica, CA</t>
        </is>
      </c>
      <c r="G993" s="15" t="inlineStr">
        <is>
          <t>Privately Held (backing)</t>
        </is>
      </c>
      <c r="H993" s="16" t="inlineStr">
        <is>
          <t>Angel-Backed</t>
        </is>
      </c>
      <c r="I993" s="17" t="inlineStr">
        <is>
          <t/>
        </is>
      </c>
      <c r="J993" s="18" t="inlineStr">
        <is>
          <t>www.surfingdonkey.com</t>
        </is>
      </c>
      <c r="K993" s="19" t="inlineStr">
        <is>
          <t>info@surfingdonkey.com</t>
        </is>
      </c>
      <c r="L993" s="20" t="inlineStr">
        <is>
          <t>+1 (510) 847-5255</t>
        </is>
      </c>
      <c r="M993" s="21" t="inlineStr">
        <is>
          <t>Patrick Castles</t>
        </is>
      </c>
      <c r="N993" s="22" t="inlineStr">
        <is>
          <t>Founder, President &amp; Board Member</t>
        </is>
      </c>
      <c r="O993" s="23" t="inlineStr">
        <is>
          <t>patrick@surfingdonkey.com</t>
        </is>
      </c>
      <c r="P993" s="24" t="inlineStr">
        <is>
          <t>+1 (510) 847-5255</t>
        </is>
      </c>
      <c r="Q993" s="25" t="n">
        <v>2010.0</v>
      </c>
      <c r="R993" s="113">
        <f>HYPERLINK("https://my.pitchbook.com?c=111317-95", "View company online")</f>
      </c>
    </row>
    <row r="994">
      <c r="A994" s="27" t="inlineStr">
        <is>
          <t>90457-66</t>
        </is>
      </c>
      <c r="B994" s="28" t="inlineStr">
        <is>
          <t>Surfbreak Rentals</t>
        </is>
      </c>
      <c r="C994" s="29" t="inlineStr">
        <is>
          <t>94941</t>
        </is>
      </c>
      <c r="D994" s="30" t="inlineStr">
        <is>
          <t>Provider of a beach vacation rental community platform. The company provides a beach vacation rental community platform which specializes in vacation rentals by surfbreaks.</t>
        </is>
      </c>
      <c r="E994" s="31" t="inlineStr">
        <is>
          <t>Social/Platform Software</t>
        </is>
      </c>
      <c r="F994" s="32" t="inlineStr">
        <is>
          <t>Mill Valley, CA</t>
        </is>
      </c>
      <c r="G994" s="33" t="inlineStr">
        <is>
          <t>Privately Held (backing)</t>
        </is>
      </c>
      <c r="H994" s="34" t="inlineStr">
        <is>
          <t>Angel-Backed</t>
        </is>
      </c>
      <c r="I994" s="35" t="inlineStr">
        <is>
          <t>Daniel Mulderry, Daniel Osborne, John Cardente</t>
        </is>
      </c>
      <c r="J994" s="36" t="inlineStr">
        <is>
          <t>www.surfbreakrentals.com</t>
        </is>
      </c>
      <c r="K994" s="37" t="inlineStr">
        <is>
          <t/>
        </is>
      </c>
      <c r="L994" s="38" t="inlineStr">
        <is>
          <t/>
        </is>
      </c>
      <c r="M994" s="39" t="inlineStr">
        <is>
          <t>Matthew Belden</t>
        </is>
      </c>
      <c r="N994" s="40" t="inlineStr">
        <is>
          <t>Co-Founder &amp; Chief Executive Officer</t>
        </is>
      </c>
      <c r="O994" s="41" t="inlineStr">
        <is>
          <t>matt@surfbreakrentals.com</t>
        </is>
      </c>
      <c r="P994" s="42" t="inlineStr">
        <is>
          <t/>
        </is>
      </c>
      <c r="Q994" s="43" t="n">
        <v>2011.0</v>
      </c>
      <c r="R994" s="114">
        <f>HYPERLINK("https://my.pitchbook.com?c=90457-66", "View company online")</f>
      </c>
    </row>
    <row r="995">
      <c r="A995" s="9" t="inlineStr">
        <is>
          <t>180356-50</t>
        </is>
      </c>
      <c r="B995" s="10" t="inlineStr">
        <is>
          <t>Surf Shop Box</t>
        </is>
      </c>
      <c r="C995" s="85">
        <f>HYPERLINK("https://my.pitchbook.com?rrp=180356-50&amp;type=c", "This Company's information is not available to download. Need this Company? Request availability")</f>
      </c>
      <c r="D995" s="12" t="inlineStr">
        <is>
          <t/>
        </is>
      </c>
      <c r="E995" s="13" t="inlineStr">
        <is>
          <t/>
        </is>
      </c>
      <c r="F995" s="14" t="inlineStr">
        <is>
          <t/>
        </is>
      </c>
      <c r="G995" s="15" t="inlineStr">
        <is>
          <t/>
        </is>
      </c>
      <c r="H995" s="16" t="inlineStr">
        <is>
          <t/>
        </is>
      </c>
      <c r="I995" s="17" t="inlineStr">
        <is>
          <t/>
        </is>
      </c>
      <c r="J995" s="18" t="inlineStr">
        <is>
          <t/>
        </is>
      </c>
      <c r="K995" s="19" t="inlineStr">
        <is>
          <t/>
        </is>
      </c>
      <c r="L995" s="20" t="inlineStr">
        <is>
          <t/>
        </is>
      </c>
      <c r="M995" s="21" t="inlineStr">
        <is>
          <t/>
        </is>
      </c>
      <c r="N995" s="22" t="inlineStr">
        <is>
          <t/>
        </is>
      </c>
      <c r="O995" s="23" t="inlineStr">
        <is>
          <t/>
        </is>
      </c>
      <c r="P995" s="24" t="inlineStr">
        <is>
          <t/>
        </is>
      </c>
      <c r="Q995" s="25" t="inlineStr">
        <is>
          <t/>
        </is>
      </c>
      <c r="R995" s="26" t="inlineStr">
        <is>
          <t/>
        </is>
      </c>
    </row>
    <row r="996">
      <c r="A996" s="27" t="inlineStr">
        <is>
          <t>114983-74</t>
        </is>
      </c>
      <c r="B996" s="28" t="inlineStr">
        <is>
          <t>Surf City Sandwich</t>
        </is>
      </c>
      <c r="C996" s="29" t="inlineStr">
        <is>
          <t>95073</t>
        </is>
      </c>
      <c r="D996" s="30" t="inlineStr">
        <is>
          <t>Operator of a restaurant cum bar. The company serves various type of snacks and sandwiches and craft brewed beers at its outlet.</t>
        </is>
      </c>
      <c r="E996" s="31" t="inlineStr">
        <is>
          <t>Restaurants and Bars</t>
        </is>
      </c>
      <c r="F996" s="32" t="inlineStr">
        <is>
          <t>Soquel, CA</t>
        </is>
      </c>
      <c r="G996" s="33" t="inlineStr">
        <is>
          <t>Privately Held (backing)</t>
        </is>
      </c>
      <c r="H996" s="34" t="inlineStr">
        <is>
          <t>Angel-Backed</t>
        </is>
      </c>
      <c r="I996" s="35" t="inlineStr">
        <is>
          <t/>
        </is>
      </c>
      <c r="J996" s="36" t="inlineStr">
        <is>
          <t>www.surfcitysandwich.com</t>
        </is>
      </c>
      <c r="K996" s="37" t="inlineStr">
        <is>
          <t>owtsrfn@hotmail.com</t>
        </is>
      </c>
      <c r="L996" s="38" t="inlineStr">
        <is>
          <t>+1 (831) 346-6952</t>
        </is>
      </c>
      <c r="M996" s="39" t="inlineStr">
        <is>
          <t>Paul Figliomeni</t>
        </is>
      </c>
      <c r="N996" s="40" t="inlineStr">
        <is>
          <t>Owner, Chef &amp; Board Member</t>
        </is>
      </c>
      <c r="O996" s="41" t="inlineStr">
        <is>
          <t>owtsrfn@hotmail.com</t>
        </is>
      </c>
      <c r="P996" s="42" t="inlineStr">
        <is>
          <t>+1 (831) 346-6952</t>
        </is>
      </c>
      <c r="Q996" s="43" t="n">
        <v>2015.0</v>
      </c>
      <c r="R996" s="114">
        <f>HYPERLINK("https://my.pitchbook.com?c=114983-74", "View company online")</f>
      </c>
    </row>
    <row r="997">
      <c r="A997" s="9" t="inlineStr">
        <is>
          <t>53825-95</t>
        </is>
      </c>
      <c r="B997" s="10" t="inlineStr">
        <is>
          <t>Surf Canyon</t>
        </is>
      </c>
      <c r="C997" s="11" t="inlineStr">
        <is>
          <t>94612</t>
        </is>
      </c>
      <c r="D997" s="12" t="inlineStr">
        <is>
          <t>Developer of technology for internet search. The company's technology works with various third-party search engines and assists users in finding relevant information.</t>
        </is>
      </c>
      <c r="E997" s="13" t="inlineStr">
        <is>
          <t>Internet Software</t>
        </is>
      </c>
      <c r="F997" s="14" t="inlineStr">
        <is>
          <t>Oakland, CA</t>
        </is>
      </c>
      <c r="G997" s="15" t="inlineStr">
        <is>
          <t>Privately Held (backing)</t>
        </is>
      </c>
      <c r="H997" s="16" t="inlineStr">
        <is>
          <t>Angel-Backed</t>
        </is>
      </c>
      <c r="I997" s="17" t="inlineStr">
        <is>
          <t>Individual Investor</t>
        </is>
      </c>
      <c r="J997" s="18" t="inlineStr">
        <is>
          <t>www.rankdynamics.com</t>
        </is>
      </c>
      <c r="K997" s="19" t="inlineStr">
        <is>
          <t>contact@surfcanyon.com</t>
        </is>
      </c>
      <c r="L997" s="20" t="inlineStr">
        <is>
          <t>+1 (415) 821-4530</t>
        </is>
      </c>
      <c r="M997" s="21" t="inlineStr">
        <is>
          <t>Mark Cramer</t>
        </is>
      </c>
      <c r="N997" s="22" t="inlineStr">
        <is>
          <t>Chief Executive Officer &amp; Founder</t>
        </is>
      </c>
      <c r="O997" s="23" t="inlineStr">
        <is>
          <t>mcramer@surfcanyon.com</t>
        </is>
      </c>
      <c r="P997" s="24" t="inlineStr">
        <is>
          <t>+1 (415) 821-4530</t>
        </is>
      </c>
      <c r="Q997" s="25" t="n">
        <v>2006.0</v>
      </c>
      <c r="R997" s="113">
        <f>HYPERLINK("https://my.pitchbook.com?c=53825-95", "View company online")</f>
      </c>
    </row>
    <row r="998">
      <c r="A998" s="27" t="inlineStr">
        <is>
          <t>107975-80</t>
        </is>
      </c>
      <c r="B998" s="28" t="inlineStr">
        <is>
          <t>Suretone Carl</t>
        </is>
      </c>
      <c r="C998" s="29" t="inlineStr">
        <is>
          <t/>
        </is>
      </c>
      <c r="D998" s="30" t="inlineStr">
        <is>
          <t>Provider of online entertainment services. The company offers live streaming of events, music, concerts, artists and studios over the internet in real-time.</t>
        </is>
      </c>
      <c r="E998" s="31" t="inlineStr">
        <is>
          <t>Movies, Music and Entertainment</t>
        </is>
      </c>
      <c r="F998" s="32" t="inlineStr">
        <is>
          <t>Santa Monica, CA</t>
        </is>
      </c>
      <c r="G998" s="33" t="inlineStr">
        <is>
          <t>Privately Held (backing)</t>
        </is>
      </c>
      <c r="H998" s="34" t="inlineStr">
        <is>
          <t>Angel-Backed</t>
        </is>
      </c>
      <c r="I998" s="35" t="inlineStr">
        <is>
          <t/>
        </is>
      </c>
      <c r="J998" s="36" t="inlineStr">
        <is>
          <t>www.suretonelive.com</t>
        </is>
      </c>
      <c r="K998" s="37" t="inlineStr">
        <is>
          <t>pr@cinsay.com</t>
        </is>
      </c>
      <c r="L998" s="38" t="inlineStr">
        <is>
          <t>+1 (310) 526-5410</t>
        </is>
      </c>
      <c r="M998" s="39" t="inlineStr">
        <is>
          <t>Jordan Schur</t>
        </is>
      </c>
      <c r="N998" s="40" t="inlineStr">
        <is>
          <t>Co-Chief Executive Officer, Chairman, Promoter and Board Member</t>
        </is>
      </c>
      <c r="O998" s="41" t="inlineStr">
        <is>
          <t>jschur@suretone.com</t>
        </is>
      </c>
      <c r="P998" s="42" t="inlineStr">
        <is>
          <t>+1 (310) 526-5410</t>
        </is>
      </c>
      <c r="Q998" s="43" t="n">
        <v>2014.0</v>
      </c>
      <c r="R998" s="114">
        <f>HYPERLINK("https://my.pitchbook.com?c=107975-80", "View company online")</f>
      </c>
    </row>
    <row r="999">
      <c r="A999" s="9" t="inlineStr">
        <is>
          <t>156740-95</t>
        </is>
      </c>
      <c r="B999" s="10" t="inlineStr">
        <is>
          <t>SurePrep</t>
        </is>
      </c>
      <c r="C999" s="11" t="inlineStr">
        <is>
          <t>92614</t>
        </is>
      </c>
      <c r="D999" s="12" t="inlineStr">
        <is>
          <t>Provider of Optical Character Recognition tools. The company offers online tools based on Optical Character Recognition which are used for tax filing, income calculations, loan underwriting and mortgage processing.</t>
        </is>
      </c>
      <c r="E999" s="13" t="inlineStr">
        <is>
          <t>Business/Productivity Software</t>
        </is>
      </c>
      <c r="F999" s="14" t="inlineStr">
        <is>
          <t>Irvine, CA</t>
        </is>
      </c>
      <c r="G999" s="15" t="inlineStr">
        <is>
          <t>Privately Held (backing)</t>
        </is>
      </c>
      <c r="H999" s="16" t="inlineStr">
        <is>
          <t>Angel-Backed</t>
        </is>
      </c>
      <c r="I999" s="17" t="inlineStr">
        <is>
          <t>Sheldon Razin</t>
        </is>
      </c>
      <c r="J999" s="18" t="inlineStr">
        <is>
          <t>www.loanbeam.com</t>
        </is>
      </c>
      <c r="K999" s="19" t="inlineStr">
        <is>
          <t/>
        </is>
      </c>
      <c r="L999" s="20" t="inlineStr">
        <is>
          <t>+1 (800) 805-8582</t>
        </is>
      </c>
      <c r="M999" s="21" t="inlineStr">
        <is>
          <t>David Wyle</t>
        </is>
      </c>
      <c r="N999" s="22" t="inlineStr">
        <is>
          <t>President &amp; Chief Executive Officer</t>
        </is>
      </c>
      <c r="O999" s="23" t="inlineStr">
        <is>
          <t>dwyle@sureprep.com</t>
        </is>
      </c>
      <c r="P999" s="24" t="inlineStr">
        <is>
          <t>+1 (800) 805-8582</t>
        </is>
      </c>
      <c r="Q999" s="25" t="n">
        <v>2002.0</v>
      </c>
      <c r="R999" s="113">
        <f>HYPERLINK("https://my.pitchbook.com?c=156740-95", "View company online")</f>
      </c>
    </row>
    <row r="1000">
      <c r="A1000" s="27" t="inlineStr">
        <is>
          <t>133160-32</t>
        </is>
      </c>
      <c r="B1000" s="28" t="inlineStr">
        <is>
          <t>SurePod</t>
        </is>
      </c>
      <c r="C1000" s="29" t="inlineStr">
        <is>
          <t>94086</t>
        </is>
      </c>
      <c r="D1000" s="30" t="inlineStr">
        <is>
          <t>Developer of a security system for the personal safety of seniors. The company offers cloud-based GPS tracking security device that provides personal protection to the seniors beyond home.</t>
        </is>
      </c>
      <c r="E1000" s="31" t="inlineStr">
        <is>
          <t>Information Services (B2C)</t>
        </is>
      </c>
      <c r="F1000" s="32" t="inlineStr">
        <is>
          <t>Sunnyvale, CA</t>
        </is>
      </c>
      <c r="G1000" s="33" t="inlineStr">
        <is>
          <t>Privately Held (backing)</t>
        </is>
      </c>
      <c r="H1000" s="34" t="inlineStr">
        <is>
          <t>Angel-Backed</t>
        </is>
      </c>
      <c r="I1000" s="35" t="inlineStr">
        <is>
          <t>Semyon Dukach</t>
        </is>
      </c>
      <c r="J1000" s="36" t="inlineStr">
        <is>
          <t>www.surepod.com</t>
        </is>
      </c>
      <c r="K1000" s="37" t="inlineStr">
        <is>
          <t/>
        </is>
      </c>
      <c r="L1000" s="38" t="inlineStr">
        <is>
          <t/>
        </is>
      </c>
      <c r="M1000" s="39" t="inlineStr">
        <is>
          <t/>
        </is>
      </c>
      <c r="N1000" s="40" t="inlineStr">
        <is>
          <t/>
        </is>
      </c>
      <c r="O1000" s="41" t="inlineStr">
        <is>
          <t/>
        </is>
      </c>
      <c r="P1000" s="42" t="inlineStr">
        <is>
          <t/>
        </is>
      </c>
      <c r="Q1000" s="43" t="inlineStr">
        <is>
          <t/>
        </is>
      </c>
      <c r="R1000" s="114">
        <f>HYPERLINK("https://my.pitchbook.com?c=133160-32", "View company online")</f>
      </c>
    </row>
    <row r="1001">
      <c r="A1001" s="9" t="inlineStr">
        <is>
          <t>151182-10</t>
        </is>
      </c>
      <c r="B1001" s="10" t="inlineStr">
        <is>
          <t>Sureify Labs</t>
        </is>
      </c>
      <c r="C1001" s="11" t="inlineStr">
        <is>
          <t>95125</t>
        </is>
      </c>
      <c r="D1001" s="12" t="inlineStr">
        <is>
          <t>Developer of an online life insurance information platform designed to manage relationships between life insurers, agents and policyholders. The company's online life insurance information platform offers digital customer engagement tools in the hands of insurers to increase customer loyalty, brand recognition and better customer experience, enabling insurers and their agents to acquire, engage, choose and buy a life insurance policy and cross-sell throughout a customer's lifetime.</t>
        </is>
      </c>
      <c r="E1001" s="13" t="inlineStr">
        <is>
          <t>Social/Platform Software</t>
        </is>
      </c>
      <c r="F1001" s="14" t="inlineStr">
        <is>
          <t>San Jose, CA</t>
        </is>
      </c>
      <c r="G1001" s="15" t="inlineStr">
        <is>
          <t>Privately Held (backing)</t>
        </is>
      </c>
      <c r="H1001" s="16" t="inlineStr">
        <is>
          <t>Accelerator/Incubator Backed</t>
        </is>
      </c>
      <c r="I1001" s="17" t="inlineStr">
        <is>
          <t>Hannover Re, Plug and Play Tech Center</t>
        </is>
      </c>
      <c r="J1001" s="18" t="inlineStr">
        <is>
          <t>www.sureify.com</t>
        </is>
      </c>
      <c r="K1001" s="19" t="inlineStr">
        <is>
          <t>hello@sureify.com</t>
        </is>
      </c>
      <c r="L1001" s="20" t="inlineStr">
        <is>
          <t>+1 (408) 489-8881</t>
        </is>
      </c>
      <c r="M1001" s="21" t="inlineStr">
        <is>
          <t>David Belgum</t>
        </is>
      </c>
      <c r="N1001" s="22" t="inlineStr">
        <is>
          <t>Chief Financial Officer and Co-Founder</t>
        </is>
      </c>
      <c r="O1001" s="23" t="inlineStr">
        <is>
          <t>david@sureify.com</t>
        </is>
      </c>
      <c r="P1001" s="24" t="inlineStr">
        <is>
          <t>+1 (408) 489-8881</t>
        </is>
      </c>
      <c r="Q1001" s="25" t="n">
        <v>2012.0</v>
      </c>
      <c r="R1001" s="113">
        <f>HYPERLINK("https://my.pitchbook.com?c=151182-10", "View company online")</f>
      </c>
    </row>
    <row r="1002">
      <c r="A1002" s="27" t="inlineStr">
        <is>
          <t>176419-27</t>
        </is>
      </c>
      <c r="B1002" s="28" t="inlineStr">
        <is>
          <t>Sur3D</t>
        </is>
      </c>
      <c r="C1002" s="86">
        <f>HYPERLINK("https://my.pitchbook.com?rrp=176419-27&amp;type=c", "This Company's information is not available to download. Need this Company? Request availability")</f>
      </c>
      <c r="D1002" s="30" t="inlineStr">
        <is>
          <t/>
        </is>
      </c>
      <c r="E1002" s="31" t="inlineStr">
        <is>
          <t/>
        </is>
      </c>
      <c r="F1002" s="32" t="inlineStr">
        <is>
          <t/>
        </is>
      </c>
      <c r="G1002" s="33" t="inlineStr">
        <is>
          <t/>
        </is>
      </c>
      <c r="H1002" s="34" t="inlineStr">
        <is>
          <t/>
        </is>
      </c>
      <c r="I1002" s="35" t="inlineStr">
        <is>
          <t/>
        </is>
      </c>
      <c r="J1002" s="36" t="inlineStr">
        <is>
          <t/>
        </is>
      </c>
      <c r="K1002" s="37" t="inlineStr">
        <is>
          <t/>
        </is>
      </c>
      <c r="L1002" s="38" t="inlineStr">
        <is>
          <t/>
        </is>
      </c>
      <c r="M1002" s="39" t="inlineStr">
        <is>
          <t/>
        </is>
      </c>
      <c r="N1002" s="40" t="inlineStr">
        <is>
          <t/>
        </is>
      </c>
      <c r="O1002" s="41" t="inlineStr">
        <is>
          <t/>
        </is>
      </c>
      <c r="P1002" s="42" t="inlineStr">
        <is>
          <t/>
        </is>
      </c>
      <c r="Q1002" s="43" t="inlineStr">
        <is>
          <t/>
        </is>
      </c>
      <c r="R1002" s="44" t="inlineStr">
        <is>
          <t/>
        </is>
      </c>
    </row>
    <row r="1003">
      <c r="A1003" s="9" t="inlineStr">
        <is>
          <t>55822-78</t>
        </is>
      </c>
      <c r="B1003" s="10" t="inlineStr">
        <is>
          <t>Supr Good</t>
        </is>
      </c>
      <c r="C1003" s="11" t="inlineStr">
        <is>
          <t>55402</t>
        </is>
      </c>
      <c r="D1003" s="12" t="inlineStr">
        <is>
          <t>Provider of an online shopping platform intended to sell smart wallets. The company designs and sells smart wallet which is a slim, light-weight and elastic couch made from fine linen and waterproof leather that fits smoothly in front pockets, enabling users to carry only necessary and important belongings without consuming much space.</t>
        </is>
      </c>
      <c r="E1003" s="13" t="inlineStr">
        <is>
          <t>Accessories</t>
        </is>
      </c>
      <c r="F1003" s="14" t="inlineStr">
        <is>
          <t>Minneapolis, MN</t>
        </is>
      </c>
      <c r="G1003" s="15" t="inlineStr">
        <is>
          <t>Privately Held (backing)</t>
        </is>
      </c>
      <c r="H1003" s="16" t="inlineStr">
        <is>
          <t>Angel-Backed</t>
        </is>
      </c>
      <c r="I1003" s="17" t="inlineStr">
        <is>
          <t/>
        </is>
      </c>
      <c r="J1003" s="18" t="inlineStr">
        <is>
          <t>www.suprgood.com</t>
        </is>
      </c>
      <c r="K1003" s="19" t="inlineStr">
        <is>
          <t>hello@suprgood.com</t>
        </is>
      </c>
      <c r="L1003" s="20" t="inlineStr">
        <is>
          <t>+1 (612) 787-7430</t>
        </is>
      </c>
      <c r="M1003" s="21" t="inlineStr">
        <is>
          <t>Aaron Melander</t>
        </is>
      </c>
      <c r="N1003" s="22" t="inlineStr">
        <is>
          <t>Co-Founder &amp; Creative Director</t>
        </is>
      </c>
      <c r="O1003" s="23" t="inlineStr">
        <is>
          <t>aaron@suprgood.com</t>
        </is>
      </c>
      <c r="P1003" s="24" t="inlineStr">
        <is>
          <t>+1 (612) 787-7430</t>
        </is>
      </c>
      <c r="Q1003" s="25" t="n">
        <v>2012.0</v>
      </c>
      <c r="R1003" s="113">
        <f>HYPERLINK("https://my.pitchbook.com?c=55822-78", "View company online")</f>
      </c>
    </row>
    <row r="1004">
      <c r="A1004" s="27" t="inlineStr">
        <is>
          <t>90347-95</t>
        </is>
      </c>
      <c r="B1004" s="28" t="inlineStr">
        <is>
          <t>SupplyShift</t>
        </is>
      </c>
      <c r="C1004" s="86">
        <f>HYPERLINK("https://my.pitchbook.com?rrp=90347-95&amp;type=c", "This Company's information is not available to download. Need this Company? Request availability")</f>
      </c>
      <c r="D1004" s="30" t="inlineStr">
        <is>
          <t/>
        </is>
      </c>
      <c r="E1004" s="31" t="inlineStr">
        <is>
          <t/>
        </is>
      </c>
      <c r="F1004" s="32" t="inlineStr">
        <is>
          <t/>
        </is>
      </c>
      <c r="G1004" s="33" t="inlineStr">
        <is>
          <t/>
        </is>
      </c>
      <c r="H1004" s="34" t="inlineStr">
        <is>
          <t/>
        </is>
      </c>
      <c r="I1004" s="35" t="inlineStr">
        <is>
          <t/>
        </is>
      </c>
      <c r="J1004" s="36" t="inlineStr">
        <is>
          <t/>
        </is>
      </c>
      <c r="K1004" s="37" t="inlineStr">
        <is>
          <t/>
        </is>
      </c>
      <c r="L1004" s="38" t="inlineStr">
        <is>
          <t/>
        </is>
      </c>
      <c r="M1004" s="39" t="inlineStr">
        <is>
          <t/>
        </is>
      </c>
      <c r="N1004" s="40" t="inlineStr">
        <is>
          <t/>
        </is>
      </c>
      <c r="O1004" s="41" t="inlineStr">
        <is>
          <t/>
        </is>
      </c>
      <c r="P1004" s="42" t="inlineStr">
        <is>
          <t/>
        </is>
      </c>
      <c r="Q1004" s="43" t="inlineStr">
        <is>
          <t/>
        </is>
      </c>
      <c r="R1004" s="44" t="inlineStr">
        <is>
          <t/>
        </is>
      </c>
    </row>
    <row r="1005">
      <c r="A1005" s="9" t="inlineStr">
        <is>
          <t>172089-37</t>
        </is>
      </c>
      <c r="B1005" s="10" t="inlineStr">
        <is>
          <t>SupplyOcean</t>
        </is>
      </c>
      <c r="C1005" s="85">
        <f>HYPERLINK("https://my.pitchbook.com?rrp=172089-37&amp;type=c", "This Company's information is not available to download. Need this Company? Request availability")</f>
      </c>
      <c r="D1005" s="12" t="inlineStr">
        <is>
          <t/>
        </is>
      </c>
      <c r="E1005" s="13" t="inlineStr">
        <is>
          <t/>
        </is>
      </c>
      <c r="F1005" s="14" t="inlineStr">
        <is>
          <t/>
        </is>
      </c>
      <c r="G1005" s="15" t="inlineStr">
        <is>
          <t/>
        </is>
      </c>
      <c r="H1005" s="16" t="inlineStr">
        <is>
          <t/>
        </is>
      </c>
      <c r="I1005" s="17" t="inlineStr">
        <is>
          <t/>
        </is>
      </c>
      <c r="J1005" s="18" t="inlineStr">
        <is>
          <t/>
        </is>
      </c>
      <c r="K1005" s="19" t="inlineStr">
        <is>
          <t/>
        </is>
      </c>
      <c r="L1005" s="20" t="inlineStr">
        <is>
          <t/>
        </is>
      </c>
      <c r="M1005" s="21" t="inlineStr">
        <is>
          <t/>
        </is>
      </c>
      <c r="N1005" s="22" t="inlineStr">
        <is>
          <t/>
        </is>
      </c>
      <c r="O1005" s="23" t="inlineStr">
        <is>
          <t/>
        </is>
      </c>
      <c r="P1005" s="24" t="inlineStr">
        <is>
          <t/>
        </is>
      </c>
      <c r="Q1005" s="25" t="inlineStr">
        <is>
          <t/>
        </is>
      </c>
      <c r="R1005" s="26" t="inlineStr">
        <is>
          <t/>
        </is>
      </c>
    </row>
    <row r="1006">
      <c r="A1006" s="27" t="inlineStr">
        <is>
          <t>88710-40</t>
        </is>
      </c>
      <c r="B1006" s="28" t="inlineStr">
        <is>
          <t>Supplyhub</t>
        </is>
      </c>
      <c r="C1006" s="29" t="inlineStr">
        <is>
          <t>90040</t>
        </is>
      </c>
      <c r="D1006" s="30" t="inlineStr">
        <is>
          <t>Provider of an online business-to-business marketplace. The company offers an online retail platform for commercial and industrial wholesalers which connects buyers, distributors, and manufacturers online.</t>
        </is>
      </c>
      <c r="E1006" s="31" t="inlineStr">
        <is>
          <t>Media and Information Services (B2B)</t>
        </is>
      </c>
      <c r="F1006" s="32" t="inlineStr">
        <is>
          <t>Los Angeles, CA</t>
        </is>
      </c>
      <c r="G1006" s="33" t="inlineStr">
        <is>
          <t>Privately Held (backing)</t>
        </is>
      </c>
      <c r="H1006" s="34" t="inlineStr">
        <is>
          <t>Angel-Backed</t>
        </is>
      </c>
      <c r="I1006" s="35" t="inlineStr">
        <is>
          <t/>
        </is>
      </c>
      <c r="J1006" s="36" t="inlineStr">
        <is>
          <t>www.supplyhub.com</t>
        </is>
      </c>
      <c r="K1006" s="37" t="inlineStr">
        <is>
          <t>info@supplyhub.com</t>
        </is>
      </c>
      <c r="L1006" s="38" t="inlineStr">
        <is>
          <t>+1 (877) 775-9243</t>
        </is>
      </c>
      <c r="M1006" s="39" t="inlineStr">
        <is>
          <t>Ben Pouladian</t>
        </is>
      </c>
      <c r="N1006" s="40" t="inlineStr">
        <is>
          <t>Co-Founder &amp; President</t>
        </is>
      </c>
      <c r="O1006" s="41" t="inlineStr">
        <is>
          <t>ben@supplyhub.com</t>
        </is>
      </c>
      <c r="P1006" s="42" t="inlineStr">
        <is>
          <t>+1 (877) 775-9243</t>
        </is>
      </c>
      <c r="Q1006" s="43" t="n">
        <v>2014.0</v>
      </c>
      <c r="R1006" s="114">
        <f>HYPERLINK("https://my.pitchbook.com?c=88710-40", "View company online")</f>
      </c>
    </row>
    <row r="1007">
      <c r="A1007" s="9" t="inlineStr">
        <is>
          <t>169881-85</t>
        </is>
      </c>
      <c r="B1007" s="10" t="inlineStr">
        <is>
          <t>SupplyAI</t>
        </is>
      </c>
      <c r="C1007" s="11" t="inlineStr">
        <is>
          <t>94104</t>
        </is>
      </c>
      <c r="D1007" s="12" t="inlineStr">
        <is>
          <t>Provider of an artificial intelligence platform designed to provide cost reduction ways for clothing retailers. The company's artificial intelligence platform utilizes various data to infer about the cost and savings associated with the clothing market, enabling clothing retailers to predict and prevent returns, avoid associated costs and improve customer experiences.</t>
        </is>
      </c>
      <c r="E1007" s="13" t="inlineStr">
        <is>
          <t>Business/Productivity Software</t>
        </is>
      </c>
      <c r="F1007" s="14" t="inlineStr">
        <is>
          <t>San Francisco, CA</t>
        </is>
      </c>
      <c r="G1007" s="15" t="inlineStr">
        <is>
          <t>Privately Held (backing)</t>
        </is>
      </c>
      <c r="H1007" s="16" t="inlineStr">
        <is>
          <t>Accelerator/Incubator Backed</t>
        </is>
      </c>
      <c r="I1007" s="17" t="inlineStr">
        <is>
          <t>500 Startups, Alchemist Accelerator</t>
        </is>
      </c>
      <c r="J1007" s="18" t="inlineStr">
        <is>
          <t>www.supply.ai</t>
        </is>
      </c>
      <c r="K1007" s="19" t="inlineStr">
        <is>
          <t>connect@supply.ai</t>
        </is>
      </c>
      <c r="L1007" s="20" t="inlineStr">
        <is>
          <t>+1 (650) 336-5696</t>
        </is>
      </c>
      <c r="M1007" s="21" t="inlineStr">
        <is>
          <t>Karthik Sridhar</t>
        </is>
      </c>
      <c r="N1007" s="22" t="inlineStr">
        <is>
          <t>Co-Founder &amp; Chief Executive Officer</t>
        </is>
      </c>
      <c r="O1007" s="23" t="inlineStr">
        <is>
          <t>karthik.sridhar@supply.ai</t>
        </is>
      </c>
      <c r="P1007" s="24" t="inlineStr">
        <is>
          <t>+1 (650) 336-5696</t>
        </is>
      </c>
      <c r="Q1007" s="25" t="n">
        <v>2015.0</v>
      </c>
      <c r="R1007" s="113">
        <f>HYPERLINK("https://my.pitchbook.com?c=169881-85", "View company online")</f>
      </c>
    </row>
    <row r="1008">
      <c r="A1008" s="27" t="inlineStr">
        <is>
          <t>118362-61</t>
        </is>
      </c>
      <c r="B1008" s="28" t="inlineStr">
        <is>
          <t>Supply.AI</t>
        </is>
      </c>
      <c r="C1008" s="29" t="inlineStr">
        <is>
          <t>94304</t>
        </is>
      </c>
      <c r="D1008" s="30" t="inlineStr">
        <is>
          <t>Developer of a predictive automation software for supply chain management. The company develops predictive automation software that applies machine learning to recognize performance patterns and uses the insights to automate decisions and software workflows.</t>
        </is>
      </c>
      <c r="E1008" s="31" t="inlineStr">
        <is>
          <t>Automation/Workflow Software</t>
        </is>
      </c>
      <c r="F1008" s="32" t="inlineStr">
        <is>
          <t>Palo Alto, CA</t>
        </is>
      </c>
      <c r="G1008" s="33" t="inlineStr">
        <is>
          <t>Privately Held (backing)</t>
        </is>
      </c>
      <c r="H1008" s="34" t="inlineStr">
        <is>
          <t>Accelerator/Incubator Backed</t>
        </is>
      </c>
      <c r="I1008" s="35" t="inlineStr">
        <is>
          <t>500 Startups, Alchemist Accelerator, Supply Chain Ventures</t>
        </is>
      </c>
      <c r="J1008" s="36" t="inlineStr">
        <is>
          <t>www.dataculture.io</t>
        </is>
      </c>
      <c r="K1008" s="37" t="inlineStr">
        <is>
          <t>connect@supply.ai</t>
        </is>
      </c>
      <c r="L1008" s="38" t="inlineStr">
        <is>
          <t>+1 (650) 336-5696</t>
        </is>
      </c>
      <c r="M1008" s="39" t="inlineStr">
        <is>
          <t>Karthik Sridhar</t>
        </is>
      </c>
      <c r="N1008" s="40" t="inlineStr">
        <is>
          <t>Co-Founder &amp; Chief Executive Officer</t>
        </is>
      </c>
      <c r="O1008" s="41" t="inlineStr">
        <is>
          <t>karthik.sridhar@dataculture.in</t>
        </is>
      </c>
      <c r="P1008" s="42" t="inlineStr">
        <is>
          <t>+1 (650) 336-5696</t>
        </is>
      </c>
      <c r="Q1008" s="43" t="n">
        <v>2014.0</v>
      </c>
      <c r="R1008" s="114">
        <f>HYPERLINK("https://my.pitchbook.com?c=118362-61", "View company online")</f>
      </c>
    </row>
    <row r="1009">
      <c r="A1009" s="9" t="inlineStr">
        <is>
          <t>156109-15</t>
        </is>
      </c>
      <c r="B1009" s="10" t="inlineStr">
        <is>
          <t>Supira Medical</t>
        </is>
      </c>
      <c r="C1009" s="11" t="inlineStr">
        <is>
          <t>95060</t>
        </is>
      </c>
      <c r="D1009" s="12" t="inlineStr">
        <is>
          <t>Provider of undisclosed products and services.</t>
        </is>
      </c>
      <c r="E1009" s="13" t="inlineStr">
        <is>
          <t>Other Business Products and Services</t>
        </is>
      </c>
      <c r="F1009" s="14" t="inlineStr">
        <is>
          <t>Santa Cruz, CA</t>
        </is>
      </c>
      <c r="G1009" s="15" t="inlineStr">
        <is>
          <t>Privately Held (backing)</t>
        </is>
      </c>
      <c r="H1009" s="16" t="inlineStr">
        <is>
          <t>Accelerator/Incubator Backed</t>
        </is>
      </c>
      <c r="I1009" s="17" t="inlineStr">
        <is>
          <t>Shifamed</t>
        </is>
      </c>
      <c r="J1009" s="18" t="inlineStr">
        <is>
          <t/>
        </is>
      </c>
      <c r="K1009" s="19" t="inlineStr">
        <is>
          <t/>
        </is>
      </c>
      <c r="L1009" s="20" t="inlineStr">
        <is>
          <t/>
        </is>
      </c>
      <c r="M1009" s="21" t="inlineStr">
        <is>
          <t>Alan Schaer</t>
        </is>
      </c>
      <c r="N1009" s="22" t="inlineStr">
        <is>
          <t>Vice President, Research &amp; Development</t>
        </is>
      </c>
      <c r="O1009" s="23" t="inlineStr">
        <is>
          <t/>
        </is>
      </c>
      <c r="P1009" s="24" t="inlineStr">
        <is>
          <t>+1 (408) 412-7228</t>
        </is>
      </c>
      <c r="Q1009" s="25" t="n">
        <v>2012.0</v>
      </c>
      <c r="R1009" s="113">
        <f>HYPERLINK("https://my.pitchbook.com?c=156109-15", "View company online")</f>
      </c>
    </row>
    <row r="1010">
      <c r="A1010" s="27" t="inlineStr">
        <is>
          <t>166969-27</t>
        </is>
      </c>
      <c r="B1010" s="28" t="inlineStr">
        <is>
          <t>Superstar Games</t>
        </is>
      </c>
      <c r="C1010" s="29" t="inlineStr">
        <is>
          <t/>
        </is>
      </c>
      <c r="D1010" s="30" t="inlineStr">
        <is>
          <t>Owner and operator of a gaming studio developing mobile games. The company designs and develops a virtual reality based football video game that can be played on mobile devices.</t>
        </is>
      </c>
      <c r="E1010" s="31" t="inlineStr">
        <is>
          <t>Entertainment Software</t>
        </is>
      </c>
      <c r="F1010" s="32" t="inlineStr">
        <is>
          <t>San Francisco, CA</t>
        </is>
      </c>
      <c r="G1010" s="33" t="inlineStr">
        <is>
          <t>Privately Held (backing)</t>
        </is>
      </c>
      <c r="H1010" s="34" t="inlineStr">
        <is>
          <t>Accelerator/Incubator Backed</t>
        </is>
      </c>
      <c r="I1010" s="35" t="inlineStr">
        <is>
          <t>IrishAngels, Runway Incubator</t>
        </is>
      </c>
      <c r="J1010" s="36" t="inlineStr">
        <is>
          <t>www.superstargames.co</t>
        </is>
      </c>
      <c r="K1010" s="37" t="inlineStr">
        <is>
          <t/>
        </is>
      </c>
      <c r="L1010" s="38" t="inlineStr">
        <is>
          <t/>
        </is>
      </c>
      <c r="M1010" s="39" t="inlineStr">
        <is>
          <t>Damon Grow</t>
        </is>
      </c>
      <c r="N1010" s="40" t="inlineStr">
        <is>
          <t>Co-Founder &amp; Chief Executive Officer</t>
        </is>
      </c>
      <c r="O1010" s="41" t="inlineStr">
        <is>
          <t>damon@superstargames.co</t>
        </is>
      </c>
      <c r="P1010" s="42" t="inlineStr">
        <is>
          <t/>
        </is>
      </c>
      <c r="Q1010" s="43" t="n">
        <v>2016.0</v>
      </c>
      <c r="R1010" s="114">
        <f>HYPERLINK("https://my.pitchbook.com?c=166969-27", "View company online")</f>
      </c>
    </row>
    <row r="1011">
      <c r="A1011" s="9" t="inlineStr">
        <is>
          <t>103141-54</t>
        </is>
      </c>
      <c r="B1011" s="10" t="inlineStr">
        <is>
          <t>Superpowered</t>
        </is>
      </c>
      <c r="C1011" s="85">
        <f>HYPERLINK("https://my.pitchbook.com?rrp=103141-54&amp;type=c", "This Company's information is not available to download. Need this Company? Request availability")</f>
      </c>
      <c r="D1011" s="12" t="inlineStr">
        <is>
          <t/>
        </is>
      </c>
      <c r="E1011" s="13" t="inlineStr">
        <is>
          <t/>
        </is>
      </c>
      <c r="F1011" s="14" t="inlineStr">
        <is>
          <t/>
        </is>
      </c>
      <c r="G1011" s="15" t="inlineStr">
        <is>
          <t/>
        </is>
      </c>
      <c r="H1011" s="16" t="inlineStr">
        <is>
          <t/>
        </is>
      </c>
      <c r="I1011" s="17" t="inlineStr">
        <is>
          <t/>
        </is>
      </c>
      <c r="J1011" s="18" t="inlineStr">
        <is>
          <t/>
        </is>
      </c>
      <c r="K1011" s="19" t="inlineStr">
        <is>
          <t/>
        </is>
      </c>
      <c r="L1011" s="20" t="inlineStr">
        <is>
          <t/>
        </is>
      </c>
      <c r="M1011" s="21" t="inlineStr">
        <is>
          <t/>
        </is>
      </c>
      <c r="N1011" s="22" t="inlineStr">
        <is>
          <t/>
        </is>
      </c>
      <c r="O1011" s="23" t="inlineStr">
        <is>
          <t/>
        </is>
      </c>
      <c r="P1011" s="24" t="inlineStr">
        <is>
          <t/>
        </is>
      </c>
      <c r="Q1011" s="25" t="inlineStr">
        <is>
          <t/>
        </is>
      </c>
      <c r="R1011" s="26" t="inlineStr">
        <is>
          <t/>
        </is>
      </c>
    </row>
    <row r="1012">
      <c r="A1012" s="27" t="inlineStr">
        <is>
          <t>90346-78</t>
        </is>
      </c>
      <c r="B1012" s="28" t="inlineStr">
        <is>
          <t>Superior Solar Solution</t>
        </is>
      </c>
      <c r="C1012" s="29" t="inlineStr">
        <is>
          <t>91411</t>
        </is>
      </c>
      <c r="D1012" s="30" t="inlineStr">
        <is>
          <t>Developer of a photo voltaic panel technology. The company develops a touch screen interactive interface using solar power that helps in charging devices such as cell phones, i pads and tablets wirelessly.</t>
        </is>
      </c>
      <c r="E1012" s="31" t="inlineStr">
        <is>
          <t>Alternative Energy Equipment</t>
        </is>
      </c>
      <c r="F1012" s="32" t="inlineStr">
        <is>
          <t>Los Angeles, CA</t>
        </is>
      </c>
      <c r="G1012" s="33" t="inlineStr">
        <is>
          <t>Privately Held (backing)</t>
        </is>
      </c>
      <c r="H1012" s="34" t="inlineStr">
        <is>
          <t>Angel-Backed</t>
        </is>
      </c>
      <c r="I1012" s="35" t="inlineStr">
        <is>
          <t/>
        </is>
      </c>
      <c r="J1012" s="36" t="inlineStr">
        <is>
          <t>www.superiorsolarsolution.com</t>
        </is>
      </c>
      <c r="K1012" s="37" t="inlineStr">
        <is>
          <t/>
        </is>
      </c>
      <c r="L1012" s="38" t="inlineStr">
        <is>
          <t/>
        </is>
      </c>
      <c r="M1012" s="39" t="inlineStr">
        <is>
          <t>Nicholas Lynn</t>
        </is>
      </c>
      <c r="N1012" s="40" t="inlineStr">
        <is>
          <t>Founder, Owner &amp; Chief Executive Officer</t>
        </is>
      </c>
      <c r="O1012" s="41" t="inlineStr">
        <is>
          <t/>
        </is>
      </c>
      <c r="P1012" s="42" t="inlineStr">
        <is>
          <t>+1 (213) 309-0445</t>
        </is>
      </c>
      <c r="Q1012" s="43" t="n">
        <v>2014.0</v>
      </c>
      <c r="R1012" s="114">
        <f>HYPERLINK("https://my.pitchbook.com?c=90346-78", "View company online")</f>
      </c>
    </row>
    <row r="1013">
      <c r="A1013" s="9" t="inlineStr">
        <is>
          <t>121311-46</t>
        </is>
      </c>
      <c r="B1013" s="10" t="inlineStr">
        <is>
          <t>Supergravity</t>
        </is>
      </c>
      <c r="C1013" s="11" t="inlineStr">
        <is>
          <t>90266</t>
        </is>
      </c>
      <c r="D1013" s="12" t="inlineStr">
        <is>
          <t>Owner and operator of a feature film studio. The company offers financing to produce, market and distribute full-length feature films and long-form specials every year.</t>
        </is>
      </c>
      <c r="E1013" s="13" t="inlineStr">
        <is>
          <t>Media and Information Services (B2B)</t>
        </is>
      </c>
      <c r="F1013" s="14" t="inlineStr">
        <is>
          <t>Manhattan Beach, CA</t>
        </is>
      </c>
      <c r="G1013" s="15" t="inlineStr">
        <is>
          <t>Privately Held (backing)</t>
        </is>
      </c>
      <c r="H1013" s="16" t="inlineStr">
        <is>
          <t>Angel-Backed</t>
        </is>
      </c>
      <c r="I1013" s="17" t="inlineStr">
        <is>
          <t>Lawrence Braitman</t>
        </is>
      </c>
      <c r="J1013" s="18" t="inlineStr">
        <is>
          <t>www.supergravity.co</t>
        </is>
      </c>
      <c r="K1013" s="19" t="inlineStr">
        <is>
          <t/>
        </is>
      </c>
      <c r="L1013" s="20" t="inlineStr">
        <is>
          <t>+1 (323) 363-8555</t>
        </is>
      </c>
      <c r="M1013" s="21" t="inlineStr">
        <is>
          <t>Marc Hustvedt</t>
        </is>
      </c>
      <c r="N1013" s="22" t="inlineStr">
        <is>
          <t>Co-Founder, Board Member &amp; Chief Executive Officer</t>
        </is>
      </c>
      <c r="O1013" s="23" t="inlineStr">
        <is>
          <t>marc@supergravity.co</t>
        </is>
      </c>
      <c r="P1013" s="24" t="inlineStr">
        <is>
          <t>+1 (323) 363-8555</t>
        </is>
      </c>
      <c r="Q1013" s="25" t="n">
        <v>2014.0</v>
      </c>
      <c r="R1013" s="113">
        <f>HYPERLINK("https://my.pitchbook.com?c=121311-46", "View company online")</f>
      </c>
    </row>
    <row r="1014">
      <c r="A1014" s="27" t="inlineStr">
        <is>
          <t>98927-92</t>
        </is>
      </c>
      <c r="B1014" s="28" t="inlineStr">
        <is>
          <t>Superfly</t>
        </is>
      </c>
      <c r="C1014" s="29" t="inlineStr">
        <is>
          <t>94025</t>
        </is>
      </c>
      <c r="D1014" s="30" t="inlineStr">
        <is>
          <t>Developer of a software that offers technologies for travel consumers. The company's software helps business travelers organize their itineraries, manage frequent flyer miles, and find flights and hotels.</t>
        </is>
      </c>
      <c r="E1014" s="31" t="inlineStr">
        <is>
          <t>Application Software</t>
        </is>
      </c>
      <c r="F1014" s="32" t="inlineStr">
        <is>
          <t>Menlo Park, CA</t>
        </is>
      </c>
      <c r="G1014" s="33" t="inlineStr">
        <is>
          <t>Privately Held (backing)</t>
        </is>
      </c>
      <c r="H1014" s="34" t="inlineStr">
        <is>
          <t>Accelerator/Incubator Backed</t>
        </is>
      </c>
      <c r="I1014" s="35" t="inlineStr">
        <is>
          <t>Gigi Levy-Weiss, Techloft, UpWest Labs, Yuval Tal</t>
        </is>
      </c>
      <c r="J1014" s="36" t="inlineStr">
        <is>
          <t>www.superfly.com</t>
        </is>
      </c>
      <c r="K1014" s="37" t="inlineStr">
        <is>
          <t>info@superfly.com</t>
        </is>
      </c>
      <c r="L1014" s="38" t="inlineStr">
        <is>
          <t/>
        </is>
      </c>
      <c r="M1014" s="39" t="inlineStr">
        <is>
          <t>Jonathan Meiri</t>
        </is>
      </c>
      <c r="N1014" s="40" t="inlineStr">
        <is>
          <t>Chief Executive Officer &amp; Founder</t>
        </is>
      </c>
      <c r="O1014" s="41" t="inlineStr">
        <is>
          <t>jm@superfly.com</t>
        </is>
      </c>
      <c r="P1014" s="42" t="inlineStr">
        <is>
          <t/>
        </is>
      </c>
      <c r="Q1014" s="43" t="n">
        <v>2010.0</v>
      </c>
      <c r="R1014" s="114">
        <f>HYPERLINK("https://my.pitchbook.com?c=98927-92", "View company online")</f>
      </c>
    </row>
    <row r="1015">
      <c r="A1015" s="9" t="inlineStr">
        <is>
          <t>96779-35</t>
        </is>
      </c>
      <c r="B1015" s="10" t="inlineStr">
        <is>
          <t>SuperBetter</t>
        </is>
      </c>
      <c r="C1015" s="11" t="inlineStr">
        <is>
          <t>94102</t>
        </is>
      </c>
      <c r="D1015" s="12" t="inlineStr">
        <is>
          <t>Developer of games powered by personal and social well-being. The company offers online social games to build personal resilience in the face of a serious challenge such as an illness or injury, anxiety or depression.</t>
        </is>
      </c>
      <c r="E1015" s="13" t="inlineStr">
        <is>
          <t>Entertainment Software</t>
        </is>
      </c>
      <c r="F1015" s="14" t="inlineStr">
        <is>
          <t>San Francisco, CA</t>
        </is>
      </c>
      <c r="G1015" s="15" t="inlineStr">
        <is>
          <t>Privately Held (backing)</t>
        </is>
      </c>
      <c r="H1015" s="16" t="inlineStr">
        <is>
          <t>Accelerator/Incubator Backed</t>
        </is>
      </c>
      <c r="I1015" s="17" t="inlineStr">
        <is>
          <t>Matter, Rock Health</t>
        </is>
      </c>
      <c r="J1015" s="18" t="inlineStr">
        <is>
          <t>www.superbetter.com</t>
        </is>
      </c>
      <c r="K1015" s="19" t="inlineStr">
        <is>
          <t/>
        </is>
      </c>
      <c r="L1015" s="20" t="inlineStr">
        <is>
          <t/>
        </is>
      </c>
      <c r="M1015" s="21" t="inlineStr">
        <is>
          <t>John Solomon</t>
        </is>
      </c>
      <c r="N1015" s="22" t="inlineStr">
        <is>
          <t>Co-Founder and Chief Executive Officer</t>
        </is>
      </c>
      <c r="O1015" s="23" t="inlineStr">
        <is>
          <t/>
        </is>
      </c>
      <c r="P1015" s="24" t="inlineStr">
        <is>
          <t/>
        </is>
      </c>
      <c r="Q1015" s="25" t="n">
        <v>2011.0</v>
      </c>
      <c r="R1015" s="113">
        <f>HYPERLINK("https://my.pitchbook.com?c=96779-35", "View company online")</f>
      </c>
    </row>
    <row r="1016">
      <c r="A1016" s="27" t="inlineStr">
        <is>
          <t>133772-68</t>
        </is>
      </c>
      <c r="B1016" s="28" t="inlineStr">
        <is>
          <t>Super Lucky Casino</t>
        </is>
      </c>
      <c r="C1016" s="29" t="inlineStr">
        <is>
          <t>94102</t>
        </is>
      </c>
      <c r="D1016" s="30" t="inlineStr">
        <is>
          <t>Developer of mobile gaming applications. The company offers casino based social mobile games for their customers that can be downloaded from the Google App store or iOS store.</t>
        </is>
      </c>
      <c r="E1016" s="31" t="inlineStr">
        <is>
          <t>Entertainment Software</t>
        </is>
      </c>
      <c r="F1016" s="32" t="inlineStr">
        <is>
          <t>San Francisco, CA</t>
        </is>
      </c>
      <c r="G1016" s="33" t="inlineStr">
        <is>
          <t>Privately Held (backing)</t>
        </is>
      </c>
      <c r="H1016" s="34" t="inlineStr">
        <is>
          <t>Accelerator/Incubator Backed</t>
        </is>
      </c>
      <c r="I1016" s="35" t="inlineStr">
        <is>
          <t>500 Startups, Ankur Nagpal, Fassil Befekadu, John Krystynak, Mike Levinthal, Warren Konkel</t>
        </is>
      </c>
      <c r="J1016" s="36" t="inlineStr">
        <is>
          <t>www.superluckycasino.com</t>
        </is>
      </c>
      <c r="K1016" s="37" t="inlineStr">
        <is>
          <t/>
        </is>
      </c>
      <c r="L1016" s="38" t="inlineStr">
        <is>
          <t/>
        </is>
      </c>
      <c r="M1016" s="39" t="inlineStr">
        <is>
          <t>Aaron Vanderbeek</t>
        </is>
      </c>
      <c r="N1016" s="40" t="inlineStr">
        <is>
          <t>Lead Game Designer</t>
        </is>
      </c>
      <c r="O1016" s="41" t="inlineStr">
        <is>
          <t/>
        </is>
      </c>
      <c r="P1016" s="42" t="inlineStr">
        <is>
          <t/>
        </is>
      </c>
      <c r="Q1016" s="43" t="n">
        <v>2011.0</v>
      </c>
      <c r="R1016" s="114">
        <f>HYPERLINK("https://my.pitchbook.com?c=133772-68", "View company online")</f>
      </c>
    </row>
    <row r="1017">
      <c r="A1017" s="9" t="inlineStr">
        <is>
          <t>117995-32</t>
        </is>
      </c>
      <c r="B1017" s="10" t="inlineStr">
        <is>
          <t>SunToWater Technologies</t>
        </is>
      </c>
      <c r="C1017" s="11" t="inlineStr">
        <is>
          <t>94303</t>
        </is>
      </c>
      <c r="D1017" s="12" t="inlineStr">
        <is>
          <t>Designer and manufacturer of a water-generation system. The company develops a portable water generator that uses solar energy to pump in and store huge capacity of water for emergency needs.</t>
        </is>
      </c>
      <c r="E1017" s="13" t="inlineStr">
        <is>
          <t>Other Commercial Products</t>
        </is>
      </c>
      <c r="F1017" s="14" t="inlineStr">
        <is>
          <t>Palo Alto, CA</t>
        </is>
      </c>
      <c r="G1017" s="15" t="inlineStr">
        <is>
          <t>Privately Held (backing)</t>
        </is>
      </c>
      <c r="H1017" s="16" t="inlineStr">
        <is>
          <t>Accelerator/Incubator Backed</t>
        </is>
      </c>
      <c r="I1017" s="17" t="inlineStr">
        <is>
          <t>Singularity University</t>
        </is>
      </c>
      <c r="J1017" s="18" t="inlineStr">
        <is>
          <t>www.suntowater.com</t>
        </is>
      </c>
      <c r="K1017" s="19" t="inlineStr">
        <is>
          <t>info@suntowater.com</t>
        </is>
      </c>
      <c r="L1017" s="20" t="inlineStr">
        <is>
          <t>+1 (877) 407-8653</t>
        </is>
      </c>
      <c r="M1017" s="21" t="inlineStr">
        <is>
          <t>Jay Lopez</t>
        </is>
      </c>
      <c r="N1017" s="22" t="inlineStr">
        <is>
          <t>Chief Marketing Officer</t>
        </is>
      </c>
      <c r="O1017" s="23" t="inlineStr">
        <is>
          <t>jay@suntowater.com</t>
        </is>
      </c>
      <c r="P1017" s="24" t="inlineStr">
        <is>
          <t>+1 (877) 407-8653</t>
        </is>
      </c>
      <c r="Q1017" s="25" t="n">
        <v>2012.0</v>
      </c>
      <c r="R1017" s="113">
        <f>HYPERLINK("https://my.pitchbook.com?c=117995-32", "View company online")</f>
      </c>
    </row>
    <row r="1018">
      <c r="A1018" s="27" t="inlineStr">
        <is>
          <t>156196-09</t>
        </is>
      </c>
      <c r="B1018" s="28" t="inlineStr">
        <is>
          <t>SunTime Energy Builders</t>
        </is>
      </c>
      <c r="C1018" s="29" t="inlineStr">
        <is>
          <t>91406</t>
        </is>
      </c>
      <c r="D1018" s="30" t="inlineStr">
        <is>
          <t>Owner and operator of a clean energy company. The company designs and manufactures solar power systems and solar panels for their customers. It also provides leasing and financing options available to home owners and businesses.</t>
        </is>
      </c>
      <c r="E1018" s="31" t="inlineStr">
        <is>
          <t>Alternative Energy Equipment</t>
        </is>
      </c>
      <c r="F1018" s="32" t="inlineStr">
        <is>
          <t>Van Nuys, CA</t>
        </is>
      </c>
      <c r="G1018" s="33" t="inlineStr">
        <is>
          <t>Privately Held (backing)</t>
        </is>
      </c>
      <c r="H1018" s="34" t="inlineStr">
        <is>
          <t>Angel-Backed</t>
        </is>
      </c>
      <c r="I1018" s="35" t="inlineStr">
        <is>
          <t>Toba Capital</t>
        </is>
      </c>
      <c r="J1018" s="36" t="inlineStr">
        <is>
          <t>www.suntimeenergy.com</t>
        </is>
      </c>
      <c r="K1018" s="37" t="inlineStr">
        <is>
          <t/>
        </is>
      </c>
      <c r="L1018" s="38" t="inlineStr">
        <is>
          <t>+1 (866) 437-6445</t>
        </is>
      </c>
      <c r="M1018" s="39" t="inlineStr">
        <is>
          <t>David Separzadeh</t>
        </is>
      </c>
      <c r="N1018" s="40" t="inlineStr">
        <is>
          <t>President, Chief Executive Officer &amp; Board Member</t>
        </is>
      </c>
      <c r="O1018" s="41" t="inlineStr">
        <is>
          <t>david@suntimeenergy.com</t>
        </is>
      </c>
      <c r="P1018" s="42" t="inlineStr">
        <is>
          <t>+1 (866) 437-6445</t>
        </is>
      </c>
      <c r="Q1018" s="43" t="n">
        <v>2016.0</v>
      </c>
      <c r="R1018" s="114">
        <f>HYPERLINK("https://my.pitchbook.com?c=156196-09", "View company online")</f>
      </c>
    </row>
    <row r="1019">
      <c r="A1019" s="9" t="inlineStr">
        <is>
          <t>112990-06</t>
        </is>
      </c>
      <c r="B1019" s="10" t="inlineStr">
        <is>
          <t>Sunsama</t>
        </is>
      </c>
      <c r="C1019" s="11" t="inlineStr">
        <is>
          <t/>
        </is>
      </c>
      <c r="D1019" s="12" t="inlineStr">
        <is>
          <t>Provider of a social networking platform. The company offers a social networking platform where users can share their schedule with colleagues, mentors, friends and their professional network.</t>
        </is>
      </c>
      <c r="E1019" s="13" t="inlineStr">
        <is>
          <t>Social/Platform Software</t>
        </is>
      </c>
      <c r="F1019" s="14" t="inlineStr">
        <is>
          <t>San Mateo, CA</t>
        </is>
      </c>
      <c r="G1019" s="15" t="inlineStr">
        <is>
          <t>Privately Held (backing)</t>
        </is>
      </c>
      <c r="H1019" s="16" t="inlineStr">
        <is>
          <t>Accelerator/Incubator Backed</t>
        </is>
      </c>
      <c r="I1019" s="17" t="inlineStr">
        <is>
          <t>Boost VC, Starveups, Timothy Draper</t>
        </is>
      </c>
      <c r="J1019" s="18" t="inlineStr">
        <is>
          <t>www.sunsama.com</t>
        </is>
      </c>
      <c r="K1019" s="19" t="inlineStr">
        <is>
          <t>support@sunsama.com</t>
        </is>
      </c>
      <c r="L1019" s="20" t="inlineStr">
        <is>
          <t/>
        </is>
      </c>
      <c r="M1019" s="21" t="inlineStr">
        <is>
          <t>Ashutosh Priyadarshy</t>
        </is>
      </c>
      <c r="N1019" s="22" t="inlineStr">
        <is>
          <t>Co-Founder</t>
        </is>
      </c>
      <c r="O1019" s="23" t="inlineStr">
        <is>
          <t>ashutosh@sunsama.com</t>
        </is>
      </c>
      <c r="P1019" s="24" t="inlineStr">
        <is>
          <t/>
        </is>
      </c>
      <c r="Q1019" s="25" t="n">
        <v>2013.0</v>
      </c>
      <c r="R1019" s="113">
        <f>HYPERLINK("https://my.pitchbook.com?c=112990-06", "View company online")</f>
      </c>
    </row>
    <row r="1020">
      <c r="A1020" s="27" t="inlineStr">
        <is>
          <t>95483-17</t>
        </is>
      </c>
      <c r="B1020" s="28" t="inlineStr">
        <is>
          <t>Sunn App</t>
        </is>
      </c>
      <c r="C1020" s="86">
        <f>HYPERLINK("https://my.pitchbook.com?rrp=95483-17&amp;type=c", "This Company's information is not available to download. Need this Company? Request availability")</f>
      </c>
      <c r="D1020" s="30" t="inlineStr">
        <is>
          <t/>
        </is>
      </c>
      <c r="E1020" s="31" t="inlineStr">
        <is>
          <t/>
        </is>
      </c>
      <c r="F1020" s="32" t="inlineStr">
        <is>
          <t/>
        </is>
      </c>
      <c r="G1020" s="33" t="inlineStr">
        <is>
          <t/>
        </is>
      </c>
      <c r="H1020" s="34" t="inlineStr">
        <is>
          <t/>
        </is>
      </c>
      <c r="I1020" s="35" t="inlineStr">
        <is>
          <t/>
        </is>
      </c>
      <c r="J1020" s="36" t="inlineStr">
        <is>
          <t/>
        </is>
      </c>
      <c r="K1020" s="37" t="inlineStr">
        <is>
          <t/>
        </is>
      </c>
      <c r="L1020" s="38" t="inlineStr">
        <is>
          <t/>
        </is>
      </c>
      <c r="M1020" s="39" t="inlineStr">
        <is>
          <t/>
        </is>
      </c>
      <c r="N1020" s="40" t="inlineStr">
        <is>
          <t/>
        </is>
      </c>
      <c r="O1020" s="41" t="inlineStr">
        <is>
          <t/>
        </is>
      </c>
      <c r="P1020" s="42" t="inlineStr">
        <is>
          <t/>
        </is>
      </c>
      <c r="Q1020" s="43" t="inlineStr">
        <is>
          <t/>
        </is>
      </c>
      <c r="R1020" s="44" t="inlineStr">
        <is>
          <t/>
        </is>
      </c>
    </row>
    <row r="1021">
      <c r="A1021" s="9" t="inlineStr">
        <is>
          <t>103215-07</t>
        </is>
      </c>
      <c r="B1021" s="10" t="inlineStr">
        <is>
          <t>Sun-Lite Metals</t>
        </is>
      </c>
      <c r="C1021" s="11" t="inlineStr">
        <is>
          <t>90001</t>
        </is>
      </c>
      <c r="D1021" s="12" t="inlineStr">
        <is>
          <t>Owner and operator a scrap metal recycling company. The company offers recycling of alloy batteries, aluminum, copper, steel, stainless and nickel products insulated wires, titaium products, electric motors, carbide items and other automobile shredding.</t>
        </is>
      </c>
      <c r="E1021" s="13" t="inlineStr">
        <is>
          <t>Environmental Services (B2B)</t>
        </is>
      </c>
      <c r="F1021" s="14" t="inlineStr">
        <is>
          <t>Los Angeles, CA</t>
        </is>
      </c>
      <c r="G1021" s="15" t="inlineStr">
        <is>
          <t>Privately Held (backing)</t>
        </is>
      </c>
      <c r="H1021" s="16" t="inlineStr">
        <is>
          <t>Angel-Backed</t>
        </is>
      </c>
      <c r="I1021" s="17" t="inlineStr">
        <is>
          <t/>
        </is>
      </c>
      <c r="J1021" s="18" t="inlineStr">
        <is>
          <t>www.sunlite-metals.com</t>
        </is>
      </c>
      <c r="K1021" s="19" t="inlineStr">
        <is>
          <t>info@sunlite-metals.com</t>
        </is>
      </c>
      <c r="L1021" s="20" t="inlineStr">
        <is>
          <t>+1 (323) 581-7772</t>
        </is>
      </c>
      <c r="M1021" s="21" t="inlineStr">
        <is>
          <t>Jay Lite</t>
        </is>
      </c>
      <c r="N1021" s="22" t="inlineStr">
        <is>
          <t>Founder, Owner &amp; President</t>
        </is>
      </c>
      <c r="O1021" s="23" t="inlineStr">
        <is>
          <t/>
        </is>
      </c>
      <c r="P1021" s="24" t="inlineStr">
        <is>
          <t>+1 (323) 581-7772</t>
        </is>
      </c>
      <c r="Q1021" s="25" t="n">
        <v>1994.0</v>
      </c>
      <c r="R1021" s="113">
        <f>HYPERLINK("https://my.pitchbook.com?c=103215-07", "View company online")</f>
      </c>
    </row>
    <row r="1022">
      <c r="A1022" s="27" t="inlineStr">
        <is>
          <t>147892-78</t>
        </is>
      </c>
      <c r="B1022" s="28" t="inlineStr">
        <is>
          <t>Sunfolding</t>
        </is>
      </c>
      <c r="C1022" s="29" t="inlineStr">
        <is>
          <t>94110</t>
        </is>
      </c>
      <c r="D1022" s="30" t="inlineStr">
        <is>
          <t>Developer of a solar tracking machine for commercial and utility systems. The company has developed a new approach to tracking for photovoltaic systems using a mass-manufactured, modular drive.</t>
        </is>
      </c>
      <c r="E1022" s="31" t="inlineStr">
        <is>
          <t>Other Energy</t>
        </is>
      </c>
      <c r="F1022" s="32" t="inlineStr">
        <is>
          <t>San Francisco, CA</t>
        </is>
      </c>
      <c r="G1022" s="33" t="inlineStr">
        <is>
          <t>Privately Held (backing)</t>
        </is>
      </c>
      <c r="H1022" s="34" t="inlineStr">
        <is>
          <t>Angel-Backed</t>
        </is>
      </c>
      <c r="I1022" s="35" t="inlineStr">
        <is>
          <t>Arpa-E, California Energy Commission's Energy Innovations Small Grant (EISG), Other Lab</t>
        </is>
      </c>
      <c r="J1022" s="36" t="inlineStr">
        <is>
          <t>www.sunfolding.com</t>
        </is>
      </c>
      <c r="K1022" s="37" t="inlineStr">
        <is>
          <t>info@sunfolding.com</t>
        </is>
      </c>
      <c r="L1022" s="38" t="inlineStr">
        <is>
          <t/>
        </is>
      </c>
      <c r="M1022" s="39" t="inlineStr">
        <is>
          <t>Leila Madrone</t>
        </is>
      </c>
      <c r="N1022" s="40" t="inlineStr">
        <is>
          <t>Co-Founder &amp; Chief Executive Officer</t>
        </is>
      </c>
      <c r="O1022" s="41" t="inlineStr">
        <is>
          <t>leila@sunfolding.com</t>
        </is>
      </c>
      <c r="P1022" s="42" t="inlineStr">
        <is>
          <t/>
        </is>
      </c>
      <c r="Q1022" s="43" t="n">
        <v>2013.0</v>
      </c>
      <c r="R1022" s="114">
        <f>HYPERLINK("https://my.pitchbook.com?c=147892-78", "View company online")</f>
      </c>
    </row>
    <row r="1023">
      <c r="A1023" s="9" t="inlineStr">
        <is>
          <t>171164-17</t>
        </is>
      </c>
      <c r="B1023" s="10" t="inlineStr">
        <is>
          <t>Summer</t>
        </is>
      </c>
      <c r="C1023" s="11" t="inlineStr">
        <is>
          <t/>
        </is>
      </c>
      <c r="D1023" s="12" t="inlineStr">
        <is>
          <t>Provider of a stress management platform intended to improve productivity and retention by managing stress. The company offers a platform that uses cognitive behavioral therapy to assess employees' well-being via an online coach-assisted program enabling them better manage stress and anxiety at work.</t>
        </is>
      </c>
      <c r="E1023" s="13" t="inlineStr">
        <is>
          <t>Social/Platform Software</t>
        </is>
      </c>
      <c r="F1023" s="14" t="inlineStr">
        <is>
          <t>San Francisco, CA</t>
        </is>
      </c>
      <c r="G1023" s="15" t="inlineStr">
        <is>
          <t>Privately Held (backing)</t>
        </is>
      </c>
      <c r="H1023" s="16" t="inlineStr">
        <is>
          <t>Accelerator/Incubator Backed</t>
        </is>
      </c>
      <c r="I1023" s="17" t="inlineStr">
        <is>
          <t>NFX Guild</t>
        </is>
      </c>
      <c r="J1023" s="18" t="inlineStr">
        <is>
          <t>www.summercare.io</t>
        </is>
      </c>
      <c r="K1023" s="19" t="inlineStr">
        <is>
          <t/>
        </is>
      </c>
      <c r="L1023" s="20" t="inlineStr">
        <is>
          <t/>
        </is>
      </c>
      <c r="M1023" s="21" t="inlineStr">
        <is>
          <t>Dhaval Chadha</t>
        </is>
      </c>
      <c r="N1023" s="22" t="inlineStr">
        <is>
          <t>Founder &amp; Chief Executive Officer</t>
        </is>
      </c>
      <c r="O1023" s="23" t="inlineStr">
        <is>
          <t>dhaval@summercare.io</t>
        </is>
      </c>
      <c r="P1023" s="24" t="inlineStr">
        <is>
          <t/>
        </is>
      </c>
      <c r="Q1023" s="25" t="n">
        <v>2016.0</v>
      </c>
      <c r="R1023" s="113">
        <f>HYPERLINK("https://my.pitchbook.com?c=171164-17", "View company online")</f>
      </c>
    </row>
    <row r="1024">
      <c r="A1024" s="27" t="inlineStr">
        <is>
          <t>120130-57</t>
        </is>
      </c>
      <c r="B1024" s="28" t="inlineStr">
        <is>
          <t>Suggestic</t>
        </is>
      </c>
      <c r="C1024" s="29" t="inlineStr">
        <is>
          <t/>
        </is>
      </c>
      <c r="D1024" s="30" t="inlineStr">
        <is>
          <t>Provider of adaptive food recommendations through augmented reality and artificial intelligence. The company uses chat bot and augmented reality interactions to help individuals and families select what to cook at home, what to eat at restaurants and which food or supplements to purchase. The brands or nutritionists behind each diet featured on the platform deepen their relationship with their users and help them increase their adherence.</t>
        </is>
      </c>
      <c r="E1024" s="31" t="inlineStr">
        <is>
          <t>Outcome Management (Healthcare)</t>
        </is>
      </c>
      <c r="F1024" s="32" t="inlineStr">
        <is>
          <t>San Francisco, CA</t>
        </is>
      </c>
      <c r="G1024" s="33" t="inlineStr">
        <is>
          <t>Privately Held (backing)</t>
        </is>
      </c>
      <c r="H1024" s="34" t="inlineStr">
        <is>
          <t>Accelerator/Incubator Backed</t>
        </is>
      </c>
      <c r="I1024" s="35" t="inlineStr">
        <is>
          <t>DreamIt Ventures</t>
        </is>
      </c>
      <c r="J1024" s="36" t="inlineStr">
        <is>
          <t>www.suggestic.com</t>
        </is>
      </c>
      <c r="K1024" s="37" t="inlineStr">
        <is>
          <t>help@suggestic.com</t>
        </is>
      </c>
      <c r="L1024" s="38" t="inlineStr">
        <is>
          <t>+1 (415) 426-3506</t>
        </is>
      </c>
      <c r="M1024" s="39" t="inlineStr">
        <is>
          <t>Victor Chapela</t>
        </is>
      </c>
      <c r="N1024" s="40" t="inlineStr">
        <is>
          <t>Co-Founder &amp; Chief Executive Officer</t>
        </is>
      </c>
      <c r="O1024" s="41" t="inlineStr">
        <is>
          <t>victor@suggestic.com</t>
        </is>
      </c>
      <c r="P1024" s="42" t="inlineStr">
        <is>
          <t>+1 (415) 426-3506</t>
        </is>
      </c>
      <c r="Q1024" s="43" t="n">
        <v>2014.0</v>
      </c>
      <c r="R1024" s="114">
        <f>HYPERLINK("https://my.pitchbook.com?c=120130-57", "View company online")</f>
      </c>
    </row>
    <row r="1025">
      <c r="A1025" s="9" t="inlineStr">
        <is>
          <t>111875-77</t>
        </is>
      </c>
      <c r="B1025" s="10" t="inlineStr">
        <is>
          <t>Sugars Gone</t>
        </is>
      </c>
      <c r="C1025" s="11" t="inlineStr">
        <is>
          <t>92606</t>
        </is>
      </c>
      <c r="D1025" s="12" t="inlineStr">
        <is>
          <t>Provider of a fashion consignment multi-vendor commerce platform. The company enables discovery, shopping, selling, sharing – unearthing fashion pieces.</t>
        </is>
      </c>
      <c r="E1025" s="13" t="inlineStr">
        <is>
          <t>Social/Platform Software</t>
        </is>
      </c>
      <c r="F1025" s="14" t="inlineStr">
        <is>
          <t>Irvine, CA</t>
        </is>
      </c>
      <c r="G1025" s="15" t="inlineStr">
        <is>
          <t>Privately Held (backing)</t>
        </is>
      </c>
      <c r="H1025" s="16" t="inlineStr">
        <is>
          <t>Angel-Backed</t>
        </is>
      </c>
      <c r="I1025" s="17" t="inlineStr">
        <is>
          <t>The Eureka Project</t>
        </is>
      </c>
      <c r="J1025" s="18" t="inlineStr">
        <is>
          <t>www.sugarsgone.com</t>
        </is>
      </c>
      <c r="K1025" s="19" t="inlineStr">
        <is>
          <t>support@sugarsgone.com</t>
        </is>
      </c>
      <c r="L1025" s="20" t="inlineStr">
        <is>
          <t>+1 (949) 647-1434</t>
        </is>
      </c>
      <c r="M1025" s="21" t="inlineStr">
        <is>
          <t>Jennifer Bell</t>
        </is>
      </c>
      <c r="N1025" s="22" t="inlineStr">
        <is>
          <t>Co-Founder &amp; Chief Executive Officer</t>
        </is>
      </c>
      <c r="O1025" s="23" t="inlineStr">
        <is>
          <t>jennifer@sugarsgone.com</t>
        </is>
      </c>
      <c r="P1025" s="24" t="inlineStr">
        <is>
          <t>+1 (949) 647-1434</t>
        </is>
      </c>
      <c r="Q1025" s="25" t="n">
        <v>2014.0</v>
      </c>
      <c r="R1025" s="113">
        <f>HYPERLINK("https://my.pitchbook.com?c=111875-77", "View company online")</f>
      </c>
    </row>
    <row r="1026">
      <c r="A1026" s="27" t="inlineStr">
        <is>
          <t>109287-82</t>
        </is>
      </c>
      <c r="B1026" s="28" t="inlineStr">
        <is>
          <t>Sugarcube (Media Player)</t>
        </is>
      </c>
      <c r="C1026" s="29" t="inlineStr">
        <is>
          <t/>
        </is>
      </c>
      <c r="D1026" s="30" t="inlineStr">
        <is>
          <t>Developer of a media player. The company offers a wireless HDMI media player that allows its users to share content from any portable device to the TV.</t>
        </is>
      </c>
      <c r="E1026" s="31" t="inlineStr">
        <is>
          <t>Electronics (B2C)</t>
        </is>
      </c>
      <c r="F1026" s="32" t="inlineStr">
        <is>
          <t>San Francisco, CA</t>
        </is>
      </c>
      <c r="G1026" s="33" t="inlineStr">
        <is>
          <t>Privately Held (backing)</t>
        </is>
      </c>
      <c r="H1026" s="34" t="inlineStr">
        <is>
          <t>Accelerator/Incubator Backed</t>
        </is>
      </c>
      <c r="I1026" s="35" t="inlineStr">
        <is>
          <t>Highway1, Plug and Play Tech Center</t>
        </is>
      </c>
      <c r="J1026" s="36" t="inlineStr">
        <is>
          <t>www.getsugarcube.com</t>
        </is>
      </c>
      <c r="K1026" s="37" t="inlineStr">
        <is>
          <t>support@getsugarcube.com</t>
        </is>
      </c>
      <c r="L1026" s="38" t="inlineStr">
        <is>
          <t/>
        </is>
      </c>
      <c r="M1026" s="39" t="inlineStr">
        <is>
          <t>Sri Gogineni</t>
        </is>
      </c>
      <c r="N1026" s="40" t="inlineStr">
        <is>
          <t>Founder &amp; Chief Executive Officer</t>
        </is>
      </c>
      <c r="O1026" s="41" t="inlineStr">
        <is>
          <t>sri@getsugarcube.com</t>
        </is>
      </c>
      <c r="P1026" s="42" t="inlineStr">
        <is>
          <t/>
        </is>
      </c>
      <c r="Q1026" s="43" t="n">
        <v>2013.0</v>
      </c>
      <c r="R1026" s="114">
        <f>HYPERLINK("https://my.pitchbook.com?c=109287-82", "View company online")</f>
      </c>
    </row>
    <row r="1027">
      <c r="A1027" s="9" t="inlineStr">
        <is>
          <t>108829-36</t>
        </is>
      </c>
      <c r="B1027" s="10" t="inlineStr">
        <is>
          <t>Sugar Knife</t>
        </is>
      </c>
      <c r="C1027" s="11" t="inlineStr">
        <is>
          <t>94605</t>
        </is>
      </c>
      <c r="D1027" s="12" t="inlineStr">
        <is>
          <t>Provider of an online retail platform for confectionery products. The company provides an online marketplace includes to sell confectionery products includes candies, gourmet marshmallows, whiskey &amp; beer brittle, spirits and liqueurs.</t>
        </is>
      </c>
      <c r="E1027" s="13" t="inlineStr">
        <is>
          <t>Beverages</t>
        </is>
      </c>
      <c r="F1027" s="14" t="inlineStr">
        <is>
          <t>Oakland, CA</t>
        </is>
      </c>
      <c r="G1027" s="15" t="inlineStr">
        <is>
          <t>Privately Held (backing)</t>
        </is>
      </c>
      <c r="H1027" s="16" t="inlineStr">
        <is>
          <t>Angel-Backed</t>
        </is>
      </c>
      <c r="I1027" s="17" t="inlineStr">
        <is>
          <t/>
        </is>
      </c>
      <c r="J1027" s="18" t="inlineStr">
        <is>
          <t>www.sugarknife.com</t>
        </is>
      </c>
      <c r="K1027" s="19" t="inlineStr">
        <is>
          <t/>
        </is>
      </c>
      <c r="L1027" s="20" t="inlineStr">
        <is>
          <t/>
        </is>
      </c>
      <c r="M1027" s="21" t="inlineStr">
        <is>
          <t>Jenna Keys</t>
        </is>
      </c>
      <c r="N1027" s="22" t="inlineStr">
        <is>
          <t>Co-Founder &amp; Sugar Scientist</t>
        </is>
      </c>
      <c r="O1027" s="23" t="inlineStr">
        <is>
          <t>jenna@sugarknife.com</t>
        </is>
      </c>
      <c r="P1027" s="24" t="inlineStr">
        <is>
          <t/>
        </is>
      </c>
      <c r="Q1027" s="25" t="n">
        <v>2012.0</v>
      </c>
      <c r="R1027" s="113">
        <f>HYPERLINK("https://my.pitchbook.com?c=108829-36", "View company online")</f>
      </c>
    </row>
    <row r="1028">
      <c r="A1028" s="27" t="inlineStr">
        <is>
          <t>118837-27</t>
        </is>
      </c>
      <c r="B1028" s="28" t="inlineStr">
        <is>
          <t>Sugar Cone</t>
        </is>
      </c>
      <c r="C1028" s="29" t="inlineStr">
        <is>
          <t>90405</t>
        </is>
      </c>
      <c r="D1028" s="30" t="inlineStr">
        <is>
          <t>Operator of ice-cream shops with organic ingredients. The company makes ice cream, sorbets and dairy free ice creams using organic milk and cream.</t>
        </is>
      </c>
      <c r="E1028" s="31" t="inlineStr">
        <is>
          <t>Food Products</t>
        </is>
      </c>
      <c r="F1028" s="32" t="inlineStr">
        <is>
          <t>Santa Monica, CA</t>
        </is>
      </c>
      <c r="G1028" s="33" t="inlineStr">
        <is>
          <t>Privately Held (backing)</t>
        </is>
      </c>
      <c r="H1028" s="34" t="inlineStr">
        <is>
          <t>Angel-Backed</t>
        </is>
      </c>
      <c r="I1028" s="35" t="inlineStr">
        <is>
          <t/>
        </is>
      </c>
      <c r="J1028" s="36" t="inlineStr">
        <is>
          <t>www.sweetrosecreamery.com</t>
        </is>
      </c>
      <c r="K1028" s="37" t="inlineStr">
        <is>
          <t>info@sweetrosecreamery.com</t>
        </is>
      </c>
      <c r="L1028" s="38" t="inlineStr">
        <is>
          <t>+1 (310) 260-2663</t>
        </is>
      </c>
      <c r="M1028" s="39" t="inlineStr">
        <is>
          <t>Shiho Yoshikawa</t>
        </is>
      </c>
      <c r="N1028" s="40" t="inlineStr">
        <is>
          <t>Founder &amp; Co-Owner</t>
        </is>
      </c>
      <c r="O1028" s="41" t="inlineStr">
        <is>
          <t>shiho@sweetrosecreamery.com</t>
        </is>
      </c>
      <c r="P1028" s="42" t="inlineStr">
        <is>
          <t>+1 (310) 260-2663</t>
        </is>
      </c>
      <c r="Q1028" s="43" t="n">
        <v>2010.0</v>
      </c>
      <c r="R1028" s="114">
        <f>HYPERLINK("https://my.pitchbook.com?c=118837-27", "View company online")</f>
      </c>
    </row>
    <row r="1029">
      <c r="A1029" s="9" t="inlineStr">
        <is>
          <t>95010-31</t>
        </is>
      </c>
      <c r="B1029" s="10" t="inlineStr">
        <is>
          <t>SueEasy</t>
        </is>
      </c>
      <c r="C1029" s="11" t="inlineStr">
        <is>
          <t>94040</t>
        </is>
      </c>
      <c r="D1029" s="12" t="inlineStr">
        <is>
          <t>Provider of online legal services. The company provides legal dispute resolution services and helps to file complaint or grievance related to a corporation, service or product and also connect with the lawyers.</t>
        </is>
      </c>
      <c r="E1029" s="13" t="inlineStr">
        <is>
          <t>Legal Services (B2B)</t>
        </is>
      </c>
      <c r="F1029" s="14" t="inlineStr">
        <is>
          <t>Mountain View, CA</t>
        </is>
      </c>
      <c r="G1029" s="15" t="inlineStr">
        <is>
          <t>Privately Held (backing)</t>
        </is>
      </c>
      <c r="H1029" s="16" t="inlineStr">
        <is>
          <t>Angel-Backed</t>
        </is>
      </c>
      <c r="I1029" s="17" t="inlineStr">
        <is>
          <t/>
        </is>
      </c>
      <c r="J1029" s="18" t="inlineStr">
        <is>
          <t>www.sueeasy.com</t>
        </is>
      </c>
      <c r="K1029" s="19" t="inlineStr">
        <is>
          <t>info@sueeasy.com</t>
        </is>
      </c>
      <c r="L1029" s="20" t="inlineStr">
        <is>
          <t/>
        </is>
      </c>
      <c r="M1029" s="21" t="inlineStr">
        <is>
          <t>Faraz Matin</t>
        </is>
      </c>
      <c r="N1029" s="22" t="inlineStr">
        <is>
          <t>Co-Founder &amp; Chief Operating Officer</t>
        </is>
      </c>
      <c r="O1029" s="23" t="inlineStr">
        <is>
          <t>f_matin@sueeasy.com</t>
        </is>
      </c>
      <c r="P1029" s="24" t="inlineStr">
        <is>
          <t/>
        </is>
      </c>
      <c r="Q1029" s="25" t="n">
        <v>2007.0</v>
      </c>
      <c r="R1029" s="113">
        <f>HYPERLINK("https://my.pitchbook.com?c=95010-31", "View company online")</f>
      </c>
    </row>
    <row r="1030">
      <c r="A1030" s="27" t="inlineStr">
        <is>
          <t>172424-89</t>
        </is>
      </c>
      <c r="B1030" s="28" t="inlineStr">
        <is>
          <t>Successful Survivors Foundation</t>
        </is>
      </c>
      <c r="C1030" s="86">
        <f>HYPERLINK("https://my.pitchbook.com?rrp=172424-89&amp;type=c", "This Company's information is not available to download. Need this Company? Request availability")</f>
      </c>
      <c r="D1030" s="30" t="inlineStr">
        <is>
          <t/>
        </is>
      </c>
      <c r="E1030" s="31" t="inlineStr">
        <is>
          <t/>
        </is>
      </c>
      <c r="F1030" s="32" t="inlineStr">
        <is>
          <t/>
        </is>
      </c>
      <c r="G1030" s="33" t="inlineStr">
        <is>
          <t/>
        </is>
      </c>
      <c r="H1030" s="34" t="inlineStr">
        <is>
          <t/>
        </is>
      </c>
      <c r="I1030" s="35" t="inlineStr">
        <is>
          <t/>
        </is>
      </c>
      <c r="J1030" s="36" t="inlineStr">
        <is>
          <t/>
        </is>
      </c>
      <c r="K1030" s="37" t="inlineStr">
        <is>
          <t/>
        </is>
      </c>
      <c r="L1030" s="38" t="inlineStr">
        <is>
          <t/>
        </is>
      </c>
      <c r="M1030" s="39" t="inlineStr">
        <is>
          <t/>
        </is>
      </c>
      <c r="N1030" s="40" t="inlineStr">
        <is>
          <t/>
        </is>
      </c>
      <c r="O1030" s="41" t="inlineStr">
        <is>
          <t/>
        </is>
      </c>
      <c r="P1030" s="42" t="inlineStr">
        <is>
          <t/>
        </is>
      </c>
      <c r="Q1030" s="43" t="inlineStr">
        <is>
          <t/>
        </is>
      </c>
      <c r="R1030" s="44" t="inlineStr">
        <is>
          <t/>
        </is>
      </c>
    </row>
    <row r="1031">
      <c r="A1031" s="9" t="inlineStr">
        <is>
          <t>148086-55</t>
        </is>
      </c>
      <c r="B1031" s="10" t="inlineStr">
        <is>
          <t>Subtletees</t>
        </is>
      </c>
      <c r="C1031" s="11" t="inlineStr">
        <is>
          <t/>
        </is>
      </c>
      <c r="D1031" s="12" t="inlineStr">
        <is>
          <t>Provider of an e-commerce platform for buying handmade t-shirts. The company provides an online platform for buying handmade pocket t-shirts which are made form organic cotton fabric.</t>
        </is>
      </c>
      <c r="E1031" s="13" t="inlineStr">
        <is>
          <t>Clothing</t>
        </is>
      </c>
      <c r="F1031" s="14" t="inlineStr">
        <is>
          <t>San Francisco, CA</t>
        </is>
      </c>
      <c r="G1031" s="15" t="inlineStr">
        <is>
          <t>Privately Held (backing)</t>
        </is>
      </c>
      <c r="H1031" s="16" t="inlineStr">
        <is>
          <t>Accelerator/Incubator Backed</t>
        </is>
      </c>
      <c r="I1031" s="17" t="inlineStr">
        <is>
          <t>Launch U, Oberlin College Endowment</t>
        </is>
      </c>
      <c r="J1031" s="18" t="inlineStr">
        <is>
          <t>www.subtletees.us</t>
        </is>
      </c>
      <c r="K1031" s="19" t="inlineStr">
        <is>
          <t>info@subtletees.net</t>
        </is>
      </c>
      <c r="L1031" s="20" t="inlineStr">
        <is>
          <t/>
        </is>
      </c>
      <c r="M1031" s="21" t="inlineStr">
        <is>
          <t>Minh Jeffrey Le</t>
        </is>
      </c>
      <c r="N1031" s="22" t="inlineStr">
        <is>
          <t>Co-Founder &amp; Chief Executive Officer</t>
        </is>
      </c>
      <c r="O1031" s="23" t="inlineStr">
        <is>
          <t>mj@subtletees.us</t>
        </is>
      </c>
      <c r="P1031" s="24" t="inlineStr">
        <is>
          <t/>
        </is>
      </c>
      <c r="Q1031" s="25" t="inlineStr">
        <is>
          <t/>
        </is>
      </c>
      <c r="R1031" s="113">
        <f>HYPERLINK("https://my.pitchbook.com?c=148086-55", "View company online")</f>
      </c>
    </row>
    <row r="1032">
      <c r="A1032" s="27" t="inlineStr">
        <is>
          <t>95375-08</t>
        </is>
      </c>
      <c r="B1032" s="28" t="inlineStr">
        <is>
          <t>Subject Company</t>
        </is>
      </c>
      <c r="C1032" s="29" t="inlineStr">
        <is>
          <t>94306</t>
        </is>
      </c>
      <c r="D1032" s="30" t="inlineStr">
        <is>
          <t>Provider of an online mobile communication platform. The company develops an online platform that allows users to to send mobile website, photos, links, video, text and make calls with out sharing mobile phone numbers.</t>
        </is>
      </c>
      <c r="E1032" s="31" t="inlineStr">
        <is>
          <t>Application Software</t>
        </is>
      </c>
      <c r="F1032" s="32" t="inlineStr">
        <is>
          <t>Palo Alto, CA</t>
        </is>
      </c>
      <c r="G1032" s="33" t="inlineStr">
        <is>
          <t>Privately Held (backing)</t>
        </is>
      </c>
      <c r="H1032" s="34" t="inlineStr">
        <is>
          <t>Angel-Backed</t>
        </is>
      </c>
      <c r="I1032" s="35" t="inlineStr">
        <is>
          <t/>
        </is>
      </c>
      <c r="J1032" s="36" t="inlineStr">
        <is>
          <t>www.subjectcompany.net</t>
        </is>
      </c>
      <c r="K1032" s="37" t="inlineStr">
        <is>
          <t>redwards@subjectcompany.net</t>
        </is>
      </c>
      <c r="L1032" s="38" t="inlineStr">
        <is>
          <t>+1 (650) 321-5550</t>
        </is>
      </c>
      <c r="M1032" s="39" t="inlineStr">
        <is>
          <t>Alfred Zlogar</t>
        </is>
      </c>
      <c r="N1032" s="40" t="inlineStr">
        <is>
          <t>Founder, Board Member &amp; Chief Executive Officer</t>
        </is>
      </c>
      <c r="O1032" s="41" t="inlineStr">
        <is>
          <t>azlogar@mobilepages.com</t>
        </is>
      </c>
      <c r="P1032" s="42" t="inlineStr">
        <is>
          <t>+1 (650) 321-5550</t>
        </is>
      </c>
      <c r="Q1032" s="43" t="n">
        <v>2009.0</v>
      </c>
      <c r="R1032" s="114">
        <f>HYPERLINK("https://my.pitchbook.com?c=95375-08", "View company online")</f>
      </c>
    </row>
    <row r="1033">
      <c r="A1033" s="9" t="inlineStr">
        <is>
          <t>90239-68</t>
        </is>
      </c>
      <c r="B1033" s="10" t="inlineStr">
        <is>
          <t>Subimage</t>
        </is>
      </c>
      <c r="C1033" s="11" t="inlineStr">
        <is>
          <t>95112</t>
        </is>
      </c>
      <c r="D1033" s="12" t="inlineStr">
        <is>
          <t>Operator of a digital agency for providing graphic design and software engineering. The company operates a digital agency for providing graphic design and software engineering and helps organizations in freelance time tracking &amp; invoice software services.</t>
        </is>
      </c>
      <c r="E1033" s="13" t="inlineStr">
        <is>
          <t>Multimedia and Design Software</t>
        </is>
      </c>
      <c r="F1033" s="14" t="inlineStr">
        <is>
          <t>San Jose, CA</t>
        </is>
      </c>
      <c r="G1033" s="15" t="inlineStr">
        <is>
          <t>Privately Held (backing)</t>
        </is>
      </c>
      <c r="H1033" s="16" t="inlineStr">
        <is>
          <t>Angel-Backed</t>
        </is>
      </c>
      <c r="I1033" s="17" t="inlineStr">
        <is>
          <t/>
        </is>
      </c>
      <c r="J1033" s="18" t="inlineStr">
        <is>
          <t>www.subimage.com</t>
        </is>
      </c>
      <c r="K1033" s="19" t="inlineStr">
        <is>
          <t/>
        </is>
      </c>
      <c r="L1033" s="20" t="inlineStr">
        <is>
          <t/>
        </is>
      </c>
      <c r="M1033" s="21" t="inlineStr">
        <is>
          <t>Stephan Henker</t>
        </is>
      </c>
      <c r="N1033" s="22" t="inlineStr">
        <is>
          <t>Co-Founder</t>
        </is>
      </c>
      <c r="O1033" s="23" t="inlineStr">
        <is>
          <t/>
        </is>
      </c>
      <c r="P1033" s="24" t="inlineStr">
        <is>
          <t/>
        </is>
      </c>
      <c r="Q1033" s="25" t="n">
        <v>1998.0</v>
      </c>
      <c r="R1033" s="113">
        <f>HYPERLINK("https://my.pitchbook.com?c=90239-68", "View company online")</f>
      </c>
    </row>
    <row r="1034">
      <c r="A1034" s="27" t="inlineStr">
        <is>
          <t>169410-52</t>
        </is>
      </c>
      <c r="B1034" s="28" t="inlineStr">
        <is>
          <t>Subdream Studios</t>
        </is>
      </c>
      <c r="C1034" s="29" t="inlineStr">
        <is>
          <t/>
        </is>
      </c>
      <c r="D1034" s="30" t="inlineStr">
        <is>
          <t>Operator of virtual reality gaming studio intended to develop and market social virtual reality games. The company's virtual reality gaming studio offers a gaming platform which gathers players together in a lobby where they can challenge each other in a virtual reality game using PC and mobile, enabling players to play and purchase multiplayer games that can be played at virtual reality arcades and at home.</t>
        </is>
      </c>
      <c r="E1034" s="31" t="inlineStr">
        <is>
          <t>Entertainment Software</t>
        </is>
      </c>
      <c r="F1034" s="32" t="inlineStr">
        <is>
          <t>San Mateo, CA</t>
        </is>
      </c>
      <c r="G1034" s="33" t="inlineStr">
        <is>
          <t>Privately Held (backing)</t>
        </is>
      </c>
      <c r="H1034" s="34" t="inlineStr">
        <is>
          <t>Accelerator/Incubator Backed</t>
        </is>
      </c>
      <c r="I1034" s="35" t="inlineStr">
        <is>
          <t>Cognitive Investment Management, DeNA, Vive X Accelerator, YJM Entertainment Company</t>
        </is>
      </c>
      <c r="J1034" s="36" t="inlineStr">
        <is>
          <t/>
        </is>
      </c>
      <c r="K1034" s="37" t="inlineStr">
        <is>
          <t/>
        </is>
      </c>
      <c r="L1034" s="38" t="inlineStr">
        <is>
          <t/>
        </is>
      </c>
      <c r="M1034" s="39" t="inlineStr">
        <is>
          <t>Jikhan Jung</t>
        </is>
      </c>
      <c r="N1034" s="40" t="inlineStr">
        <is>
          <t>Chief Executive Officer &amp; Founder</t>
        </is>
      </c>
      <c r="O1034" s="41" t="inlineStr">
        <is>
          <t/>
        </is>
      </c>
      <c r="P1034" s="42" t="inlineStr">
        <is>
          <t/>
        </is>
      </c>
      <c r="Q1034" s="43" t="inlineStr">
        <is>
          <t/>
        </is>
      </c>
      <c r="R1034" s="114">
        <f>HYPERLINK("https://my.pitchbook.com?c=169410-52", "View company online")</f>
      </c>
    </row>
    <row r="1035">
      <c r="A1035" s="9" t="inlineStr">
        <is>
          <t>121588-03</t>
        </is>
      </c>
      <c r="B1035" s="10" t="inlineStr">
        <is>
          <t>SUB2r</t>
        </is>
      </c>
      <c r="C1035" s="85">
        <f>HYPERLINK("https://my.pitchbook.com?rrp=121588-03&amp;type=c", "This Company's information is not available to download. Need this Company? Request availability")</f>
      </c>
      <c r="D1035" s="12" t="inlineStr">
        <is>
          <t/>
        </is>
      </c>
      <c r="E1035" s="13" t="inlineStr">
        <is>
          <t/>
        </is>
      </c>
      <c r="F1035" s="14" t="inlineStr">
        <is>
          <t/>
        </is>
      </c>
      <c r="G1035" s="15" t="inlineStr">
        <is>
          <t/>
        </is>
      </c>
      <c r="H1035" s="16" t="inlineStr">
        <is>
          <t/>
        </is>
      </c>
      <c r="I1035" s="17" t="inlineStr">
        <is>
          <t/>
        </is>
      </c>
      <c r="J1035" s="18" t="inlineStr">
        <is>
          <t/>
        </is>
      </c>
      <c r="K1035" s="19" t="inlineStr">
        <is>
          <t/>
        </is>
      </c>
      <c r="L1035" s="20" t="inlineStr">
        <is>
          <t/>
        </is>
      </c>
      <c r="M1035" s="21" t="inlineStr">
        <is>
          <t/>
        </is>
      </c>
      <c r="N1035" s="22" t="inlineStr">
        <is>
          <t/>
        </is>
      </c>
      <c r="O1035" s="23" t="inlineStr">
        <is>
          <t/>
        </is>
      </c>
      <c r="P1035" s="24" t="inlineStr">
        <is>
          <t/>
        </is>
      </c>
      <c r="Q1035" s="25" t="inlineStr">
        <is>
          <t/>
        </is>
      </c>
      <c r="R1035" s="26" t="inlineStr">
        <is>
          <t/>
        </is>
      </c>
    </row>
    <row r="1036">
      <c r="A1036" s="27" t="inlineStr">
        <is>
          <t>117281-89</t>
        </is>
      </c>
      <c r="B1036" s="28" t="inlineStr">
        <is>
          <t>Stylematic</t>
        </is>
      </c>
      <c r="C1036" s="29" t="inlineStr">
        <is>
          <t>94301</t>
        </is>
      </c>
      <c r="D1036" s="30" t="inlineStr">
        <is>
          <t>Developer of a fashion application for mobile. The company recommends apparel for users and also publishes something inspirational from social network.</t>
        </is>
      </c>
      <c r="E1036" s="31" t="inlineStr">
        <is>
          <t>Application Software</t>
        </is>
      </c>
      <c r="F1036" s="32" t="inlineStr">
        <is>
          <t>Palo Alto, CA</t>
        </is>
      </c>
      <c r="G1036" s="33" t="inlineStr">
        <is>
          <t>Privately Held (backing)</t>
        </is>
      </c>
      <c r="H1036" s="34" t="inlineStr">
        <is>
          <t>Accelerator/Incubator Backed</t>
        </is>
      </c>
      <c r="I1036" s="35" t="inlineStr">
        <is>
          <t>Startup Weekend, Wearable IoT World</t>
        </is>
      </c>
      <c r="J1036" s="36" t="inlineStr">
        <is>
          <t>stylematic.co</t>
        </is>
      </c>
      <c r="K1036" s="37" t="inlineStr">
        <is>
          <t>info@stylematic.co</t>
        </is>
      </c>
      <c r="L1036" s="38" t="inlineStr">
        <is>
          <t/>
        </is>
      </c>
      <c r="M1036" s="39" t="inlineStr">
        <is>
          <t>Valentyna Moiseienko</t>
        </is>
      </c>
      <c r="N1036" s="40" t="inlineStr">
        <is>
          <t>Co-Founder</t>
        </is>
      </c>
      <c r="O1036" s="41" t="inlineStr">
        <is>
          <t>valentyna.moiseienko@stylematic.co</t>
        </is>
      </c>
      <c r="P1036" s="42" t="inlineStr">
        <is>
          <t/>
        </is>
      </c>
      <c r="Q1036" s="43" t="inlineStr">
        <is>
          <t/>
        </is>
      </c>
      <c r="R1036" s="114">
        <f>HYPERLINK("https://my.pitchbook.com?c=117281-89", "View company online")</f>
      </c>
    </row>
    <row r="1037">
      <c r="A1037" s="9" t="inlineStr">
        <is>
          <t>97301-62</t>
        </is>
      </c>
      <c r="B1037" s="10" t="inlineStr">
        <is>
          <t>Styku</t>
        </is>
      </c>
      <c r="C1037" s="11" t="inlineStr">
        <is>
          <t>90040</t>
        </is>
      </c>
      <c r="D1037" s="12" t="inlineStr">
        <is>
          <t>Developer of an online size and fit prediction platform for online apparel retailers. The company specializes in developing a personalization platform in the area of health, fitness, beauty, and fashion.</t>
        </is>
      </c>
      <c r="E1037" s="13" t="inlineStr">
        <is>
          <t>Application Software</t>
        </is>
      </c>
      <c r="F1037" s="14" t="inlineStr">
        <is>
          <t>Commerce, CA</t>
        </is>
      </c>
      <c r="G1037" s="15" t="inlineStr">
        <is>
          <t>Privately Held (backing)</t>
        </is>
      </c>
      <c r="H1037" s="16" t="inlineStr">
        <is>
          <t>Accelerator/Incubator Backed</t>
        </is>
      </c>
      <c r="I1037" s="17" t="inlineStr">
        <is>
          <t>Microsoft Accelerator, Plug and Play Tech Center, Techstars</t>
        </is>
      </c>
      <c r="J1037" s="18" t="inlineStr">
        <is>
          <t>www.styku.com</t>
        </is>
      </c>
      <c r="K1037" s="19" t="inlineStr">
        <is>
          <t>info@styku.com</t>
        </is>
      </c>
      <c r="L1037" s="20" t="inlineStr">
        <is>
          <t>+1 (323) 726-3836</t>
        </is>
      </c>
      <c r="M1037" s="21" t="inlineStr">
        <is>
          <t>Raj Sareen</t>
        </is>
      </c>
      <c r="N1037" s="22" t="inlineStr">
        <is>
          <t>Chief Executive Officer &amp; Co-Founder</t>
        </is>
      </c>
      <c r="O1037" s="23" t="inlineStr">
        <is>
          <t>raj.sareen@styku.com</t>
        </is>
      </c>
      <c r="P1037" s="24" t="inlineStr">
        <is>
          <t>+1 (323) 726-3836</t>
        </is>
      </c>
      <c r="Q1037" s="25" t="n">
        <v>2011.0</v>
      </c>
      <c r="R1037" s="113">
        <f>HYPERLINK("https://my.pitchbook.com?c=97301-62", "View company online")</f>
      </c>
    </row>
    <row r="1038">
      <c r="A1038" s="27" t="inlineStr">
        <is>
          <t>90339-40</t>
        </is>
      </c>
      <c r="B1038" s="28" t="inlineStr">
        <is>
          <t>StudyRoom</t>
        </is>
      </c>
      <c r="C1038" s="29" t="inlineStr">
        <is>
          <t/>
        </is>
      </c>
      <c r="D1038" s="30" t="inlineStr">
        <is>
          <t>Developer of an online platform for connecting classmates. The company develops an online platform that enable s students to share notes, study guides and find study groups with other students.</t>
        </is>
      </c>
      <c r="E1038" s="31" t="inlineStr">
        <is>
          <t>Application Software</t>
        </is>
      </c>
      <c r="F1038" s="32" t="inlineStr">
        <is>
          <t>Mountain View, CA</t>
        </is>
      </c>
      <c r="G1038" s="33" t="inlineStr">
        <is>
          <t>Privately Held (backing)</t>
        </is>
      </c>
      <c r="H1038" s="34" t="inlineStr">
        <is>
          <t>Accelerator/Incubator Backed</t>
        </is>
      </c>
      <c r="I1038" s="35" t="inlineStr">
        <is>
          <t>Alan Louie, Brian Marks, Geoff Ralston, Imagine K12, Kevin Moore, Tim Brady</t>
        </is>
      </c>
      <c r="J1038" s="36" t="inlineStr">
        <is>
          <t>www.getstudyroom.com</t>
        </is>
      </c>
      <c r="K1038" s="37" t="inlineStr">
        <is>
          <t>connect@getstudyroom.com</t>
        </is>
      </c>
      <c r="L1038" s="38" t="inlineStr">
        <is>
          <t/>
        </is>
      </c>
      <c r="M1038" s="39" t="inlineStr">
        <is>
          <t>Emerson Malca</t>
        </is>
      </c>
      <c r="N1038" s="40" t="inlineStr">
        <is>
          <t>Chief Executive Officer and Co-Founder</t>
        </is>
      </c>
      <c r="O1038" s="41" t="inlineStr">
        <is>
          <t>e@getstudyroom.com</t>
        </is>
      </c>
      <c r="P1038" s="42" t="inlineStr">
        <is>
          <t/>
        </is>
      </c>
      <c r="Q1038" s="43" t="n">
        <v>2012.0</v>
      </c>
      <c r="R1038" s="114">
        <f>HYPERLINK("https://my.pitchbook.com?c=90339-40", "View company online")</f>
      </c>
    </row>
    <row r="1039">
      <c r="A1039" s="9" t="inlineStr">
        <is>
          <t>92553-49</t>
        </is>
      </c>
      <c r="B1039" s="10" t="inlineStr">
        <is>
          <t>StudyPad</t>
        </is>
      </c>
      <c r="C1039" s="11" t="inlineStr">
        <is>
          <t>94063</t>
        </is>
      </c>
      <c r="D1039" s="12" t="inlineStr">
        <is>
          <t>Provider of an educational application. The company provides grade K - 5 maths application for iPhone, iPad and iPod. It contains interactive learning sessions for childern.</t>
        </is>
      </c>
      <c r="E1039" s="13" t="inlineStr">
        <is>
          <t>Educational Software</t>
        </is>
      </c>
      <c r="F1039" s="14" t="inlineStr">
        <is>
          <t>Redwood City, CA</t>
        </is>
      </c>
      <c r="G1039" s="15" t="inlineStr">
        <is>
          <t>Privately Held (backing)</t>
        </is>
      </c>
      <c r="H1039" s="16" t="inlineStr">
        <is>
          <t>Angel-Backed</t>
        </is>
      </c>
      <c r="I1039" s="17" t="inlineStr">
        <is>
          <t>Aneesh Reddy, Krishna Vedati, Srividhya Ramakrishnan</t>
        </is>
      </c>
      <c r="J1039" s="18" t="inlineStr">
        <is>
          <t>www.splashmath.com</t>
        </is>
      </c>
      <c r="K1039" s="19" t="inlineStr">
        <is>
          <t>contact@splashmath.com</t>
        </is>
      </c>
      <c r="L1039" s="20" t="inlineStr">
        <is>
          <t>+1 (855) 979-8948</t>
        </is>
      </c>
      <c r="M1039" s="21" t="inlineStr">
        <is>
          <t>Arpit Jain</t>
        </is>
      </c>
      <c r="N1039" s="22" t="inlineStr">
        <is>
          <t>Co-Founder &amp; Chief Executive Officer</t>
        </is>
      </c>
      <c r="O1039" s="23" t="inlineStr">
        <is>
          <t>arpit@splashmath.com</t>
        </is>
      </c>
      <c r="P1039" s="24" t="inlineStr">
        <is>
          <t>+1 (855) 979-8948</t>
        </is>
      </c>
      <c r="Q1039" s="25" t="inlineStr">
        <is>
          <t/>
        </is>
      </c>
      <c r="R1039" s="113">
        <f>HYPERLINK("https://my.pitchbook.com?c=92553-49", "View company online")</f>
      </c>
    </row>
    <row r="1040">
      <c r="A1040" s="27" t="inlineStr">
        <is>
          <t>98444-89</t>
        </is>
      </c>
      <c r="B1040" s="28" t="inlineStr">
        <is>
          <t>Study Notes</t>
        </is>
      </c>
      <c r="C1040" s="29" t="inlineStr">
        <is>
          <t>94305</t>
        </is>
      </c>
      <c r="D1040" s="30" t="inlineStr">
        <is>
          <t>Provider of an online platform offering study resources to students. The company offers a web platform offering free study material and notes for classes and exams.</t>
        </is>
      </c>
      <c r="E1040" s="31" t="inlineStr">
        <is>
          <t>Educational and Training Services (B2C)</t>
        </is>
      </c>
      <c r="F1040" s="32" t="inlineStr">
        <is>
          <t>Stanford, CA</t>
        </is>
      </c>
      <c r="G1040" s="33" t="inlineStr">
        <is>
          <t>Privately Held (backing)</t>
        </is>
      </c>
      <c r="H1040" s="34" t="inlineStr">
        <is>
          <t>Accelerator/Incubator Backed</t>
        </is>
      </c>
      <c r="I1040" s="35" t="inlineStr">
        <is>
          <t>StartX</t>
        </is>
      </c>
      <c r="J1040" s="36" t="inlineStr">
        <is>
          <t>www.apstudynotes.org</t>
        </is>
      </c>
      <c r="K1040" s="37" t="inlineStr">
        <is>
          <t/>
        </is>
      </c>
      <c r="L1040" s="38" t="inlineStr">
        <is>
          <t>+1 (650) 200-0383</t>
        </is>
      </c>
      <c r="M1040" s="39" t="inlineStr">
        <is>
          <t>Feross Aboukhadijeh</t>
        </is>
      </c>
      <c r="N1040" s="40" t="inlineStr">
        <is>
          <t>Founder</t>
        </is>
      </c>
      <c r="O1040" s="41" t="inlineStr">
        <is>
          <t>feross@apstudynotes.org</t>
        </is>
      </c>
      <c r="P1040" s="42" t="inlineStr">
        <is>
          <t>+1 (650) 200-0383</t>
        </is>
      </c>
      <c r="Q1040" s="43" t="n">
        <v>2006.0</v>
      </c>
      <c r="R1040" s="114">
        <f>HYPERLINK("https://my.pitchbook.com?c=98444-89", "View company online")</f>
      </c>
    </row>
    <row r="1041">
      <c r="A1041" s="9" t="inlineStr">
        <is>
          <t>98926-21</t>
        </is>
      </c>
      <c r="B1041" s="10" t="inlineStr">
        <is>
          <t>Studio Dental</t>
        </is>
      </c>
      <c r="C1041" s="11" t="inlineStr">
        <is>
          <t>94158</t>
        </is>
      </c>
      <c r="D1041" s="12" t="inlineStr">
        <is>
          <t>Provider of dental services. The company offers a technology-led mobile dental practice that is on the wheels and reaches the patient's doorstep when called for.</t>
        </is>
      </c>
      <c r="E1041" s="13" t="inlineStr">
        <is>
          <t>Other Healthcare Services</t>
        </is>
      </c>
      <c r="F1041" s="14" t="inlineStr">
        <is>
          <t>San Francisco, CA</t>
        </is>
      </c>
      <c r="G1041" s="15" t="inlineStr">
        <is>
          <t>Privately Held (backing)</t>
        </is>
      </c>
      <c r="H1041" s="16" t="inlineStr">
        <is>
          <t>Accelerator/Incubator Backed</t>
        </is>
      </c>
      <c r="I1041" s="17" t="inlineStr">
        <is>
          <t>Rock Health</t>
        </is>
      </c>
      <c r="J1041" s="18" t="inlineStr">
        <is>
          <t>www.studiodental.com</t>
        </is>
      </c>
      <c r="K1041" s="19" t="inlineStr">
        <is>
          <t/>
        </is>
      </c>
      <c r="L1041" s="20" t="inlineStr">
        <is>
          <t>+1 (415) 527-0263</t>
        </is>
      </c>
      <c r="M1041" s="21" t="inlineStr">
        <is>
          <t>Lowell Caulder</t>
        </is>
      </c>
      <c r="N1041" s="22" t="inlineStr">
        <is>
          <t>Chief Executive Officer &amp; Co-Founder</t>
        </is>
      </c>
      <c r="O1041" s="23" t="inlineStr">
        <is>
          <t>lowell@studiodental.com</t>
        </is>
      </c>
      <c r="P1041" s="24" t="inlineStr">
        <is>
          <t>+1 (415) 527-0263</t>
        </is>
      </c>
      <c r="Q1041" s="25" t="n">
        <v>2013.0</v>
      </c>
      <c r="R1041" s="113">
        <f>HYPERLINK("https://my.pitchbook.com?c=98926-21", "View company online")</f>
      </c>
    </row>
    <row r="1042">
      <c r="A1042" s="27" t="inlineStr">
        <is>
          <t>177444-46</t>
        </is>
      </c>
      <c r="B1042" s="28" t="inlineStr">
        <is>
          <t>Stryde Men</t>
        </is>
      </c>
      <c r="C1042" s="86">
        <f>HYPERLINK("https://my.pitchbook.com?rrp=177444-46&amp;type=c", "This Company's information is not available to download. Need this Company? Request availability")</f>
      </c>
      <c r="D1042" s="30" t="inlineStr">
        <is>
          <t/>
        </is>
      </c>
      <c r="E1042" s="31" t="inlineStr">
        <is>
          <t/>
        </is>
      </c>
      <c r="F1042" s="32" t="inlineStr">
        <is>
          <t/>
        </is>
      </c>
      <c r="G1042" s="33" t="inlineStr">
        <is>
          <t/>
        </is>
      </c>
      <c r="H1042" s="34" t="inlineStr">
        <is>
          <t/>
        </is>
      </c>
      <c r="I1042" s="35" t="inlineStr">
        <is>
          <t/>
        </is>
      </c>
      <c r="J1042" s="36" t="inlineStr">
        <is>
          <t/>
        </is>
      </c>
      <c r="K1042" s="37" t="inlineStr">
        <is>
          <t/>
        </is>
      </c>
      <c r="L1042" s="38" t="inlineStr">
        <is>
          <t/>
        </is>
      </c>
      <c r="M1042" s="39" t="inlineStr">
        <is>
          <t/>
        </is>
      </c>
      <c r="N1042" s="40" t="inlineStr">
        <is>
          <t/>
        </is>
      </c>
      <c r="O1042" s="41" t="inlineStr">
        <is>
          <t/>
        </is>
      </c>
      <c r="P1042" s="42" t="inlineStr">
        <is>
          <t/>
        </is>
      </c>
      <c r="Q1042" s="43" t="inlineStr">
        <is>
          <t/>
        </is>
      </c>
      <c r="R1042" s="44" t="inlineStr">
        <is>
          <t/>
        </is>
      </c>
    </row>
    <row r="1043">
      <c r="A1043" s="9" t="inlineStr">
        <is>
          <t>95344-75</t>
        </is>
      </c>
      <c r="B1043" s="10" t="inlineStr">
        <is>
          <t>STRV</t>
        </is>
      </c>
      <c r="C1043" s="11" t="inlineStr">
        <is>
          <t>94102</t>
        </is>
      </c>
      <c r="D1043" s="12" t="inlineStr">
        <is>
          <t>Operator of a mobile app development shop. The company provides codes and designs for various startups.</t>
        </is>
      </c>
      <c r="E1043" s="13" t="inlineStr">
        <is>
          <t>Application Software</t>
        </is>
      </c>
      <c r="F1043" s="14" t="inlineStr">
        <is>
          <t>San Francisco, CA</t>
        </is>
      </c>
      <c r="G1043" s="15" t="inlineStr">
        <is>
          <t>Privately Held (backing)</t>
        </is>
      </c>
      <c r="H1043" s="16" t="inlineStr">
        <is>
          <t>Accelerator/Incubator Backed</t>
        </is>
      </c>
      <c r="I1043" s="17" t="inlineStr">
        <is>
          <t>Runway Incubator</t>
        </is>
      </c>
      <c r="J1043" s="18" t="inlineStr">
        <is>
          <t>www.strv.com</t>
        </is>
      </c>
      <c r="K1043" s="19" t="inlineStr">
        <is>
          <t>hello@strv.com</t>
        </is>
      </c>
      <c r="L1043" s="20" t="inlineStr">
        <is>
          <t/>
        </is>
      </c>
      <c r="M1043" s="21" t="inlineStr">
        <is>
          <t>David Semerad</t>
        </is>
      </c>
      <c r="N1043" s="22" t="inlineStr">
        <is>
          <t>Co-Founder &amp; Chief Executive Officer</t>
        </is>
      </c>
      <c r="O1043" s="23" t="inlineStr">
        <is>
          <t>david@strv.com</t>
        </is>
      </c>
      <c r="P1043" s="24" t="inlineStr">
        <is>
          <t/>
        </is>
      </c>
      <c r="Q1043" s="25" t="n">
        <v>2004.0</v>
      </c>
      <c r="R1043" s="113">
        <f>HYPERLINK("https://my.pitchbook.com?c=95344-75", "View company online")</f>
      </c>
    </row>
    <row r="1044">
      <c r="A1044" s="27" t="inlineStr">
        <is>
          <t>155952-64</t>
        </is>
      </c>
      <c r="B1044" s="28" t="inlineStr">
        <is>
          <t>StrongIntro</t>
        </is>
      </c>
      <c r="C1044" s="29" t="inlineStr">
        <is>
          <t>94110</t>
        </is>
      </c>
      <c r="D1044" s="30" t="inlineStr">
        <is>
          <t>Provider of an employee referrals platform. The company develops a recruiting tool which offers employers to hire people from employee referrals.</t>
        </is>
      </c>
      <c r="E1044" s="31" t="inlineStr">
        <is>
          <t>Human Capital Services</t>
        </is>
      </c>
      <c r="F1044" s="32" t="inlineStr">
        <is>
          <t>San Francisco, CA</t>
        </is>
      </c>
      <c r="G1044" s="33" t="inlineStr">
        <is>
          <t>Privately Held (backing)</t>
        </is>
      </c>
      <c r="H1044" s="34" t="inlineStr">
        <is>
          <t>Accelerator/Incubator Backed</t>
        </is>
      </c>
      <c r="I1044" s="35" t="inlineStr">
        <is>
          <t>Thiel Fellowship, Y Combinator</t>
        </is>
      </c>
      <c r="J1044" s="36" t="inlineStr">
        <is>
          <t>www.strongintro.com</t>
        </is>
      </c>
      <c r="K1044" s="37" t="inlineStr">
        <is>
          <t>hello@strongintro.com</t>
        </is>
      </c>
      <c r="L1044" s="38" t="inlineStr">
        <is>
          <t>+1 (415) 273-9838</t>
        </is>
      </c>
      <c r="M1044" s="39" t="inlineStr">
        <is>
          <t>Fouad Matin</t>
        </is>
      </c>
      <c r="N1044" s="40" t="inlineStr">
        <is>
          <t>Co-Founder</t>
        </is>
      </c>
      <c r="O1044" s="41" t="inlineStr">
        <is>
          <t>fouad@strongintro.com</t>
        </is>
      </c>
      <c r="P1044" s="42" t="inlineStr">
        <is>
          <t>+1 (415) 273-9838</t>
        </is>
      </c>
      <c r="Q1044" s="43" t="n">
        <v>2015.0</v>
      </c>
      <c r="R1044" s="114">
        <f>HYPERLINK("https://my.pitchbook.com?c=155952-64", "View company online")</f>
      </c>
    </row>
    <row r="1045">
      <c r="A1045" s="9" t="inlineStr">
        <is>
          <t>95005-90</t>
        </is>
      </c>
      <c r="B1045" s="10" t="inlineStr">
        <is>
          <t>Stroll</t>
        </is>
      </c>
      <c r="C1045" s="11" t="inlineStr">
        <is>
          <t>94109</t>
        </is>
      </c>
      <c r="D1045" s="12" t="inlineStr">
        <is>
          <t>Developer of a mobile application for physicians designed to make healthcare more transparent and personalized. The company's mobile application helps doctors and patients with transparency in treatment options and enables them to make the optimal personalized choice in their healthcare treatment.</t>
        </is>
      </c>
      <c r="E1045" s="13" t="inlineStr">
        <is>
          <t>Application Software</t>
        </is>
      </c>
      <c r="F1045" s="14" t="inlineStr">
        <is>
          <t>San Francisco, CA</t>
        </is>
      </c>
      <c r="G1045" s="15" t="inlineStr">
        <is>
          <t>Privately Held (backing)</t>
        </is>
      </c>
      <c r="H1045" s="16" t="inlineStr">
        <is>
          <t>Accelerator/Incubator Backed</t>
        </is>
      </c>
      <c r="I1045" s="17" t="inlineStr">
        <is>
          <t>Business Association of Stanford Entrepreneurial Students, Elevar, Prebacked, Skydeck | Berkeley, TMCx Innovation</t>
        </is>
      </c>
      <c r="J1045" s="18" t="inlineStr">
        <is>
          <t>www.strollhealth.com</t>
        </is>
      </c>
      <c r="K1045" s="19" t="inlineStr">
        <is>
          <t>info@strollhealth.com</t>
        </is>
      </c>
      <c r="L1045" s="20" t="inlineStr">
        <is>
          <t>+1 (415) 409-8443</t>
        </is>
      </c>
      <c r="M1045" s="21" t="inlineStr">
        <is>
          <t>Jordan Epstein</t>
        </is>
      </c>
      <c r="N1045" s="22" t="inlineStr">
        <is>
          <t>Co-Founder &amp; Chief Executive Officer</t>
        </is>
      </c>
      <c r="O1045" s="23" t="inlineStr">
        <is>
          <t>jordan@strollhealth.com</t>
        </is>
      </c>
      <c r="P1045" s="24" t="inlineStr">
        <is>
          <t>+1 (415) 409-8443</t>
        </is>
      </c>
      <c r="Q1045" s="25" t="n">
        <v>2013.0</v>
      </c>
      <c r="R1045" s="113">
        <f>HYPERLINK("https://my.pitchbook.com?c=95005-90", "View company online")</f>
      </c>
    </row>
    <row r="1046">
      <c r="A1046" s="27" t="inlineStr">
        <is>
          <t>97269-49</t>
        </is>
      </c>
      <c r="B1046" s="28" t="inlineStr">
        <is>
          <t>Striker Solutions</t>
        </is>
      </c>
      <c r="C1046" s="29" t="inlineStr">
        <is>
          <t>95928</t>
        </is>
      </c>
      <c r="D1046" s="30" t="inlineStr">
        <is>
          <t>Provider of an online marketing tool. The company provides its users with tools to create Craiglist, eBay or Backpage ads.</t>
        </is>
      </c>
      <c r="E1046" s="31" t="inlineStr">
        <is>
          <t>Business/Productivity Software</t>
        </is>
      </c>
      <c r="F1046" s="32" t="inlineStr">
        <is>
          <t>Chico, CA</t>
        </is>
      </c>
      <c r="G1046" s="33" t="inlineStr">
        <is>
          <t>Privately Held (backing)</t>
        </is>
      </c>
      <c r="H1046" s="34" t="inlineStr">
        <is>
          <t>Angel-Backed</t>
        </is>
      </c>
      <c r="I1046" s="35" t="inlineStr">
        <is>
          <t>John Gibbs, Steve Callendrela</t>
        </is>
      </c>
      <c r="J1046" s="36" t="inlineStr">
        <is>
          <t>www.postmaven.com</t>
        </is>
      </c>
      <c r="K1046" s="37" t="inlineStr">
        <is>
          <t/>
        </is>
      </c>
      <c r="L1046" s="38" t="inlineStr">
        <is>
          <t>+1 (530) 893-1200</t>
        </is>
      </c>
      <c r="M1046" s="39" t="inlineStr">
        <is>
          <t>Valerie Reddemann</t>
        </is>
      </c>
      <c r="N1046" s="40" t="inlineStr">
        <is>
          <t>Chief Marketing Officer</t>
        </is>
      </c>
      <c r="O1046" s="41" t="inlineStr">
        <is>
          <t/>
        </is>
      </c>
      <c r="P1046" s="42" t="inlineStr">
        <is>
          <t>+1 (530) 893-1200</t>
        </is>
      </c>
      <c r="Q1046" s="43" t="n">
        <v>2012.0</v>
      </c>
      <c r="R1046" s="114">
        <f>HYPERLINK("https://my.pitchbook.com?c=97269-49", "View company online")</f>
      </c>
    </row>
    <row r="1047">
      <c r="A1047" s="9" t="inlineStr">
        <is>
          <t>115412-77</t>
        </is>
      </c>
      <c r="B1047" s="10" t="inlineStr">
        <is>
          <t>Strike Brewing Company</t>
        </is>
      </c>
      <c r="C1047" s="11" t="inlineStr">
        <is>
          <t>95112</t>
        </is>
      </c>
      <c r="D1047" s="12" t="inlineStr">
        <is>
          <t>Owner and operator of a alcohol brewing company. The company offers wine, gin, whiskey and other related alcoholic and hard drinks and beverages to their customers.</t>
        </is>
      </c>
      <c r="E1047" s="13" t="inlineStr">
        <is>
          <t>Beverages</t>
        </is>
      </c>
      <c r="F1047" s="14" t="inlineStr">
        <is>
          <t>San Jose, CA</t>
        </is>
      </c>
      <c r="G1047" s="15" t="inlineStr">
        <is>
          <t>Privately Held (backing)</t>
        </is>
      </c>
      <c r="H1047" s="16" t="inlineStr">
        <is>
          <t>Angel-Backed</t>
        </is>
      </c>
      <c r="I1047" s="17" t="inlineStr">
        <is>
          <t>Houston Angel Network, Texas Angel Fund</t>
        </is>
      </c>
      <c r="J1047" s="18" t="inlineStr">
        <is>
          <t>www.strikebrewingco.com</t>
        </is>
      </c>
      <c r="K1047" s="19" t="inlineStr">
        <is>
          <t/>
        </is>
      </c>
      <c r="L1047" s="20" t="inlineStr">
        <is>
          <t/>
        </is>
      </c>
      <c r="M1047" s="21" t="inlineStr">
        <is>
          <t>Jennifer Lewis</t>
        </is>
      </c>
      <c r="N1047" s="22" t="inlineStr">
        <is>
          <t>Co-Founder, Chief Executive Officer &amp; Board Member</t>
        </is>
      </c>
      <c r="O1047" s="23" t="inlineStr">
        <is>
          <t>jenny@strikebrewingco.com</t>
        </is>
      </c>
      <c r="P1047" s="24" t="inlineStr">
        <is>
          <t/>
        </is>
      </c>
      <c r="Q1047" s="25" t="n">
        <v>2011.0</v>
      </c>
      <c r="R1047" s="113">
        <f>HYPERLINK("https://my.pitchbook.com?c=115412-77", "View company online")</f>
      </c>
    </row>
    <row r="1048">
      <c r="A1048" s="27" t="inlineStr">
        <is>
          <t>163624-24</t>
        </is>
      </c>
      <c r="B1048" s="28" t="inlineStr">
        <is>
          <t>StrideSpark</t>
        </is>
      </c>
      <c r="C1048" s="29" t="inlineStr">
        <is>
          <t>94301</t>
        </is>
      </c>
      <c r="D1048" s="30" t="inlineStr">
        <is>
          <t>Provider of an intelligent retention marketing engine. The company operates an intelligent retention marketing engine that rethinks the marketing stack from the ground up and makes data-driven customer engagement easy.</t>
        </is>
      </c>
      <c r="E1048" s="31" t="inlineStr">
        <is>
          <t>Media and Information Services (B2B)</t>
        </is>
      </c>
      <c r="F1048" s="32" t="inlineStr">
        <is>
          <t>Palo Alto, CA</t>
        </is>
      </c>
      <c r="G1048" s="33" t="inlineStr">
        <is>
          <t>Privately Held (backing)</t>
        </is>
      </c>
      <c r="H1048" s="34" t="inlineStr">
        <is>
          <t>Angel-Backed</t>
        </is>
      </c>
      <c r="I1048" s="35" t="inlineStr">
        <is>
          <t/>
        </is>
      </c>
      <c r="J1048" s="36" t="inlineStr">
        <is>
          <t>www.stridespark.com</t>
        </is>
      </c>
      <c r="K1048" s="37" t="inlineStr">
        <is>
          <t/>
        </is>
      </c>
      <c r="L1048" s="38" t="inlineStr">
        <is>
          <t>+1 (650) 468-7971</t>
        </is>
      </c>
      <c r="M1048" s="39" t="inlineStr">
        <is>
          <t>Timothy Fletcher</t>
        </is>
      </c>
      <c r="N1048" s="40" t="inlineStr">
        <is>
          <t>Co-Founder, Chief Executive Officer &amp; Board Member</t>
        </is>
      </c>
      <c r="O1048" s="41" t="inlineStr">
        <is>
          <t>tim@stridespark.com</t>
        </is>
      </c>
      <c r="P1048" s="42" t="inlineStr">
        <is>
          <t>+1 (650) 468-7971</t>
        </is>
      </c>
      <c r="Q1048" s="43" t="n">
        <v>2016.0</v>
      </c>
      <c r="R1048" s="114">
        <f>HYPERLINK("https://my.pitchbook.com?c=163624-24", "View company online")</f>
      </c>
    </row>
    <row r="1049">
      <c r="A1049" s="9" t="inlineStr">
        <is>
          <t>119768-59</t>
        </is>
      </c>
      <c r="B1049" s="10" t="inlineStr">
        <is>
          <t>Stride Travel</t>
        </is>
      </c>
      <c r="C1049" s="11" t="inlineStr">
        <is>
          <t/>
        </is>
      </c>
      <c r="D1049" s="12" t="inlineStr">
        <is>
          <t>Operator of a meta-search platform for professionally planned vacations. The company offers a platform enabling users to search for tours, small ship cruises, safaris, and adventure packages.</t>
        </is>
      </c>
      <c r="E1049" s="13" t="inlineStr">
        <is>
          <t>Leisure Facilities</t>
        </is>
      </c>
      <c r="F1049" s="14" t="inlineStr">
        <is>
          <t>San Francisco, CA</t>
        </is>
      </c>
      <c r="G1049" s="15" t="inlineStr">
        <is>
          <t>Privately Held (backing)</t>
        </is>
      </c>
      <c r="H1049" s="16" t="inlineStr">
        <is>
          <t>Angel-Backed</t>
        </is>
      </c>
      <c r="I1049" s="17" t="inlineStr">
        <is>
          <t>Adam Goldstein, Baris Gultekin, John Owen</t>
        </is>
      </c>
      <c r="J1049" s="18" t="inlineStr">
        <is>
          <t>www.stridetravel.com</t>
        </is>
      </c>
      <c r="K1049" s="19" t="inlineStr">
        <is>
          <t>info@stridetravel.com</t>
        </is>
      </c>
      <c r="L1049" s="20" t="inlineStr">
        <is>
          <t/>
        </is>
      </c>
      <c r="M1049" s="21" t="inlineStr">
        <is>
          <t>Gavin Delany</t>
        </is>
      </c>
      <c r="N1049" s="22" t="inlineStr">
        <is>
          <t>Founder, Chief Executive Officer &amp; Board Member</t>
        </is>
      </c>
      <c r="O1049" s="23" t="inlineStr">
        <is>
          <t>gavin@stridetravel.com</t>
        </is>
      </c>
      <c r="P1049" s="24" t="inlineStr">
        <is>
          <t/>
        </is>
      </c>
      <c r="Q1049" s="25" t="n">
        <v>2014.0</v>
      </c>
      <c r="R1049" s="113">
        <f>HYPERLINK("https://my.pitchbook.com?c=119768-59", "View company online")</f>
      </c>
    </row>
    <row r="1050">
      <c r="A1050" s="27" t="inlineStr">
        <is>
          <t>108479-35</t>
        </is>
      </c>
      <c r="B1050" s="28" t="inlineStr">
        <is>
          <t>StrictlyRock.com</t>
        </is>
      </c>
      <c r="C1050" s="86">
        <f>HYPERLINK("https://my.pitchbook.com?rrp=108479-35&amp;type=c", "This Company's information is not available to download. Need this Company? Request availability")</f>
      </c>
      <c r="D1050" s="30" t="inlineStr">
        <is>
          <t/>
        </is>
      </c>
      <c r="E1050" s="31" t="inlineStr">
        <is>
          <t/>
        </is>
      </c>
      <c r="F1050" s="32" t="inlineStr">
        <is>
          <t/>
        </is>
      </c>
      <c r="G1050" s="33" t="inlineStr">
        <is>
          <t/>
        </is>
      </c>
      <c r="H1050" s="34" t="inlineStr">
        <is>
          <t/>
        </is>
      </c>
      <c r="I1050" s="35" t="inlineStr">
        <is>
          <t/>
        </is>
      </c>
      <c r="J1050" s="36" t="inlineStr">
        <is>
          <t/>
        </is>
      </c>
      <c r="K1050" s="37" t="inlineStr">
        <is>
          <t/>
        </is>
      </c>
      <c r="L1050" s="38" t="inlineStr">
        <is>
          <t/>
        </is>
      </c>
      <c r="M1050" s="39" t="inlineStr">
        <is>
          <t/>
        </is>
      </c>
      <c r="N1050" s="40" t="inlineStr">
        <is>
          <t/>
        </is>
      </c>
      <c r="O1050" s="41" t="inlineStr">
        <is>
          <t/>
        </is>
      </c>
      <c r="P1050" s="42" t="inlineStr">
        <is>
          <t/>
        </is>
      </c>
      <c r="Q1050" s="43" t="inlineStr">
        <is>
          <t/>
        </is>
      </c>
      <c r="R1050" s="44" t="inlineStr">
        <is>
          <t/>
        </is>
      </c>
    </row>
    <row r="1051">
      <c r="A1051" s="9" t="inlineStr">
        <is>
          <t>88700-05</t>
        </is>
      </c>
      <c r="B1051" s="10" t="inlineStr">
        <is>
          <t>StrengthPortal</t>
        </is>
      </c>
      <c r="C1051" s="11" t="inlineStr">
        <is>
          <t>94403</t>
        </is>
      </c>
      <c r="D1051" s="12" t="inlineStr">
        <is>
          <t>Developer of fitness management software. The company develops a fitness management software that allows fitness professionals to train their clients online.</t>
        </is>
      </c>
      <c r="E1051" s="13" t="inlineStr">
        <is>
          <t>Other Software</t>
        </is>
      </c>
      <c r="F1051" s="14" t="inlineStr">
        <is>
          <t>San Mateo, CA</t>
        </is>
      </c>
      <c r="G1051" s="15" t="inlineStr">
        <is>
          <t>Privately Held (backing)</t>
        </is>
      </c>
      <c r="H1051" s="16" t="inlineStr">
        <is>
          <t>Accelerator/Incubator Backed</t>
        </is>
      </c>
      <c r="I1051" s="17" t="inlineStr">
        <is>
          <t>Boost VC, John Konrad, Zack Chichelo</t>
        </is>
      </c>
      <c r="J1051" s="18" t="inlineStr">
        <is>
          <t>www.strengthportal.com</t>
        </is>
      </c>
      <c r="K1051" s="19" t="inlineStr">
        <is>
          <t>team@strengthportal.com</t>
        </is>
      </c>
      <c r="L1051" s="20" t="inlineStr">
        <is>
          <t>+1 (707) 490-8181</t>
        </is>
      </c>
      <c r="M1051" s="21" t="inlineStr">
        <is>
          <t>Matthew McGunagle</t>
        </is>
      </c>
      <c r="N1051" s="22" t="inlineStr">
        <is>
          <t>Chief Executive Officer &amp; Co-Founder</t>
        </is>
      </c>
      <c r="O1051" s="23" t="inlineStr">
        <is>
          <t>matt@strengthportal.com</t>
        </is>
      </c>
      <c r="P1051" s="24" t="inlineStr">
        <is>
          <t>+1 (707) 490-8181</t>
        </is>
      </c>
      <c r="Q1051" s="25" t="n">
        <v>2013.0</v>
      </c>
      <c r="R1051" s="113">
        <f>HYPERLINK("https://my.pitchbook.com?c=88700-05", "View company online")</f>
      </c>
    </row>
    <row r="1052">
      <c r="A1052" s="27" t="inlineStr">
        <is>
          <t>123273-82</t>
        </is>
      </c>
      <c r="B1052" s="28" t="inlineStr">
        <is>
          <t>Streetmix</t>
        </is>
      </c>
      <c r="C1052" s="29" t="inlineStr">
        <is>
          <t/>
        </is>
      </c>
      <c r="D1052" s="30" t="inlineStr">
        <is>
          <t>Developer of an online platform for street design. The company develops a web-based application software where citizens and planners can provide street designs.</t>
        </is>
      </c>
      <c r="E1052" s="31" t="inlineStr">
        <is>
          <t>Application Software</t>
        </is>
      </c>
      <c r="F1052" s="32" t="inlineStr">
        <is>
          <t>San Francisco, CA</t>
        </is>
      </c>
      <c r="G1052" s="33" t="inlineStr">
        <is>
          <t>Privately Held (backing)</t>
        </is>
      </c>
      <c r="H1052" s="34" t="inlineStr">
        <is>
          <t>Accelerator/Incubator Backed</t>
        </is>
      </c>
      <c r="I1052" s="35" t="inlineStr">
        <is>
          <t>Code For America</t>
        </is>
      </c>
      <c r="J1052" s="36" t="inlineStr">
        <is>
          <t>www.streetmix.net</t>
        </is>
      </c>
      <c r="K1052" s="37" t="inlineStr">
        <is>
          <t>streetmix@codeforamerica.org</t>
        </is>
      </c>
      <c r="L1052" s="38" t="inlineStr">
        <is>
          <t/>
        </is>
      </c>
      <c r="M1052" s="39" t="inlineStr">
        <is>
          <t>Lou Huang</t>
        </is>
      </c>
      <c r="N1052" s="40" t="inlineStr">
        <is>
          <t>Co-Founder</t>
        </is>
      </c>
      <c r="O1052" s="41" t="inlineStr">
        <is>
          <t/>
        </is>
      </c>
      <c r="P1052" s="42" t="inlineStr">
        <is>
          <t/>
        </is>
      </c>
      <c r="Q1052" s="43" t="inlineStr">
        <is>
          <t/>
        </is>
      </c>
      <c r="R1052" s="114">
        <f>HYPERLINK("https://my.pitchbook.com?c=123273-82", "View company online")</f>
      </c>
    </row>
    <row r="1053">
      <c r="A1053" s="9" t="inlineStr">
        <is>
          <t>117485-74</t>
        </is>
      </c>
      <c r="B1053" s="10" t="inlineStr">
        <is>
          <t>Streek By Wauw</t>
        </is>
      </c>
      <c r="C1053" s="85">
        <f>HYPERLINK("https://my.pitchbook.com?rrp=117485-74&amp;type=c", "This Company's information is not available to download. Need this Company? Request availability")</f>
      </c>
      <c r="D1053" s="12" t="inlineStr">
        <is>
          <t/>
        </is>
      </c>
      <c r="E1053" s="13" t="inlineStr">
        <is>
          <t/>
        </is>
      </c>
      <c r="F1053" s="14" t="inlineStr">
        <is>
          <t/>
        </is>
      </c>
      <c r="G1053" s="15" t="inlineStr">
        <is>
          <t/>
        </is>
      </c>
      <c r="H1053" s="16" t="inlineStr">
        <is>
          <t/>
        </is>
      </c>
      <c r="I1053" s="17" t="inlineStr">
        <is>
          <t/>
        </is>
      </c>
      <c r="J1053" s="18" t="inlineStr">
        <is>
          <t/>
        </is>
      </c>
      <c r="K1053" s="19" t="inlineStr">
        <is>
          <t/>
        </is>
      </c>
      <c r="L1053" s="20" t="inlineStr">
        <is>
          <t/>
        </is>
      </c>
      <c r="M1053" s="21" t="inlineStr">
        <is>
          <t/>
        </is>
      </c>
      <c r="N1053" s="22" t="inlineStr">
        <is>
          <t/>
        </is>
      </c>
      <c r="O1053" s="23" t="inlineStr">
        <is>
          <t/>
        </is>
      </c>
      <c r="P1053" s="24" t="inlineStr">
        <is>
          <t/>
        </is>
      </c>
      <c r="Q1053" s="25" t="inlineStr">
        <is>
          <t/>
        </is>
      </c>
      <c r="R1053" s="26" t="inlineStr">
        <is>
          <t/>
        </is>
      </c>
    </row>
    <row r="1054">
      <c r="A1054" s="27" t="inlineStr">
        <is>
          <t>94007-71</t>
        </is>
      </c>
      <c r="B1054" s="28" t="inlineStr">
        <is>
          <t>Streamworks Products Group</t>
        </is>
      </c>
      <c r="C1054" s="29" t="inlineStr">
        <is>
          <t>95203</t>
        </is>
      </c>
      <c r="D1054" s="30" t="inlineStr">
        <is>
          <t>Operator of a consumer products development organization. The company provides product development that has built an extensive platform of new products targeting a variety of consumer markets.</t>
        </is>
      </c>
      <c r="E1054" s="31" t="inlineStr">
        <is>
          <t>Other Services (B2C Non-Financial)</t>
        </is>
      </c>
      <c r="F1054" s="32" t="inlineStr">
        <is>
          <t>Stockton, CA</t>
        </is>
      </c>
      <c r="G1054" s="33" t="inlineStr">
        <is>
          <t>Privately Held (backing)</t>
        </is>
      </c>
      <c r="H1054" s="34" t="inlineStr">
        <is>
          <t>Angel-Backed</t>
        </is>
      </c>
      <c r="I1054" s="35" t="inlineStr">
        <is>
          <t/>
        </is>
      </c>
      <c r="J1054" s="36" t="inlineStr">
        <is>
          <t>www.streamworksproducts.com</t>
        </is>
      </c>
      <c r="K1054" s="37" t="inlineStr">
        <is>
          <t>info@streamworksproducts.com</t>
        </is>
      </c>
      <c r="L1054" s="38" t="inlineStr">
        <is>
          <t>+1 (800) 333-6304</t>
        </is>
      </c>
      <c r="M1054" s="39" t="inlineStr">
        <is>
          <t>William Brauner</t>
        </is>
      </c>
      <c r="N1054" s="40" t="inlineStr">
        <is>
          <t>President</t>
        </is>
      </c>
      <c r="O1054" s="41" t="inlineStr">
        <is>
          <t/>
        </is>
      </c>
      <c r="P1054" s="42" t="inlineStr">
        <is>
          <t>+1 (800) 333-6304</t>
        </is>
      </c>
      <c r="Q1054" s="43" t="n">
        <v>2003.0</v>
      </c>
      <c r="R1054" s="114">
        <f>HYPERLINK("https://my.pitchbook.com?c=94007-71", "View company online")</f>
      </c>
    </row>
    <row r="1055">
      <c r="A1055" s="9" t="inlineStr">
        <is>
          <t>118205-47</t>
        </is>
      </c>
      <c r="B1055" s="10" t="inlineStr">
        <is>
          <t>Streamlyzer</t>
        </is>
      </c>
      <c r="C1055" s="85">
        <f>HYPERLINK("https://my.pitchbook.com?rrp=118205-47&amp;type=c", "This Company's information is not available to download. Need this Company? Request availability")</f>
      </c>
      <c r="D1055" s="12" t="inlineStr">
        <is>
          <t/>
        </is>
      </c>
      <c r="E1055" s="13" t="inlineStr">
        <is>
          <t/>
        </is>
      </c>
      <c r="F1055" s="14" t="inlineStr">
        <is>
          <t/>
        </is>
      </c>
      <c r="G1055" s="15" t="inlineStr">
        <is>
          <t/>
        </is>
      </c>
      <c r="H1055" s="16" t="inlineStr">
        <is>
          <t/>
        </is>
      </c>
      <c r="I1055" s="17" t="inlineStr">
        <is>
          <t/>
        </is>
      </c>
      <c r="J1055" s="18" t="inlineStr">
        <is>
          <t/>
        </is>
      </c>
      <c r="K1055" s="19" t="inlineStr">
        <is>
          <t/>
        </is>
      </c>
      <c r="L1055" s="20" t="inlineStr">
        <is>
          <t/>
        </is>
      </c>
      <c r="M1055" s="21" t="inlineStr">
        <is>
          <t/>
        </is>
      </c>
      <c r="N1055" s="22" t="inlineStr">
        <is>
          <t/>
        </is>
      </c>
      <c r="O1055" s="23" t="inlineStr">
        <is>
          <t/>
        </is>
      </c>
      <c r="P1055" s="24" t="inlineStr">
        <is>
          <t/>
        </is>
      </c>
      <c r="Q1055" s="25" t="inlineStr">
        <is>
          <t/>
        </is>
      </c>
      <c r="R1055" s="26" t="inlineStr">
        <is>
          <t/>
        </is>
      </c>
    </row>
    <row r="1056">
      <c r="A1056" s="27" t="inlineStr">
        <is>
          <t>163575-82</t>
        </is>
      </c>
      <c r="B1056" s="28" t="inlineStr">
        <is>
          <t>StreamLoan</t>
        </is>
      </c>
      <c r="C1056" s="29" t="inlineStr">
        <is>
          <t>94107</t>
        </is>
      </c>
      <c r="D1056" s="30" t="inlineStr">
        <is>
          <t>Provider of an online workflow for residential home purchases. The company's platform enables property buyers to collaborate with banks and financial institutions to secure home and property loans.</t>
        </is>
      </c>
      <c r="E1056" s="31" t="inlineStr">
        <is>
          <t>Social/Platform Software</t>
        </is>
      </c>
      <c r="F1056" s="32" t="inlineStr">
        <is>
          <t>San Francisco, CA</t>
        </is>
      </c>
      <c r="G1056" s="33" t="inlineStr">
        <is>
          <t>Privately Held (backing)</t>
        </is>
      </c>
      <c r="H1056" s="34" t="inlineStr">
        <is>
          <t>Accelerator/Incubator Backed</t>
        </is>
      </c>
      <c r="I1056" s="35" t="inlineStr">
        <is>
          <t>500 Startups, Gelt Venture Capital</t>
        </is>
      </c>
      <c r="J1056" s="36" t="inlineStr">
        <is>
          <t>www.streamloan.io</t>
        </is>
      </c>
      <c r="K1056" s="37" t="inlineStr">
        <is>
          <t>info@streamloan.io</t>
        </is>
      </c>
      <c r="L1056" s="38" t="inlineStr">
        <is>
          <t>+1 (415) 617-9906</t>
        </is>
      </c>
      <c r="M1056" s="39" t="inlineStr">
        <is>
          <t>Stephen Bulfer</t>
        </is>
      </c>
      <c r="N1056" s="40" t="inlineStr">
        <is>
          <t>Co-Founder &amp; Chief Executive Officer</t>
        </is>
      </c>
      <c r="O1056" s="41" t="inlineStr">
        <is>
          <t>stephen@streamloan.io</t>
        </is>
      </c>
      <c r="P1056" s="42" t="inlineStr">
        <is>
          <t>+1 (415) 617-9906</t>
        </is>
      </c>
      <c r="Q1056" s="43" t="n">
        <v>2015.0</v>
      </c>
      <c r="R1056" s="114">
        <f>HYPERLINK("https://my.pitchbook.com?c=163575-82", "View company online")</f>
      </c>
    </row>
    <row r="1057">
      <c r="A1057" s="9" t="inlineStr">
        <is>
          <t>92538-64</t>
        </is>
      </c>
      <c r="B1057" s="10" t="inlineStr">
        <is>
          <t>Streamline Alliance</t>
        </is>
      </c>
      <c r="C1057" s="11" t="inlineStr">
        <is>
          <t>94111</t>
        </is>
      </c>
      <c r="D1057" s="12" t="inlineStr">
        <is>
          <t>Provider of supply chain management services. The company provides supply chain management, high value design, engineering and manufacturing services through the conception to mass production.</t>
        </is>
      </c>
      <c r="E1057" s="13" t="inlineStr">
        <is>
          <t>Other Commercial Services</t>
        </is>
      </c>
      <c r="F1057" s="14" t="inlineStr">
        <is>
          <t>San Francisco, CA</t>
        </is>
      </c>
      <c r="G1057" s="15" t="inlineStr">
        <is>
          <t>Privately Held (backing)</t>
        </is>
      </c>
      <c r="H1057" s="16" t="inlineStr">
        <is>
          <t>Angel-Backed</t>
        </is>
      </c>
      <c r="I1057" s="17" t="inlineStr">
        <is>
          <t/>
        </is>
      </c>
      <c r="J1057" s="18" t="inlineStr">
        <is>
          <t>streamline-alliance.com</t>
        </is>
      </c>
      <c r="K1057" s="19" t="inlineStr">
        <is>
          <t>market@streamline-alliance.com</t>
        </is>
      </c>
      <c r="L1057" s="20" t="inlineStr">
        <is>
          <t>+1 (800) 818-1149</t>
        </is>
      </c>
      <c r="M1057" s="21" t="inlineStr">
        <is>
          <t>Anna Cohen</t>
        </is>
      </c>
      <c r="N1057" s="22" t="inlineStr">
        <is>
          <t>Founder, Chief Executive Officer &amp; President</t>
        </is>
      </c>
      <c r="O1057" s="23" t="inlineStr">
        <is>
          <t>anna.cohen@streamline-alliance.com</t>
        </is>
      </c>
      <c r="P1057" s="24" t="inlineStr">
        <is>
          <t>+1 (800) 818-1149</t>
        </is>
      </c>
      <c r="Q1057" s="25" t="n">
        <v>2000.0</v>
      </c>
      <c r="R1057" s="113">
        <f>HYPERLINK("https://my.pitchbook.com?c=92538-64", "View company online")</f>
      </c>
    </row>
    <row r="1058">
      <c r="A1058" s="27" t="inlineStr">
        <is>
          <t>180625-33</t>
        </is>
      </c>
      <c r="B1058" s="28" t="inlineStr">
        <is>
          <t>Streakwave</t>
        </is>
      </c>
      <c r="C1058" s="29" t="inlineStr">
        <is>
          <t>95112</t>
        </is>
      </c>
      <c r="D1058" s="30" t="inlineStr">
        <is>
          <t>Provider of wireless broadband networking equipment intended to help companies in their networking sector. The company offers point-to-point backhauls, point-to-multipoint systems, two-way radio equipment along with related antennas and accessories, IP video equipment, green power management systems, equipment for all other types of wireless and wired network applications and premier pricing programs, partner programs, and technical support, enabling clients to achieve success in their own businesses.</t>
        </is>
      </c>
      <c r="E1058" s="31" t="inlineStr">
        <is>
          <t>Other Commercial Services</t>
        </is>
      </c>
      <c r="F1058" s="32" t="inlineStr">
        <is>
          <t>San Jose, CA</t>
        </is>
      </c>
      <c r="G1058" s="33" t="inlineStr">
        <is>
          <t>Privately Held (backing)</t>
        </is>
      </c>
      <c r="H1058" s="34" t="inlineStr">
        <is>
          <t>Angel-Backed</t>
        </is>
      </c>
      <c r="I1058" s="35" t="inlineStr">
        <is>
          <t/>
        </is>
      </c>
      <c r="J1058" s="36" t="inlineStr">
        <is>
          <t>www.streakwave.com</t>
        </is>
      </c>
      <c r="K1058" s="37" t="inlineStr">
        <is>
          <t>info@streakwave.com</t>
        </is>
      </c>
      <c r="L1058" s="38" t="inlineStr">
        <is>
          <t>+1 (888) 604-5234</t>
        </is>
      </c>
      <c r="M1058" s="39" t="inlineStr">
        <is>
          <t>Carl Moberg</t>
        </is>
      </c>
      <c r="N1058" s="40" t="inlineStr">
        <is>
          <t>Founder, Chief Executive Officer &amp; President</t>
        </is>
      </c>
      <c r="O1058" s="41" t="inlineStr">
        <is>
          <t>carl.moberg@streakwave.com</t>
        </is>
      </c>
      <c r="P1058" s="42" t="inlineStr">
        <is>
          <t>+1 (888) 604-5234</t>
        </is>
      </c>
      <c r="Q1058" s="43" t="n">
        <v>2000.0</v>
      </c>
      <c r="R1058" s="114">
        <f>HYPERLINK("https://my.pitchbook.com?c=180625-33", "View company online")</f>
      </c>
    </row>
    <row r="1059">
      <c r="A1059" s="9" t="inlineStr">
        <is>
          <t>88698-61</t>
        </is>
      </c>
      <c r="B1059" s="10" t="inlineStr">
        <is>
          <t>Stratosec</t>
        </is>
      </c>
      <c r="C1059" s="11" t="inlineStr">
        <is>
          <t/>
        </is>
      </c>
      <c r="D1059" s="12" t="inlineStr">
        <is>
          <t>Provider of a cloud security service. The company provides a secure cloud infrastructure service for risk-sensitive companies and their vendors which allows them to focus on their core business.</t>
        </is>
      </c>
      <c r="E1059" s="13" t="inlineStr">
        <is>
          <t>Internet Software</t>
        </is>
      </c>
      <c r="F1059" s="14" t="inlineStr">
        <is>
          <t>San Francisco, CA</t>
        </is>
      </c>
      <c r="G1059" s="15" t="inlineStr">
        <is>
          <t>Privately Held (backing)</t>
        </is>
      </c>
      <c r="H1059" s="16" t="inlineStr">
        <is>
          <t>Angel-Backed</t>
        </is>
      </c>
      <c r="I1059" s="17" t="inlineStr">
        <is>
          <t>Janet Peterson</t>
        </is>
      </c>
      <c r="J1059" s="18" t="inlineStr">
        <is>
          <t>www.stratosec.co</t>
        </is>
      </c>
      <c r="K1059" s="19" t="inlineStr">
        <is>
          <t>info@stratosec.co</t>
        </is>
      </c>
      <c r="L1059" s="20" t="inlineStr">
        <is>
          <t>+1 (888) 582-9059</t>
        </is>
      </c>
      <c r="M1059" s="21" t="inlineStr">
        <is>
          <t>John Kinsella</t>
        </is>
      </c>
      <c r="N1059" s="22" t="inlineStr">
        <is>
          <t>Co-Founder &amp; Chief Executive Officer</t>
        </is>
      </c>
      <c r="O1059" s="23" t="inlineStr">
        <is>
          <t/>
        </is>
      </c>
      <c r="P1059" s="24" t="inlineStr">
        <is>
          <t/>
        </is>
      </c>
      <c r="Q1059" s="25" t="n">
        <v>2012.0</v>
      </c>
      <c r="R1059" s="113">
        <f>HYPERLINK("https://my.pitchbook.com?c=88698-61", "View company online")</f>
      </c>
    </row>
    <row r="1060">
      <c r="A1060" s="27" t="inlineStr">
        <is>
          <t>112510-81</t>
        </is>
      </c>
      <c r="B1060" s="28" t="inlineStr">
        <is>
          <t>Strategic Districts</t>
        </is>
      </c>
      <c r="C1060" s="29" t="inlineStr">
        <is>
          <t/>
        </is>
      </c>
      <c r="D1060" s="30" t="inlineStr">
        <is>
          <t>Provider of a redistricting software. The company offers a cloud-based automatic redistricting software.</t>
        </is>
      </c>
      <c r="E1060" s="31" t="inlineStr">
        <is>
          <t>Other Software</t>
        </is>
      </c>
      <c r="F1060" s="32" t="inlineStr">
        <is>
          <t>San Francisco, CA</t>
        </is>
      </c>
      <c r="G1060" s="33" t="inlineStr">
        <is>
          <t>Privately Held (backing)</t>
        </is>
      </c>
      <c r="H1060" s="34" t="inlineStr">
        <is>
          <t>Angel-Backed</t>
        </is>
      </c>
      <c r="I1060" s="35" t="inlineStr">
        <is>
          <t>New Media Ventures</t>
        </is>
      </c>
      <c r="J1060" s="36" t="inlineStr">
        <is>
          <t>www.strategicdistricts.com</t>
        </is>
      </c>
      <c r="K1060" s="37" t="inlineStr">
        <is>
          <t/>
        </is>
      </c>
      <c r="L1060" s="38" t="inlineStr">
        <is>
          <t/>
        </is>
      </c>
      <c r="M1060" s="39" t="inlineStr">
        <is>
          <t/>
        </is>
      </c>
      <c r="N1060" s="40" t="inlineStr">
        <is>
          <t/>
        </is>
      </c>
      <c r="O1060" s="41" t="inlineStr">
        <is>
          <t/>
        </is>
      </c>
      <c r="P1060" s="42" t="inlineStr">
        <is>
          <t/>
        </is>
      </c>
      <c r="Q1060" s="43" t="n">
        <v>2010.0</v>
      </c>
      <c r="R1060" s="114">
        <f>HYPERLINK("https://my.pitchbook.com?c=112510-81", "View company online")</f>
      </c>
    </row>
    <row r="1061">
      <c r="A1061" s="9" t="inlineStr">
        <is>
          <t>168830-29</t>
        </is>
      </c>
      <c r="B1061" s="10" t="inlineStr">
        <is>
          <t>Stowk</t>
        </is>
      </c>
      <c r="C1061" s="11" t="inlineStr">
        <is>
          <t/>
        </is>
      </c>
      <c r="D1061" s="12" t="inlineStr">
        <is>
          <t>Developer of an on-demand vehicle logistics platform. The company's cloud-based platform is integrated with machine learning technology that enables businesses to connect with fleet owners and independent carriers directly for transporting vehicles and also allows them to customize the routes.</t>
        </is>
      </c>
      <c r="E1061" s="13" t="inlineStr">
        <is>
          <t>Social/Platform Software</t>
        </is>
      </c>
      <c r="F1061" s="14" t="inlineStr">
        <is>
          <t>San Francisco, CA</t>
        </is>
      </c>
      <c r="G1061" s="15" t="inlineStr">
        <is>
          <t>Privately Held (backing)</t>
        </is>
      </c>
      <c r="H1061" s="16" t="inlineStr">
        <is>
          <t>Accelerator/Incubator Backed</t>
        </is>
      </c>
      <c r="I1061" s="17" t="inlineStr">
        <is>
          <t>Skydeck | Berkeley</t>
        </is>
      </c>
      <c r="J1061" s="18" t="inlineStr">
        <is>
          <t>www.stowk.com</t>
        </is>
      </c>
      <c r="K1061" s="19" t="inlineStr">
        <is>
          <t>info@stowk.com</t>
        </is>
      </c>
      <c r="L1061" s="20" t="inlineStr">
        <is>
          <t>+1 (415) 878-6951</t>
        </is>
      </c>
      <c r="M1061" s="21" t="inlineStr">
        <is>
          <t>Yasin Arif</t>
        </is>
      </c>
      <c r="N1061" s="22" t="inlineStr">
        <is>
          <t>Executive</t>
        </is>
      </c>
      <c r="O1061" s="23" t="inlineStr">
        <is>
          <t>yasin@stowk.com</t>
        </is>
      </c>
      <c r="P1061" s="24" t="inlineStr">
        <is>
          <t>+1 (415) 878-6951</t>
        </is>
      </c>
      <c r="Q1061" s="25" t="n">
        <v>2015.0</v>
      </c>
      <c r="R1061" s="113">
        <f>HYPERLINK("https://my.pitchbook.com?c=168830-29", "View company online")</f>
      </c>
    </row>
    <row r="1062">
      <c r="A1062" s="27" t="inlineStr">
        <is>
          <t>112548-52</t>
        </is>
      </c>
      <c r="B1062" s="28" t="inlineStr">
        <is>
          <t>StorReduce</t>
        </is>
      </c>
      <c r="C1062" s="29" t="inlineStr">
        <is>
          <t>94086</t>
        </is>
      </c>
      <c r="D1062" s="30" t="inlineStr">
        <is>
          <t>Developer of a cloud storage technology. The comp0any offers on-cloud deduplication software for companies storing large amounts of block data like backups, archives, big data and general file data on AWS S3 or AWS Glacier and helps in reducing cloud storage volume of data and cost.</t>
        </is>
      </c>
      <c r="E1062" s="31" t="inlineStr">
        <is>
          <t>Database Software</t>
        </is>
      </c>
      <c r="F1062" s="32" t="inlineStr">
        <is>
          <t>Sunnyvale, CA</t>
        </is>
      </c>
      <c r="G1062" s="33" t="inlineStr">
        <is>
          <t>Privately Held (backing)</t>
        </is>
      </c>
      <c r="H1062" s="34" t="inlineStr">
        <is>
          <t>Angel-Backed</t>
        </is>
      </c>
      <c r="I1062" s="35" t="inlineStr">
        <is>
          <t>Andrey Shirben, Ben Kepes, Innovation Bay</t>
        </is>
      </c>
      <c r="J1062" s="36" t="inlineStr">
        <is>
          <t>www.storreduce.com</t>
        </is>
      </c>
      <c r="K1062" s="37" t="inlineStr">
        <is>
          <t>info@storreduce.com</t>
        </is>
      </c>
      <c r="L1062" s="38" t="inlineStr">
        <is>
          <t>+1 (408) 769-6118</t>
        </is>
      </c>
      <c r="M1062" s="39" t="inlineStr">
        <is>
          <t>Vanessa Wilson</t>
        </is>
      </c>
      <c r="N1062" s="40" t="inlineStr">
        <is>
          <t>Co-Founder &amp; Chief Executive Officer</t>
        </is>
      </c>
      <c r="O1062" s="41" t="inlineStr">
        <is>
          <t>vanessa.wilson@storreduce.com</t>
        </is>
      </c>
      <c r="P1062" s="42" t="inlineStr">
        <is>
          <t>+1 (408) 769-6118</t>
        </is>
      </c>
      <c r="Q1062" s="43" t="n">
        <v>2014.0</v>
      </c>
      <c r="R1062" s="114">
        <f>HYPERLINK("https://my.pitchbook.com?c=112548-52", "View company online")</f>
      </c>
    </row>
    <row r="1063">
      <c r="A1063" s="9" t="inlineStr">
        <is>
          <t>97266-79</t>
        </is>
      </c>
      <c r="B1063" s="10" t="inlineStr">
        <is>
          <t>Storq</t>
        </is>
      </c>
      <c r="C1063" s="11" t="inlineStr">
        <is>
          <t>94110</t>
        </is>
      </c>
      <c r="D1063" s="12" t="inlineStr">
        <is>
          <t>Provider of an online retail platform. The company operates an online store providing dresses, accessories and cosmetics for pregnant women.</t>
        </is>
      </c>
      <c r="E1063" s="13" t="inlineStr">
        <is>
          <t>Internet Retail</t>
        </is>
      </c>
      <c r="F1063" s="14" t="inlineStr">
        <is>
          <t>San Francisco, CA</t>
        </is>
      </c>
      <c r="G1063" s="15" t="inlineStr">
        <is>
          <t>Privately Held (backing)</t>
        </is>
      </c>
      <c r="H1063" s="16" t="inlineStr">
        <is>
          <t>Angel-Backed</t>
        </is>
      </c>
      <c r="I1063" s="17" t="inlineStr">
        <is>
          <t>Dennis Crowley</t>
        </is>
      </c>
      <c r="J1063" s="18" t="inlineStr">
        <is>
          <t>www.storq.com</t>
        </is>
      </c>
      <c r="K1063" s="19" t="inlineStr">
        <is>
          <t>hello@storq.co</t>
        </is>
      </c>
      <c r="L1063" s="20" t="inlineStr">
        <is>
          <t/>
        </is>
      </c>
      <c r="M1063" s="21" t="inlineStr">
        <is>
          <t>Courtney Klein</t>
        </is>
      </c>
      <c r="N1063" s="22" t="inlineStr">
        <is>
          <t>Chief Executive Officer &amp; Founder</t>
        </is>
      </c>
      <c r="O1063" s="23" t="inlineStr">
        <is>
          <t/>
        </is>
      </c>
      <c r="P1063" s="24" t="inlineStr">
        <is>
          <t/>
        </is>
      </c>
      <c r="Q1063" s="25" t="n">
        <v>2013.0</v>
      </c>
      <c r="R1063" s="113">
        <f>HYPERLINK("https://my.pitchbook.com?c=97266-79", "View company online")</f>
      </c>
    </row>
    <row r="1064">
      <c r="A1064" s="27" t="inlineStr">
        <is>
          <t>96767-74</t>
        </is>
      </c>
      <c r="B1064" s="28" t="inlineStr">
        <is>
          <t>Storitz</t>
        </is>
      </c>
      <c r="C1064" s="29" t="inlineStr">
        <is>
          <t>90067</t>
        </is>
      </c>
      <c r="D1064" s="30" t="inlineStr">
        <is>
          <t>Provider of a self-storage rental marketplace. The company offers a web-based rental marketplace that enables the consumers to to find and rent self-storage units online.</t>
        </is>
      </c>
      <c r="E1064" s="31" t="inlineStr">
        <is>
          <t>Social/Platform Software</t>
        </is>
      </c>
      <c r="F1064" s="32" t="inlineStr">
        <is>
          <t>Los Angeles, CA</t>
        </is>
      </c>
      <c r="G1064" s="33" t="inlineStr">
        <is>
          <t>Privately Held (backing)</t>
        </is>
      </c>
      <c r="H1064" s="34" t="inlineStr">
        <is>
          <t>Angel-Backed</t>
        </is>
      </c>
      <c r="I1064" s="35" t="inlineStr">
        <is>
          <t>Todd Pollack</t>
        </is>
      </c>
      <c r="J1064" s="36" t="inlineStr">
        <is>
          <t>www.storitz.com</t>
        </is>
      </c>
      <c r="K1064" s="37" t="inlineStr">
        <is>
          <t>socialmedia@storitz.com</t>
        </is>
      </c>
      <c r="L1064" s="38" t="inlineStr">
        <is>
          <t>+1 (916) 445-1254</t>
        </is>
      </c>
      <c r="M1064" s="39" t="inlineStr">
        <is>
          <t>Adrian Comstock</t>
        </is>
      </c>
      <c r="N1064" s="40" t="inlineStr">
        <is>
          <t>Co-Founder &amp; Chief Executive Officer</t>
        </is>
      </c>
      <c r="O1064" s="41" t="inlineStr">
        <is>
          <t/>
        </is>
      </c>
      <c r="P1064" s="42" t="inlineStr">
        <is>
          <t>+1 (916) 445-1254</t>
        </is>
      </c>
      <c r="Q1064" s="43" t="inlineStr">
        <is>
          <t/>
        </is>
      </c>
      <c r="R1064" s="114">
        <f>HYPERLINK("https://my.pitchbook.com?c=96767-74", "View company online")</f>
      </c>
    </row>
    <row r="1065">
      <c r="A1065" s="9" t="inlineStr">
        <is>
          <t>166264-75</t>
        </is>
      </c>
      <c r="B1065" s="10" t="inlineStr">
        <is>
          <t>Stoodnt</t>
        </is>
      </c>
      <c r="C1065" s="11" t="inlineStr">
        <is>
          <t>94303</t>
        </is>
      </c>
      <c r="D1065" s="12" t="inlineStr">
        <is>
          <t>Provider of a college admission counseling platform. The company's platform connects parents and students to US colleges and counselors and enables them to receive guidance, counseling and insights.</t>
        </is>
      </c>
      <c r="E1065" s="13" t="inlineStr">
        <is>
          <t>Social/Platform Software</t>
        </is>
      </c>
      <c r="F1065" s="14" t="inlineStr">
        <is>
          <t>Palo Alto, CA</t>
        </is>
      </c>
      <c r="G1065" s="15" t="inlineStr">
        <is>
          <t>Privately Held (backing)</t>
        </is>
      </c>
      <c r="H1065" s="16" t="inlineStr">
        <is>
          <t>Angel-Backed</t>
        </is>
      </c>
      <c r="I1065" s="17" t="inlineStr">
        <is>
          <t>Rajan Anandan</t>
        </is>
      </c>
      <c r="J1065" s="18" t="inlineStr">
        <is>
          <t>www.stoodnt.com</t>
        </is>
      </c>
      <c r="K1065" s="19" t="inlineStr">
        <is>
          <t/>
        </is>
      </c>
      <c r="L1065" s="20" t="inlineStr">
        <is>
          <t>+1 (877) 547-1870</t>
        </is>
      </c>
      <c r="M1065" s="21" t="inlineStr">
        <is>
          <t>Ajay Singh</t>
        </is>
      </c>
      <c r="N1065" s="22" t="inlineStr">
        <is>
          <t>Co-Founder &amp; Chief Executive Officer</t>
        </is>
      </c>
      <c r="O1065" s="23" t="inlineStr">
        <is>
          <t>ajay.singh@stoodnt.com</t>
        </is>
      </c>
      <c r="P1065" s="24" t="inlineStr">
        <is>
          <t>+1 (877) 547-1870</t>
        </is>
      </c>
      <c r="Q1065" s="25" t="n">
        <v>2015.0</v>
      </c>
      <c r="R1065" s="113">
        <f>HYPERLINK("https://my.pitchbook.com?c=166264-75", "View company online")</f>
      </c>
    </row>
    <row r="1066">
      <c r="A1066" s="27" t="inlineStr">
        <is>
          <t>104722-39</t>
        </is>
      </c>
      <c r="B1066" s="28" t="inlineStr">
        <is>
          <t>StockShield</t>
        </is>
      </c>
      <c r="C1066" s="29" t="inlineStr">
        <is>
          <t>90071</t>
        </is>
      </c>
      <c r="D1066" s="30" t="inlineStr">
        <is>
          <t>Provider of employer stock protection services. The company provides services to ESOP companies protect the value of employer stock in their ESOPs for the benefit of all ESOP Participants.</t>
        </is>
      </c>
      <c r="E1066" s="31" t="inlineStr">
        <is>
          <t>Other Financial Services</t>
        </is>
      </c>
      <c r="F1066" s="32" t="inlineStr">
        <is>
          <t>Los Angeles, CA</t>
        </is>
      </c>
      <c r="G1066" s="33" t="inlineStr">
        <is>
          <t>Privately Held (backing)</t>
        </is>
      </c>
      <c r="H1066" s="34" t="inlineStr">
        <is>
          <t>Angel-Backed</t>
        </is>
      </c>
      <c r="I1066" s="35" t="inlineStr">
        <is>
          <t/>
        </is>
      </c>
      <c r="J1066" s="36" t="inlineStr">
        <is>
          <t>www.stockshield.com</t>
        </is>
      </c>
      <c r="K1066" s="37" t="inlineStr">
        <is>
          <t>info@stockshield.com</t>
        </is>
      </c>
      <c r="L1066" s="38" t="inlineStr">
        <is>
          <t>+1 (310) 203-8844</t>
        </is>
      </c>
      <c r="M1066" s="39" t="inlineStr">
        <is>
          <t>Brian Yolles</t>
        </is>
      </c>
      <c r="N1066" s="40" t="inlineStr">
        <is>
          <t>Founder &amp; Chief Executive Officer</t>
        </is>
      </c>
      <c r="O1066" s="41" t="inlineStr">
        <is>
          <t>brian.yolles@stockshield.com</t>
        </is>
      </c>
      <c r="P1066" s="42" t="inlineStr">
        <is>
          <t>+1 (310) 203-8844</t>
        </is>
      </c>
      <c r="Q1066" s="43" t="n">
        <v>2003.0</v>
      </c>
      <c r="R1066" s="114">
        <f>HYPERLINK("https://my.pitchbook.com?c=104722-39", "View company online")</f>
      </c>
    </row>
    <row r="1067">
      <c r="A1067" s="9" t="inlineStr">
        <is>
          <t>173885-32</t>
        </is>
      </c>
      <c r="B1067" s="10" t="inlineStr">
        <is>
          <t>Stitzii</t>
        </is>
      </c>
      <c r="C1067" s="85">
        <f>HYPERLINK("https://my.pitchbook.com?rrp=173885-32&amp;type=c", "This Company's information is not available to download. Need this Company? Request availability")</f>
      </c>
      <c r="D1067" s="12" t="inlineStr">
        <is>
          <t/>
        </is>
      </c>
      <c r="E1067" s="13" t="inlineStr">
        <is>
          <t/>
        </is>
      </c>
      <c r="F1067" s="14" t="inlineStr">
        <is>
          <t/>
        </is>
      </c>
      <c r="G1067" s="15" t="inlineStr">
        <is>
          <t/>
        </is>
      </c>
      <c r="H1067" s="16" t="inlineStr">
        <is>
          <t/>
        </is>
      </c>
      <c r="I1067" s="17" t="inlineStr">
        <is>
          <t/>
        </is>
      </c>
      <c r="J1067" s="18" t="inlineStr">
        <is>
          <t/>
        </is>
      </c>
      <c r="K1067" s="19" t="inlineStr">
        <is>
          <t/>
        </is>
      </c>
      <c r="L1067" s="20" t="inlineStr">
        <is>
          <t/>
        </is>
      </c>
      <c r="M1067" s="21" t="inlineStr">
        <is>
          <t/>
        </is>
      </c>
      <c r="N1067" s="22" t="inlineStr">
        <is>
          <t/>
        </is>
      </c>
      <c r="O1067" s="23" t="inlineStr">
        <is>
          <t/>
        </is>
      </c>
      <c r="P1067" s="24" t="inlineStr">
        <is>
          <t/>
        </is>
      </c>
      <c r="Q1067" s="25" t="inlineStr">
        <is>
          <t/>
        </is>
      </c>
      <c r="R1067" s="26" t="inlineStr">
        <is>
          <t/>
        </is>
      </c>
    </row>
    <row r="1068">
      <c r="A1068" s="27" t="inlineStr">
        <is>
          <t>124477-93</t>
        </is>
      </c>
      <c r="B1068" s="28" t="inlineStr">
        <is>
          <t>Stitch (Software Application)</t>
        </is>
      </c>
      <c r="C1068" s="29" t="inlineStr">
        <is>
          <t>94103</t>
        </is>
      </c>
      <c r="D1068" s="30" t="inlineStr">
        <is>
          <t>Developer of a messaging application for the healthcare sector. The company offers a mobile platform that acts like a central messaging hub through which healthcare providers can communicate, share electronic health records, patient information and databases.</t>
        </is>
      </c>
      <c r="E1068" s="31" t="inlineStr">
        <is>
          <t>Medical Records Systems</t>
        </is>
      </c>
      <c r="F1068" s="32" t="inlineStr">
        <is>
          <t>San Francisco, CA</t>
        </is>
      </c>
      <c r="G1068" s="33" t="inlineStr">
        <is>
          <t>Privately Held (backing)</t>
        </is>
      </c>
      <c r="H1068" s="34" t="inlineStr">
        <is>
          <t>Accelerator/Incubator Backed</t>
        </is>
      </c>
      <c r="I1068" s="35" t="inlineStr">
        <is>
          <t>Y Combinator</t>
        </is>
      </c>
      <c r="J1068" s="36" t="inlineStr">
        <is>
          <t>www.teamstitch.com</t>
        </is>
      </c>
      <c r="K1068" s="37" t="inlineStr">
        <is>
          <t/>
        </is>
      </c>
      <c r="L1068" s="38" t="inlineStr">
        <is>
          <t/>
        </is>
      </c>
      <c r="M1068" s="39" t="inlineStr">
        <is>
          <t>Bharat Kilaru</t>
        </is>
      </c>
      <c r="N1068" s="40" t="inlineStr">
        <is>
          <t>Co-Founder &amp; Chief Executive Officer</t>
        </is>
      </c>
      <c r="O1068" s="41" t="inlineStr">
        <is>
          <t>bharat@teamstitch.com</t>
        </is>
      </c>
      <c r="P1068" s="42" t="inlineStr">
        <is>
          <t/>
        </is>
      </c>
      <c r="Q1068" s="43" t="n">
        <v>2013.0</v>
      </c>
      <c r="R1068" s="114">
        <f>HYPERLINK("https://my.pitchbook.com?c=124477-93", "View company online")</f>
      </c>
    </row>
    <row r="1069">
      <c r="A1069" s="9" t="inlineStr">
        <is>
          <t>114481-99</t>
        </is>
      </c>
      <c r="B1069" s="10" t="inlineStr">
        <is>
          <t>Stir Market Beverly</t>
        </is>
      </c>
      <c r="C1069" s="11" t="inlineStr">
        <is>
          <t>90036</t>
        </is>
      </c>
      <c r="D1069" s="12" t="inlineStr">
        <is>
          <t>Operator of restaurant chain. The company offers European food, bakery products, bar counters, market salad and cafeteria.</t>
        </is>
      </c>
      <c r="E1069" s="13" t="inlineStr">
        <is>
          <t>Food Products</t>
        </is>
      </c>
      <c r="F1069" s="14" t="inlineStr">
        <is>
          <t>Los Angeles, CA</t>
        </is>
      </c>
      <c r="G1069" s="15" t="inlineStr">
        <is>
          <t>Privately Held (backing)</t>
        </is>
      </c>
      <c r="H1069" s="16" t="inlineStr">
        <is>
          <t>Angel-Backed</t>
        </is>
      </c>
      <c r="I1069" s="17" t="inlineStr">
        <is>
          <t/>
        </is>
      </c>
      <c r="J1069" s="18" t="inlineStr">
        <is>
          <t>www.stirmarket.com</t>
        </is>
      </c>
      <c r="K1069" s="19" t="inlineStr">
        <is>
          <t>info@stirmarket.com</t>
        </is>
      </c>
      <c r="L1069" s="20" t="inlineStr">
        <is>
          <t>+1 (323) 879-8283</t>
        </is>
      </c>
      <c r="M1069" s="21" t="inlineStr">
        <is>
          <t>Mimi Mok</t>
        </is>
      </c>
      <c r="N1069" s="22" t="inlineStr">
        <is>
          <t>Co-Founder &amp; President</t>
        </is>
      </c>
      <c r="O1069" s="23" t="inlineStr">
        <is>
          <t>mimi@stirmarket.com</t>
        </is>
      </c>
      <c r="P1069" s="24" t="inlineStr">
        <is>
          <t>+1 (323) 879-8283</t>
        </is>
      </c>
      <c r="Q1069" s="25" t="n">
        <v>2013.0</v>
      </c>
      <c r="R1069" s="113">
        <f>HYPERLINK("https://my.pitchbook.com?c=114481-99", "View company online")</f>
      </c>
    </row>
    <row r="1070">
      <c r="A1070" s="27" t="inlineStr">
        <is>
          <t>155873-44</t>
        </is>
      </c>
      <c r="B1070" s="28" t="inlineStr">
        <is>
          <t>Stilt</t>
        </is>
      </c>
      <c r="C1070" s="29" t="inlineStr">
        <is>
          <t>94102</t>
        </is>
      </c>
      <c r="D1070" s="30" t="inlineStr">
        <is>
          <t>Provider of a peer-to-peer lending platform designed to offer short term personal loans. The company's lending platform offers short term loans to expatriates and non-citizens with limited credit history at lower interest rates enabling them to access capital and receive credit.</t>
        </is>
      </c>
      <c r="E1070" s="31" t="inlineStr">
        <is>
          <t>Consumer Finance</t>
        </is>
      </c>
      <c r="F1070" s="32" t="inlineStr">
        <is>
          <t>San Francisco, CA</t>
        </is>
      </c>
      <c r="G1070" s="33" t="inlineStr">
        <is>
          <t>Privately Held (backing)</t>
        </is>
      </c>
      <c r="H1070" s="34" t="inlineStr">
        <is>
          <t>Accelerator/Incubator Backed</t>
        </is>
      </c>
      <c r="I1070" s="35" t="inlineStr">
        <is>
          <t>Investo, Y Combinator</t>
        </is>
      </c>
      <c r="J1070" s="36" t="inlineStr">
        <is>
          <t>www.stilt.co</t>
        </is>
      </c>
      <c r="K1070" s="37" t="inlineStr">
        <is>
          <t>team@stilt.co</t>
        </is>
      </c>
      <c r="L1070" s="38" t="inlineStr">
        <is>
          <t>+1 (347) 933-0568</t>
        </is>
      </c>
      <c r="M1070" s="39" t="inlineStr">
        <is>
          <t>Rohit Mittal</t>
        </is>
      </c>
      <c r="N1070" s="40" t="inlineStr">
        <is>
          <t>Co-Founder, Chief Executive Officer &amp; Board Member</t>
        </is>
      </c>
      <c r="O1070" s="41" t="inlineStr">
        <is>
          <t>rohit@stilt.co</t>
        </is>
      </c>
      <c r="P1070" s="42" t="inlineStr">
        <is>
          <t>+1 (415) 518-7536</t>
        </is>
      </c>
      <c r="Q1070" s="43" t="n">
        <v>2015.0</v>
      </c>
      <c r="R1070" s="114">
        <f>HYPERLINK("https://my.pitchbook.com?c=155873-44", "View company online")</f>
      </c>
    </row>
    <row r="1071">
      <c r="A1071" s="9" t="inlineStr">
        <is>
          <t>95358-43</t>
        </is>
      </c>
      <c r="B1071" s="10" t="inlineStr">
        <is>
          <t>Stillwater Supercomputing</t>
        </is>
      </c>
      <c r="C1071" s="11" t="inlineStr">
        <is>
          <t>95762</t>
        </is>
      </c>
      <c r="D1071" s="12" t="inlineStr">
        <is>
          <t>Designer and manufacturer of a hardware-accelerated device. The company designs and manufactures a hardware-accelerated server that connects to an NGS instrument to create a high productivity workflow.</t>
        </is>
      </c>
      <c r="E1071" s="13" t="inlineStr">
        <is>
          <t>Other Commercial Products</t>
        </is>
      </c>
      <c r="F1071" s="14" t="inlineStr">
        <is>
          <t>El Dorado Hills, CA</t>
        </is>
      </c>
      <c r="G1071" s="15" t="inlineStr">
        <is>
          <t>Privately Held (backing)</t>
        </is>
      </c>
      <c r="H1071" s="16" t="inlineStr">
        <is>
          <t>Angel-Backed</t>
        </is>
      </c>
      <c r="I1071" s="17" t="inlineStr">
        <is>
          <t/>
        </is>
      </c>
      <c r="J1071" s="18" t="inlineStr">
        <is>
          <t>www.stillwater-sc.com</t>
        </is>
      </c>
      <c r="K1071" s="19" t="inlineStr">
        <is>
          <t>info@stillwater-sc.com</t>
        </is>
      </c>
      <c r="L1071" s="20" t="inlineStr">
        <is>
          <t>+1 (866) 439-3047</t>
        </is>
      </c>
      <c r="M1071" s="21" t="inlineStr">
        <is>
          <t>E. Theodore Omtzigt</t>
        </is>
      </c>
      <c r="N1071" s="22" t="inlineStr">
        <is>
          <t>Co-Founder, Chief Executive Officer &amp; President</t>
        </is>
      </c>
      <c r="O1071" s="23" t="inlineStr">
        <is>
          <t>tomtzigt@stillwater-sc.com</t>
        </is>
      </c>
      <c r="P1071" s="24" t="inlineStr">
        <is>
          <t>+1 (866) 439-3047</t>
        </is>
      </c>
      <c r="Q1071" s="25" t="n">
        <v>2006.0</v>
      </c>
      <c r="R1071" s="113">
        <f>HYPERLINK("https://my.pitchbook.com?c=95358-43", "View company online")</f>
      </c>
    </row>
    <row r="1072">
      <c r="A1072" s="27" t="inlineStr">
        <is>
          <t>118176-31</t>
        </is>
      </c>
      <c r="B1072" s="28" t="inlineStr">
        <is>
          <t>Stigma</t>
        </is>
      </c>
      <c r="C1072" s="29" t="inlineStr">
        <is>
          <t/>
        </is>
      </c>
      <c r="D1072" s="30" t="inlineStr">
        <is>
          <t>Developer and provider of a journalism platform. The company offers a micro-journal tool that enables users to catalog and reflect on the activities that affect their moods.</t>
        </is>
      </c>
      <c r="E1072" s="31" t="inlineStr">
        <is>
          <t>Other Media</t>
        </is>
      </c>
      <c r="F1072" s="32" t="inlineStr">
        <is>
          <t>San Francisco, CA</t>
        </is>
      </c>
      <c r="G1072" s="33" t="inlineStr">
        <is>
          <t>Privately Held (backing)</t>
        </is>
      </c>
      <c r="H1072" s="34" t="inlineStr">
        <is>
          <t>Accelerator/Incubator Backed</t>
        </is>
      </c>
      <c r="I1072" s="35" t="inlineStr">
        <is>
          <t>Tumml</t>
        </is>
      </c>
      <c r="J1072" s="36" t="inlineStr">
        <is>
          <t>www.getstigma.com</t>
        </is>
      </c>
      <c r="K1072" s="37" t="inlineStr">
        <is>
          <t/>
        </is>
      </c>
      <c r="L1072" s="38" t="inlineStr">
        <is>
          <t/>
        </is>
      </c>
      <c r="M1072" s="39" t="inlineStr">
        <is>
          <t>Daniel Seider</t>
        </is>
      </c>
      <c r="N1072" s="40" t="inlineStr">
        <is>
          <t>Founder &amp; Product Manager</t>
        </is>
      </c>
      <c r="O1072" s="41" t="inlineStr">
        <is>
          <t>dan@getstigma.com</t>
        </is>
      </c>
      <c r="P1072" s="42" t="inlineStr">
        <is>
          <t/>
        </is>
      </c>
      <c r="Q1072" s="43" t="n">
        <v>2015.0</v>
      </c>
      <c r="R1072" s="114">
        <f>HYPERLINK("https://my.pitchbook.com?c=118176-31", "View company online")</f>
      </c>
    </row>
    <row r="1073">
      <c r="A1073" s="9" t="inlineStr">
        <is>
          <t>124877-89</t>
        </is>
      </c>
      <c r="B1073" s="10" t="inlineStr">
        <is>
          <t>Sterile Air</t>
        </is>
      </c>
      <c r="C1073" s="11" t="inlineStr">
        <is>
          <t/>
        </is>
      </c>
      <c r="D1073" s="12" t="inlineStr">
        <is>
          <t>Developer of an operating system software. The company's platform enables computerized and sterilized surgical operations.</t>
        </is>
      </c>
      <c r="E1073" s="13" t="inlineStr">
        <is>
          <t>Operating Systems Software</t>
        </is>
      </c>
      <c r="F1073" s="14" t="inlineStr">
        <is>
          <t>San Francisco, CA</t>
        </is>
      </c>
      <c r="G1073" s="15" t="inlineStr">
        <is>
          <t>Privately Held (backing)</t>
        </is>
      </c>
      <c r="H1073" s="16" t="inlineStr">
        <is>
          <t>Accelerator/Incubator Backed</t>
        </is>
      </c>
      <c r="I1073" s="17" t="inlineStr">
        <is>
          <t>LEAP.Axlr8r</t>
        </is>
      </c>
      <c r="J1073" s="18" t="inlineStr">
        <is>
          <t/>
        </is>
      </c>
      <c r="K1073" s="19" t="inlineStr">
        <is>
          <t/>
        </is>
      </c>
      <c r="L1073" s="20" t="inlineStr">
        <is>
          <t/>
        </is>
      </c>
      <c r="M1073" s="21" t="inlineStr">
        <is>
          <t/>
        </is>
      </c>
      <c r="N1073" s="22" t="inlineStr">
        <is>
          <t/>
        </is>
      </c>
      <c r="O1073" s="23" t="inlineStr">
        <is>
          <t/>
        </is>
      </c>
      <c r="P1073" s="24" t="inlineStr">
        <is>
          <t/>
        </is>
      </c>
      <c r="Q1073" s="25" t="inlineStr">
        <is>
          <t/>
        </is>
      </c>
      <c r="R1073" s="113">
        <f>HYPERLINK("https://my.pitchbook.com?c=124877-89", "View company online")</f>
      </c>
    </row>
    <row r="1074">
      <c r="A1074" s="27" t="inlineStr">
        <is>
          <t>102959-65</t>
        </is>
      </c>
      <c r="B1074" s="28" t="inlineStr">
        <is>
          <t>StereoVision Imaging</t>
        </is>
      </c>
      <c r="C1074" s="29" t="inlineStr">
        <is>
          <t>91107</t>
        </is>
      </c>
      <c r="D1074" s="30" t="inlineStr">
        <is>
          <t>Developer of three dimensional facial recognition technology. The company's technology captures imagery in three dimensional space through binocular optics or commercial fixed camera systems and extracts faces in two dimensional for real time comparison.</t>
        </is>
      </c>
      <c r="E1074" s="31" t="inlineStr">
        <is>
          <t>Other Commercial Products</t>
        </is>
      </c>
      <c r="F1074" s="32" t="inlineStr">
        <is>
          <t>Pasadena, CA</t>
        </is>
      </c>
      <c r="G1074" s="33" t="inlineStr">
        <is>
          <t>Privately Held (backing)</t>
        </is>
      </c>
      <c r="H1074" s="34" t="inlineStr">
        <is>
          <t>Angel-Backed</t>
        </is>
      </c>
      <c r="I1074" s="35" t="inlineStr">
        <is>
          <t/>
        </is>
      </c>
      <c r="J1074" s="36" t="inlineStr">
        <is>
          <t>www.stereovisioninc.com</t>
        </is>
      </c>
      <c r="K1074" s="37" t="inlineStr">
        <is>
          <t>info@stereovisioninc.com</t>
        </is>
      </c>
      <c r="L1074" s="38" t="inlineStr">
        <is>
          <t>+1 (626) 205-3748</t>
        </is>
      </c>
      <c r="M1074" s="39" t="inlineStr">
        <is>
          <t>Gregory Steinthal</t>
        </is>
      </c>
      <c r="N1074" s="40" t="inlineStr">
        <is>
          <t>President and Founder</t>
        </is>
      </c>
      <c r="O1074" s="41" t="inlineStr">
        <is>
          <t>gsteinthal@stereovisioninc.com</t>
        </is>
      </c>
      <c r="P1074" s="42" t="inlineStr">
        <is>
          <t>+1 (626) 205-3748</t>
        </is>
      </c>
      <c r="Q1074" s="43" t="n">
        <v>2000.0</v>
      </c>
      <c r="R1074" s="114">
        <f>HYPERLINK("https://my.pitchbook.com?c=102959-65", "View company online")</f>
      </c>
    </row>
    <row r="1075">
      <c r="A1075" s="9" t="inlineStr">
        <is>
          <t>94998-61</t>
        </is>
      </c>
      <c r="B1075" s="10" t="inlineStr">
        <is>
          <t>Stereolabs</t>
        </is>
      </c>
      <c r="C1075" s="11" t="inlineStr">
        <is>
          <t>91400</t>
        </is>
      </c>
      <c r="D1075" s="12" t="inlineStr">
        <is>
          <t>Provider of stereo3D analysis software. The company's platform offers control tools to the broadcast and film industry and its flagship product, features live analysis, automatic rig control and advanced image processing of Stereo3D footage.</t>
        </is>
      </c>
      <c r="E1075" s="13" t="inlineStr">
        <is>
          <t>Broadcasting, Radio and Television</t>
        </is>
      </c>
      <c r="F1075" s="14" t="inlineStr">
        <is>
          <t>Orsay, France</t>
        </is>
      </c>
      <c r="G1075" s="15" t="inlineStr">
        <is>
          <t>Privately Held (backing)</t>
        </is>
      </c>
      <c r="H1075" s="16" t="inlineStr">
        <is>
          <t>Accelerator/Incubator Backed</t>
        </is>
      </c>
      <c r="I1075" s="17" t="inlineStr">
        <is>
          <t>Cap Decisif Management, IncubAlliance</t>
        </is>
      </c>
      <c r="J1075" s="18" t="inlineStr">
        <is>
          <t>www.stereolabs.com</t>
        </is>
      </c>
      <c r="K1075" s="19" t="inlineStr">
        <is>
          <t/>
        </is>
      </c>
      <c r="L1075" s="20" t="inlineStr">
        <is>
          <t>+33 (0)1 69 35 87 52</t>
        </is>
      </c>
      <c r="M1075" s="21" t="inlineStr">
        <is>
          <t>Cecile Schmollgruber</t>
        </is>
      </c>
      <c r="N1075" s="22" t="inlineStr">
        <is>
          <t>Chief Executive Officer &amp; Co-Founder</t>
        </is>
      </c>
      <c r="O1075" s="23" t="inlineStr">
        <is>
          <t/>
        </is>
      </c>
      <c r="P1075" s="24" t="inlineStr">
        <is>
          <t>+33 (0)1 69 35 87 52</t>
        </is>
      </c>
      <c r="Q1075" s="25" t="n">
        <v>2006.0</v>
      </c>
      <c r="R1075" s="113">
        <f>HYPERLINK("https://my.pitchbook.com?c=94998-61", "View company online")</f>
      </c>
    </row>
    <row r="1076">
      <c r="A1076" s="27" t="inlineStr">
        <is>
          <t>90258-31</t>
        </is>
      </c>
      <c r="B1076" s="28" t="inlineStr">
        <is>
          <t>Stereobot</t>
        </is>
      </c>
      <c r="C1076" s="29" t="inlineStr">
        <is>
          <t>90026</t>
        </is>
      </c>
      <c r="D1076" s="30" t="inlineStr">
        <is>
          <t>Developer of 3-dimensional structures and visualization systems. The company specializes in the development of creative visions for the entertainment and marketing industries and provides 3-dimensional structures, dynamic video mapping and printed media into transformative displays featuring creative media.</t>
        </is>
      </c>
      <c r="E1076" s="31" t="inlineStr">
        <is>
          <t>Multimedia and Design Software</t>
        </is>
      </c>
      <c r="F1076" s="32" t="inlineStr">
        <is>
          <t>Los Angeles, CA</t>
        </is>
      </c>
      <c r="G1076" s="33" t="inlineStr">
        <is>
          <t>Privately Held (backing)</t>
        </is>
      </c>
      <c r="H1076" s="34" t="inlineStr">
        <is>
          <t>Angel-Backed</t>
        </is>
      </c>
      <c r="I1076" s="35" t="inlineStr">
        <is>
          <t/>
        </is>
      </c>
      <c r="J1076" s="36" t="inlineStr">
        <is>
          <t>www.stereo-bot.com</t>
        </is>
      </c>
      <c r="K1076" s="37" t="inlineStr">
        <is>
          <t>info@stereo-bot.com</t>
        </is>
      </c>
      <c r="L1076" s="38" t="inlineStr">
        <is>
          <t>+1 (323) 350-6380</t>
        </is>
      </c>
      <c r="M1076" s="39" t="inlineStr">
        <is>
          <t>Alexis Rochas</t>
        </is>
      </c>
      <c r="N1076" s="40" t="inlineStr">
        <is>
          <t>Executive Director &amp; Board Member</t>
        </is>
      </c>
      <c r="O1076" s="41" t="inlineStr">
        <is>
          <t>arochas@stereo-bot.com</t>
        </is>
      </c>
      <c r="P1076" s="42" t="inlineStr">
        <is>
          <t>+1 (323) 350-6380</t>
        </is>
      </c>
      <c r="Q1076" s="43" t="n">
        <v>2012.0</v>
      </c>
      <c r="R1076" s="114">
        <f>HYPERLINK("https://my.pitchbook.com?c=90258-31", "View company online")</f>
      </c>
    </row>
    <row r="1077">
      <c r="A1077" s="9" t="inlineStr">
        <is>
          <t>113600-89</t>
        </is>
      </c>
      <c r="B1077" s="10" t="inlineStr">
        <is>
          <t>Stepping Stories</t>
        </is>
      </c>
      <c r="C1077" s="85">
        <f>HYPERLINK("https://my.pitchbook.com?rrp=113600-89&amp;type=c", "This Company's information is not available to download. Need this Company? Request availability")</f>
      </c>
      <c r="D1077" s="12" t="inlineStr">
        <is>
          <t/>
        </is>
      </c>
      <c r="E1077" s="13" t="inlineStr">
        <is>
          <t/>
        </is>
      </c>
      <c r="F1077" s="14" t="inlineStr">
        <is>
          <t/>
        </is>
      </c>
      <c r="G1077" s="15" t="inlineStr">
        <is>
          <t/>
        </is>
      </c>
      <c r="H1077" s="16" t="inlineStr">
        <is>
          <t/>
        </is>
      </c>
      <c r="I1077" s="17" t="inlineStr">
        <is>
          <t/>
        </is>
      </c>
      <c r="J1077" s="18" t="inlineStr">
        <is>
          <t/>
        </is>
      </c>
      <c r="K1077" s="19" t="inlineStr">
        <is>
          <t/>
        </is>
      </c>
      <c r="L1077" s="20" t="inlineStr">
        <is>
          <t/>
        </is>
      </c>
      <c r="M1077" s="21" t="inlineStr">
        <is>
          <t/>
        </is>
      </c>
      <c r="N1077" s="22" t="inlineStr">
        <is>
          <t/>
        </is>
      </c>
      <c r="O1077" s="23" t="inlineStr">
        <is>
          <t/>
        </is>
      </c>
      <c r="P1077" s="24" t="inlineStr">
        <is>
          <t/>
        </is>
      </c>
      <c r="Q1077" s="25" t="inlineStr">
        <is>
          <t/>
        </is>
      </c>
      <c r="R1077" s="26" t="inlineStr">
        <is>
          <t/>
        </is>
      </c>
    </row>
    <row r="1078">
      <c r="A1078" s="27" t="inlineStr">
        <is>
          <t>123267-61</t>
        </is>
      </c>
      <c r="B1078" s="28" t="inlineStr">
        <is>
          <t>Stephen Kong Consulting</t>
        </is>
      </c>
      <c r="C1078" s="29" t="inlineStr">
        <is>
          <t/>
        </is>
      </c>
      <c r="D1078" s="30" t="inlineStr">
        <is>
          <t>The company is currently operating in Stealth mode.</t>
        </is>
      </c>
      <c r="E1078" s="31" t="inlineStr">
        <is>
          <t>Other Business Products and Services</t>
        </is>
      </c>
      <c r="F1078" s="32" t="inlineStr">
        <is>
          <t>San Francisco, CA</t>
        </is>
      </c>
      <c r="G1078" s="33" t="inlineStr">
        <is>
          <t>Privately Held (backing)</t>
        </is>
      </c>
      <c r="H1078" s="34" t="inlineStr">
        <is>
          <t>Accelerator/Incubator Backed</t>
        </is>
      </c>
      <c r="I1078" s="35" t="inlineStr">
        <is>
          <t>California Institute for Quantitative Biosciences</t>
        </is>
      </c>
      <c r="J1078" s="36" t="inlineStr">
        <is>
          <t/>
        </is>
      </c>
      <c r="K1078" s="37" t="inlineStr">
        <is>
          <t/>
        </is>
      </c>
      <c r="L1078" s="38" t="inlineStr">
        <is>
          <t/>
        </is>
      </c>
      <c r="M1078" s="39" t="inlineStr">
        <is>
          <t>Stephen Kong</t>
        </is>
      </c>
      <c r="N1078" s="40" t="inlineStr">
        <is>
          <t>Consultant</t>
        </is>
      </c>
      <c r="O1078" s="41" t="inlineStr">
        <is>
          <t/>
        </is>
      </c>
      <c r="P1078" s="42" t="inlineStr">
        <is>
          <t/>
        </is>
      </c>
      <c r="Q1078" s="43" t="inlineStr">
        <is>
          <t/>
        </is>
      </c>
      <c r="R1078" s="114">
        <f>HYPERLINK("https://my.pitchbook.com?c=123267-61", "View company online")</f>
      </c>
    </row>
    <row r="1079">
      <c r="A1079" s="9" t="inlineStr">
        <is>
          <t>113575-24</t>
        </is>
      </c>
      <c r="B1079" s="10" t="inlineStr">
        <is>
          <t>StepBOT</t>
        </is>
      </c>
      <c r="C1079" s="11" t="inlineStr">
        <is>
          <t/>
        </is>
      </c>
      <c r="D1079" s="12" t="inlineStr">
        <is>
          <t>Developer of a gamified fitness application. The company offers wearable devices that imports fitness data which is used for the game play.</t>
        </is>
      </c>
      <c r="E1079" s="13" t="inlineStr">
        <is>
          <t>Vertical Market Software</t>
        </is>
      </c>
      <c r="F1079" s="14" t="inlineStr">
        <is>
          <t>San Francisco, CA</t>
        </is>
      </c>
      <c r="G1079" s="15" t="inlineStr">
        <is>
          <t>Privately Held (backing)</t>
        </is>
      </c>
      <c r="H1079" s="16" t="inlineStr">
        <is>
          <t>Accelerator/Incubator Backed</t>
        </is>
      </c>
      <c r="I1079" s="17" t="inlineStr">
        <is>
          <t>Wearable IoT World</t>
        </is>
      </c>
      <c r="J1079" s="18" t="inlineStr">
        <is>
          <t>www.stepbot-fitness.com</t>
        </is>
      </c>
      <c r="K1079" s="19" t="inlineStr">
        <is>
          <t/>
        </is>
      </c>
      <c r="L1079" s="20" t="inlineStr">
        <is>
          <t/>
        </is>
      </c>
      <c r="M1079" s="21" t="inlineStr">
        <is>
          <t>Michael Huh</t>
        </is>
      </c>
      <c r="N1079" s="22" t="inlineStr">
        <is>
          <t>Founder</t>
        </is>
      </c>
      <c r="O1079" s="23" t="inlineStr">
        <is>
          <t/>
        </is>
      </c>
      <c r="P1079" s="24" t="inlineStr">
        <is>
          <t/>
        </is>
      </c>
      <c r="Q1079" s="25" t="n">
        <v>2014.0</v>
      </c>
      <c r="R1079" s="113">
        <f>HYPERLINK("https://my.pitchbook.com?c=113575-24", "View company online")</f>
      </c>
    </row>
    <row r="1080">
      <c r="A1080" s="27" t="inlineStr">
        <is>
          <t>95356-90</t>
        </is>
      </c>
      <c r="B1080" s="28" t="inlineStr">
        <is>
          <t>Stencyl</t>
        </is>
      </c>
      <c r="C1080" s="29" t="inlineStr">
        <is>
          <t>95014</t>
        </is>
      </c>
      <c r="D1080" s="30" t="inlineStr">
        <is>
          <t>Provider of a Web game publishing platform. The company provides a platform to create online games without using code. The games can be designed for use on multiple systems, including iOS, Android, flash and HTML5.</t>
        </is>
      </c>
      <c r="E1080" s="31" t="inlineStr">
        <is>
          <t>Software Development Applications</t>
        </is>
      </c>
      <c r="F1080" s="32" t="inlineStr">
        <is>
          <t>Cupertino, CA</t>
        </is>
      </c>
      <c r="G1080" s="33" t="inlineStr">
        <is>
          <t>Privately Held (backing)</t>
        </is>
      </c>
      <c r="H1080" s="34" t="inlineStr">
        <is>
          <t>Accelerator/Incubator Backed</t>
        </is>
      </c>
      <c r="I1080" s="35" t="inlineStr">
        <is>
          <t>Kickstarter</t>
        </is>
      </c>
      <c r="J1080" s="36" t="inlineStr">
        <is>
          <t>www.stencyl.com</t>
        </is>
      </c>
      <c r="K1080" s="37" t="inlineStr">
        <is>
          <t>hello@stencyl.com</t>
        </is>
      </c>
      <c r="L1080" s="38" t="inlineStr">
        <is>
          <t/>
        </is>
      </c>
      <c r="M1080" s="39" t="inlineStr">
        <is>
          <t>Jonathan Chung</t>
        </is>
      </c>
      <c r="N1080" s="40" t="inlineStr">
        <is>
          <t>Founder</t>
        </is>
      </c>
      <c r="O1080" s="41" t="inlineStr">
        <is>
          <t>jon@stencyl.com</t>
        </is>
      </c>
      <c r="P1080" s="42" t="inlineStr">
        <is>
          <t/>
        </is>
      </c>
      <c r="Q1080" s="43" t="n">
        <v>2008.0</v>
      </c>
      <c r="R1080" s="114">
        <f>HYPERLINK("https://my.pitchbook.com?c=95356-90", "View company online")</f>
      </c>
    </row>
    <row r="1081">
      <c r="A1081" s="9" t="inlineStr">
        <is>
          <t>148151-26</t>
        </is>
      </c>
      <c r="B1081" s="10" t="inlineStr">
        <is>
          <t>StemPaks</t>
        </is>
      </c>
      <c r="C1081" s="11" t="inlineStr">
        <is>
          <t>95134</t>
        </is>
      </c>
      <c r="D1081" s="12" t="inlineStr">
        <is>
          <t>Developer and provider of an online discovery platform. The company offers a discovery platform for children for their science and technology based interactive learning and project development.</t>
        </is>
      </c>
      <c r="E1081" s="13" t="inlineStr">
        <is>
          <t>Educational Software</t>
        </is>
      </c>
      <c r="F1081" s="14" t="inlineStr">
        <is>
          <t>San Jose, CA</t>
        </is>
      </c>
      <c r="G1081" s="15" t="inlineStr">
        <is>
          <t>Privately Held (backing)</t>
        </is>
      </c>
      <c r="H1081" s="16" t="inlineStr">
        <is>
          <t>Accelerator/Incubator Backed</t>
        </is>
      </c>
      <c r="I1081" s="17" t="inlineStr">
        <is>
          <t>Vet-Tech Accelerator</t>
        </is>
      </c>
      <c r="J1081" s="18" t="inlineStr">
        <is>
          <t>www.stempaks.com</t>
        </is>
      </c>
      <c r="K1081" s="19" t="inlineStr">
        <is>
          <t/>
        </is>
      </c>
      <c r="L1081" s="20" t="inlineStr">
        <is>
          <t/>
        </is>
      </c>
      <c r="M1081" s="21" t="inlineStr">
        <is>
          <t>Michael Ohm</t>
        </is>
      </c>
      <c r="N1081" s="22" t="inlineStr">
        <is>
          <t>Co-Founder &amp; Chief Technology Officer</t>
        </is>
      </c>
      <c r="O1081" s="23" t="inlineStr">
        <is>
          <t/>
        </is>
      </c>
      <c r="P1081" s="24" t="inlineStr">
        <is>
          <t/>
        </is>
      </c>
      <c r="Q1081" s="25" t="n">
        <v>2014.0</v>
      </c>
      <c r="R1081" s="113">
        <f>HYPERLINK("https://my.pitchbook.com?c=148151-26", "View company online")</f>
      </c>
    </row>
    <row r="1082">
      <c r="A1082" s="27" t="inlineStr">
        <is>
          <t>95356-81</t>
        </is>
      </c>
      <c r="B1082" s="28" t="inlineStr">
        <is>
          <t>STEMP</t>
        </is>
      </c>
      <c r="C1082" s="29" t="inlineStr">
        <is>
          <t>91403</t>
        </is>
      </c>
      <c r="D1082" s="30" t="inlineStr">
        <is>
          <t>Developer of digital health and sensor products for health improvement and wellness. The company's flagship product, the STEMP sensor, is a smart temperature patch that works alongside their mobile application for immediate and continuous temperature measurement.</t>
        </is>
      </c>
      <c r="E1082" s="31" t="inlineStr">
        <is>
          <t>Monitoring Equipment</t>
        </is>
      </c>
      <c r="F1082" s="32" t="inlineStr">
        <is>
          <t>Los Angeles, CA</t>
        </is>
      </c>
      <c r="G1082" s="33" t="inlineStr">
        <is>
          <t>Privately Held (backing)</t>
        </is>
      </c>
      <c r="H1082" s="34" t="inlineStr">
        <is>
          <t>Accelerator/Incubator Backed</t>
        </is>
      </c>
      <c r="I1082" s="35" t="inlineStr">
        <is>
          <t>GSVlabs, Plug and Play Tech Center</t>
        </is>
      </c>
      <c r="J1082" s="36" t="inlineStr">
        <is>
          <t>www.getstemp.com</t>
        </is>
      </c>
      <c r="K1082" s="37" t="inlineStr">
        <is>
          <t>contact@getstemp.com</t>
        </is>
      </c>
      <c r="L1082" s="38" t="inlineStr">
        <is>
          <t/>
        </is>
      </c>
      <c r="M1082" s="39" t="inlineStr">
        <is>
          <t>David Whelan</t>
        </is>
      </c>
      <c r="N1082" s="40" t="inlineStr">
        <is>
          <t>Co-Founder and Chief Business Officer</t>
        </is>
      </c>
      <c r="O1082" s="41" t="inlineStr">
        <is>
          <t>dave@getstemp.com</t>
        </is>
      </c>
      <c r="P1082" s="42" t="inlineStr">
        <is>
          <t>+1 (310) 927-2355</t>
        </is>
      </c>
      <c r="Q1082" s="43" t="n">
        <v>2013.0</v>
      </c>
      <c r="R1082" s="114">
        <f>HYPERLINK("https://my.pitchbook.com?c=95356-81", "View company online")</f>
      </c>
    </row>
    <row r="1083">
      <c r="A1083" s="9" t="inlineStr">
        <is>
          <t>181335-61</t>
        </is>
      </c>
      <c r="B1083" s="10" t="inlineStr">
        <is>
          <t>Stellic</t>
        </is>
      </c>
      <c r="C1083" s="11" t="inlineStr">
        <is>
          <t>94043</t>
        </is>
      </c>
      <c r="D1083" s="12" t="inlineStr">
        <is>
          <t>Developer of an integrated advising and planning platform designed to enable students to plan their college journey. The company's platform permits undergraduates to plan their upcoming semesters in colleges using data insights, enabling them to tailor their education according to career goals and interest, advisors to identify at-risk students and universities to reduce college drop outs.</t>
        </is>
      </c>
      <c r="E1083" s="13" t="inlineStr">
        <is>
          <t>Application Software</t>
        </is>
      </c>
      <c r="F1083" s="14" t="inlineStr">
        <is>
          <t>Palo Alto, CA</t>
        </is>
      </c>
      <c r="G1083" s="15" t="inlineStr">
        <is>
          <t>Privately Held (backing)</t>
        </is>
      </c>
      <c r="H1083" s="16" t="inlineStr">
        <is>
          <t>Accelerator/Incubator Backed</t>
        </is>
      </c>
      <c r="I1083" s="17" t="inlineStr">
        <is>
          <t>Alchemist Accelerator, AlFaisal-Carnegie Mellon Innovation Entrepreneurship Centre, Qatar Science &amp; Technology Park</t>
        </is>
      </c>
      <c r="J1083" s="18" t="inlineStr">
        <is>
          <t>www.stellic.com</t>
        </is>
      </c>
      <c r="K1083" s="19" t="inlineStr">
        <is>
          <t/>
        </is>
      </c>
      <c r="L1083" s="20" t="inlineStr">
        <is>
          <t/>
        </is>
      </c>
      <c r="M1083" s="21" t="inlineStr">
        <is>
          <t>Sabih Wasi</t>
        </is>
      </c>
      <c r="N1083" s="22" t="inlineStr">
        <is>
          <t>Co-Founder, Design Lead &amp; Chief Executive Officer</t>
        </is>
      </c>
      <c r="O1083" s="23" t="inlineStr">
        <is>
          <t>sabih@stellic.com</t>
        </is>
      </c>
      <c r="P1083" s="24" t="inlineStr">
        <is>
          <t/>
        </is>
      </c>
      <c r="Q1083" s="25" t="inlineStr">
        <is>
          <t/>
        </is>
      </c>
      <c r="R1083" s="113">
        <f>HYPERLINK("https://my.pitchbook.com?c=181335-61", "View company online")</f>
      </c>
    </row>
    <row r="1084">
      <c r="A1084" s="27" t="inlineStr">
        <is>
          <t>65613-88</t>
        </is>
      </c>
      <c r="B1084" s="28" t="inlineStr">
        <is>
          <t>Stellar</t>
        </is>
      </c>
      <c r="C1084" s="29" t="inlineStr">
        <is>
          <t>94110</t>
        </is>
      </c>
      <c r="D1084" s="30" t="inlineStr">
        <is>
          <t>Operator of a payments network. The company is a decentralised protocol that allows people to send and receive money in any pair of currencies. It allows to send one kind of currency and convert it to another currency.</t>
        </is>
      </c>
      <c r="E1084" s="31" t="inlineStr">
        <is>
          <t>Other Financial Services</t>
        </is>
      </c>
      <c r="F1084" s="32" t="inlineStr">
        <is>
          <t>San Francisco, CA</t>
        </is>
      </c>
      <c r="G1084" s="33" t="inlineStr">
        <is>
          <t>Privately Held (backing)</t>
        </is>
      </c>
      <c r="H1084" s="34" t="inlineStr">
        <is>
          <t>Accelerator/Incubator Backed</t>
        </is>
      </c>
      <c r="I1084" s="35" t="inlineStr">
        <is>
          <t>Fast Forward (Consulting Services), Plug and Play Tech Center, Stripe</t>
        </is>
      </c>
      <c r="J1084" s="36" t="inlineStr">
        <is>
          <t>www.stellar.org</t>
        </is>
      </c>
      <c r="K1084" s="37" t="inlineStr">
        <is>
          <t>hello@stellar.org</t>
        </is>
      </c>
      <c r="L1084" s="38" t="inlineStr">
        <is>
          <t/>
        </is>
      </c>
      <c r="M1084" s="39" t="inlineStr">
        <is>
          <t>Jed McCaleb</t>
        </is>
      </c>
      <c r="N1084" s="40" t="inlineStr">
        <is>
          <t>Co-Founder &amp; Chief Technology Officer</t>
        </is>
      </c>
      <c r="O1084" s="41" t="inlineStr">
        <is>
          <t>jed.mccaleb@stellar.org</t>
        </is>
      </c>
      <c r="P1084" s="42" t="inlineStr">
        <is>
          <t/>
        </is>
      </c>
      <c r="Q1084" s="43" t="n">
        <v>2014.0</v>
      </c>
      <c r="R1084" s="114">
        <f>HYPERLINK("https://my.pitchbook.com?c=65613-88", "View company online")</f>
      </c>
    </row>
    <row r="1085">
      <c r="A1085" s="9" t="inlineStr">
        <is>
          <t>63991-63</t>
        </is>
      </c>
      <c r="B1085" s="10" t="inlineStr">
        <is>
          <t>Steel Wool Entertainment Group</t>
        </is>
      </c>
      <c r="C1085" s="11" t="inlineStr">
        <is>
          <t>90064</t>
        </is>
      </c>
      <c r="D1085" s="12" t="inlineStr">
        <is>
          <t>Provider of music and entertainment management services to artist. The company offers artists multiple services such management, record label, video production and marketing services.</t>
        </is>
      </c>
      <c r="E1085" s="13" t="inlineStr">
        <is>
          <t>Movies, Music and Entertainment</t>
        </is>
      </c>
      <c r="F1085" s="14" t="inlineStr">
        <is>
          <t>Los Angeles, CA</t>
        </is>
      </c>
      <c r="G1085" s="15" t="inlineStr">
        <is>
          <t>Privately Held (backing)</t>
        </is>
      </c>
      <c r="H1085" s="16" t="inlineStr">
        <is>
          <t>Angel-Backed</t>
        </is>
      </c>
      <c r="I1085" s="17" t="inlineStr">
        <is>
          <t/>
        </is>
      </c>
      <c r="J1085" s="18" t="inlineStr">
        <is>
          <t>www.steelwoolentertainment.com</t>
        </is>
      </c>
      <c r="K1085" s="19" t="inlineStr">
        <is>
          <t>info@steelwoolentertainment.com</t>
        </is>
      </c>
      <c r="L1085" s="20" t="inlineStr">
        <is>
          <t>+1 (424) 832-7744</t>
        </is>
      </c>
      <c r="M1085" s="21" t="inlineStr">
        <is>
          <t>Tom Levine</t>
        </is>
      </c>
      <c r="N1085" s="22" t="inlineStr">
        <is>
          <t>Chief Financial Officer &amp; Strategic Advisor</t>
        </is>
      </c>
      <c r="O1085" s="23" t="inlineStr">
        <is>
          <t>tl@steelwoolentertainment.com</t>
        </is>
      </c>
      <c r="P1085" s="24" t="inlineStr">
        <is>
          <t>+1 (424) 832-7744</t>
        </is>
      </c>
      <c r="Q1085" s="25" t="n">
        <v>2012.0</v>
      </c>
      <c r="R1085" s="113">
        <f>HYPERLINK("https://my.pitchbook.com?c=63991-63", "View company online")</f>
      </c>
    </row>
    <row r="1086">
      <c r="A1086" s="27" t="inlineStr">
        <is>
          <t>94996-72</t>
        </is>
      </c>
      <c r="B1086" s="28" t="inlineStr">
        <is>
          <t>Staytuned App</t>
        </is>
      </c>
      <c r="C1086" s="29" t="inlineStr">
        <is>
          <t>94301</t>
        </is>
      </c>
      <c r="D1086" s="30" t="inlineStr">
        <is>
          <t>Developer of a personal application concierge. The company develops a context aware user interface that provides its users with the right applications at the right moment, directly on their lock screen. It enables its users to access tools that are useful at specific moments, such as the flashlight, voice-commanded navigation, parking pin and others on their lock screens.</t>
        </is>
      </c>
      <c r="E1086" s="31" t="inlineStr">
        <is>
          <t>Application Software</t>
        </is>
      </c>
      <c r="F1086" s="32" t="inlineStr">
        <is>
          <t>Palo Alto, CA</t>
        </is>
      </c>
      <c r="G1086" s="33" t="inlineStr">
        <is>
          <t>Privately Held (backing)</t>
        </is>
      </c>
      <c r="H1086" s="34" t="inlineStr">
        <is>
          <t>Accelerator/Incubator Backed</t>
        </is>
      </c>
      <c r="I1086" s="35" t="inlineStr">
        <is>
          <t>Alireza Masrour, Plug and Play Tech Center</t>
        </is>
      </c>
      <c r="J1086" s="36" t="inlineStr">
        <is>
          <t>www.staytuned-app.com</t>
        </is>
      </c>
      <c r="K1086" s="37" t="inlineStr">
        <is>
          <t>contact@staytunedapp.com</t>
        </is>
      </c>
      <c r="L1086" s="38" t="inlineStr">
        <is>
          <t/>
        </is>
      </c>
      <c r="M1086" s="39" t="inlineStr">
        <is>
          <t>Alejandro Garcia Del Bosque</t>
        </is>
      </c>
      <c r="N1086" s="40" t="inlineStr">
        <is>
          <t>Chief Executive Officer &amp; Co-Founder</t>
        </is>
      </c>
      <c r="O1086" s="41" t="inlineStr">
        <is>
          <t>alejandro@staytuned-app.com</t>
        </is>
      </c>
      <c r="P1086" s="42" t="inlineStr">
        <is>
          <t/>
        </is>
      </c>
      <c r="Q1086" s="43" t="n">
        <v>2014.0</v>
      </c>
      <c r="R1086" s="114">
        <f>HYPERLINK("https://my.pitchbook.com?c=94996-72", "View company online")</f>
      </c>
    </row>
    <row r="1087">
      <c r="A1087" s="9" t="inlineStr">
        <is>
          <t>109032-85</t>
        </is>
      </c>
      <c r="B1087" s="10" t="inlineStr">
        <is>
          <t>Stationfy</t>
        </is>
      </c>
      <c r="C1087" s="85">
        <f>HYPERLINK("https://my.pitchbook.com?rrp=109032-85&amp;type=c", "This Company's information is not available to download. Need this Company? Request availability")</f>
      </c>
      <c r="D1087" s="12" t="inlineStr">
        <is>
          <t/>
        </is>
      </c>
      <c r="E1087" s="13" t="inlineStr">
        <is>
          <t/>
        </is>
      </c>
      <c r="F1087" s="14" t="inlineStr">
        <is>
          <t/>
        </is>
      </c>
      <c r="G1087" s="15" t="inlineStr">
        <is>
          <t/>
        </is>
      </c>
      <c r="H1087" s="16" t="inlineStr">
        <is>
          <t/>
        </is>
      </c>
      <c r="I1087" s="17" t="inlineStr">
        <is>
          <t/>
        </is>
      </c>
      <c r="J1087" s="18" t="inlineStr">
        <is>
          <t/>
        </is>
      </c>
      <c r="K1087" s="19" t="inlineStr">
        <is>
          <t/>
        </is>
      </c>
      <c r="L1087" s="20" t="inlineStr">
        <is>
          <t/>
        </is>
      </c>
      <c r="M1087" s="21" t="inlineStr">
        <is>
          <t/>
        </is>
      </c>
      <c r="N1087" s="22" t="inlineStr">
        <is>
          <t/>
        </is>
      </c>
      <c r="O1087" s="23" t="inlineStr">
        <is>
          <t/>
        </is>
      </c>
      <c r="P1087" s="24" t="inlineStr">
        <is>
          <t/>
        </is>
      </c>
      <c r="Q1087" s="25" t="inlineStr">
        <is>
          <t/>
        </is>
      </c>
      <c r="R1087" s="26" t="inlineStr">
        <is>
          <t/>
        </is>
      </c>
    </row>
    <row r="1088">
      <c r="A1088" s="27" t="inlineStr">
        <is>
          <t>176945-77</t>
        </is>
      </c>
      <c r="B1088" s="28" t="inlineStr">
        <is>
          <t>Station</t>
        </is>
      </c>
      <c r="C1088" s="86">
        <f>HYPERLINK("https://my.pitchbook.com?rrp=176945-77&amp;type=c", "This Company's information is not available to download. Need this Company? Request availability")</f>
      </c>
      <c r="D1088" s="30" t="inlineStr">
        <is>
          <t/>
        </is>
      </c>
      <c r="E1088" s="31" t="inlineStr">
        <is>
          <t/>
        </is>
      </c>
      <c r="F1088" s="32" t="inlineStr">
        <is>
          <t/>
        </is>
      </c>
      <c r="G1088" s="33" t="inlineStr">
        <is>
          <t/>
        </is>
      </c>
      <c r="H1088" s="34" t="inlineStr">
        <is>
          <t/>
        </is>
      </c>
      <c r="I1088" s="35" t="inlineStr">
        <is>
          <t/>
        </is>
      </c>
      <c r="J1088" s="36" t="inlineStr">
        <is>
          <t/>
        </is>
      </c>
      <c r="K1088" s="37" t="inlineStr">
        <is>
          <t/>
        </is>
      </c>
      <c r="L1088" s="38" t="inlineStr">
        <is>
          <t/>
        </is>
      </c>
      <c r="M1088" s="39" t="inlineStr">
        <is>
          <t/>
        </is>
      </c>
      <c r="N1088" s="40" t="inlineStr">
        <is>
          <t/>
        </is>
      </c>
      <c r="O1088" s="41" t="inlineStr">
        <is>
          <t/>
        </is>
      </c>
      <c r="P1088" s="42" t="inlineStr">
        <is>
          <t/>
        </is>
      </c>
      <c r="Q1088" s="43" t="inlineStr">
        <is>
          <t/>
        </is>
      </c>
      <c r="R1088" s="44" t="inlineStr">
        <is>
          <t/>
        </is>
      </c>
    </row>
    <row r="1089">
      <c r="A1089" s="9" t="inlineStr">
        <is>
          <t>92529-73</t>
        </is>
      </c>
      <c r="B1089" s="10" t="inlineStr">
        <is>
          <t>StartupSocials</t>
        </is>
      </c>
      <c r="C1089" s="11" t="inlineStr">
        <is>
          <t>94105</t>
        </is>
      </c>
      <c r="D1089" s="12" t="inlineStr">
        <is>
          <t>Provider of a socialising platform. The company offers a space for entrepreneurs, investors, startups, professionals to meet, network and party in non-formal environment.</t>
        </is>
      </c>
      <c r="E1089" s="13" t="inlineStr">
        <is>
          <t>Other Services (B2C Non-Financial)</t>
        </is>
      </c>
      <c r="F1089" s="14" t="inlineStr">
        <is>
          <t>San Francisco, CA</t>
        </is>
      </c>
      <c r="G1089" s="15" t="inlineStr">
        <is>
          <t>Privately Held (backing)</t>
        </is>
      </c>
      <c r="H1089" s="16" t="inlineStr">
        <is>
          <t>Accelerator/Incubator Backed</t>
        </is>
      </c>
      <c r="I1089" s="17" t="inlineStr">
        <is>
          <t>Startup Monthly</t>
        </is>
      </c>
      <c r="J1089" s="18" t="inlineStr">
        <is>
          <t>www.startupsocials.com</t>
        </is>
      </c>
      <c r="K1089" s="19" t="inlineStr">
        <is>
          <t>info@startupsocials.com</t>
        </is>
      </c>
      <c r="L1089" s="20" t="inlineStr">
        <is>
          <t/>
        </is>
      </c>
      <c r="M1089" s="21" t="inlineStr">
        <is>
          <t>Yuri Rabinovich</t>
        </is>
      </c>
      <c r="N1089" s="22" t="inlineStr">
        <is>
          <t>Co-Founder</t>
        </is>
      </c>
      <c r="O1089" s="23" t="inlineStr">
        <is>
          <t>yuri@veritamo.com</t>
        </is>
      </c>
      <c r="P1089" s="24" t="inlineStr">
        <is>
          <t>+1 (408) 768-7844</t>
        </is>
      </c>
      <c r="Q1089" s="25" t="n">
        <v>2011.0</v>
      </c>
      <c r="R1089" s="113">
        <f>HYPERLINK("https://my.pitchbook.com?c=92529-73", "View company online")</f>
      </c>
    </row>
    <row r="1090">
      <c r="A1090" s="27" t="inlineStr">
        <is>
          <t>94964-95</t>
        </is>
      </c>
      <c r="B1090" s="28" t="inlineStr">
        <is>
          <t>StartupHouse</t>
        </is>
      </c>
      <c r="C1090" s="29" t="inlineStr">
        <is>
          <t>94103</t>
        </is>
      </c>
      <c r="D1090" s="30" t="inlineStr">
        <is>
          <t>Provider of space that support to early stage entrepreneurs. The company offers co-working and co-living space for bootstrappers, builders and disrupters in San Francisco.</t>
        </is>
      </c>
      <c r="E1090" s="31" t="inlineStr">
        <is>
          <t>Other Commercial Services</t>
        </is>
      </c>
      <c r="F1090" s="32" t="inlineStr">
        <is>
          <t>San Francisco, CA</t>
        </is>
      </c>
      <c r="G1090" s="33" t="inlineStr">
        <is>
          <t>Privately Held (backing)</t>
        </is>
      </c>
      <c r="H1090" s="34" t="inlineStr">
        <is>
          <t>Accelerator/Incubator Backed</t>
        </is>
      </c>
      <c r="I1090" s="35" t="inlineStr">
        <is>
          <t>500 Startups, Matt Cameron, Naval Ravikant, Steve Outtrim, Zachary Aarons</t>
        </is>
      </c>
      <c r="J1090" s="36" t="inlineStr">
        <is>
          <t>www.startuphouse.com</t>
        </is>
      </c>
      <c r="K1090" s="37" t="inlineStr">
        <is>
          <t/>
        </is>
      </c>
      <c r="L1090" s="38" t="inlineStr">
        <is>
          <t/>
        </is>
      </c>
      <c r="M1090" s="39" t="inlineStr">
        <is>
          <t>Elias Bizannes</t>
        </is>
      </c>
      <c r="N1090" s="40" t="inlineStr">
        <is>
          <t>Founder</t>
        </is>
      </c>
      <c r="O1090" s="41" t="inlineStr">
        <is>
          <t>elias@startuphouse.com</t>
        </is>
      </c>
      <c r="P1090" s="42" t="inlineStr">
        <is>
          <t/>
        </is>
      </c>
      <c r="Q1090" s="43" t="n">
        <v>2011.0</v>
      </c>
      <c r="R1090" s="114">
        <f>HYPERLINK("https://my.pitchbook.com?c=94964-95", "View company online")</f>
      </c>
    </row>
    <row r="1091">
      <c r="A1091" s="9" t="inlineStr">
        <is>
          <t>126533-08</t>
        </is>
      </c>
      <c r="B1091" s="10" t="inlineStr">
        <is>
          <t>Startup Policy Lab</t>
        </is>
      </c>
      <c r="C1091" s="11" t="inlineStr">
        <is>
          <t>94103</t>
        </is>
      </c>
      <c r="D1091" s="12" t="inlineStr">
        <is>
          <t>Operator of a non-profit organization to connect startups with policymakers. The company operates a non-profit organization to connect and represent startups in policy making initiatives and promote innovation.</t>
        </is>
      </c>
      <c r="E1091" s="13" t="inlineStr">
        <is>
          <t>Other Commercial Services</t>
        </is>
      </c>
      <c r="F1091" s="14" t="inlineStr">
        <is>
          <t>San Francisco, CA</t>
        </is>
      </c>
      <c r="G1091" s="15" t="inlineStr">
        <is>
          <t>Privately Held (backing)</t>
        </is>
      </c>
      <c r="H1091" s="16" t="inlineStr">
        <is>
          <t>Accelerator/Incubator Backed</t>
        </is>
      </c>
      <c r="I1091" s="17" t="inlineStr">
        <is>
          <t>John S. and James L. Knight Foundation, Runway Incubator</t>
        </is>
      </c>
      <c r="J1091" s="18" t="inlineStr">
        <is>
          <t>www.startuppolicylab.org</t>
        </is>
      </c>
      <c r="K1091" s="19" t="inlineStr">
        <is>
          <t>info@startuppolicylab.org</t>
        </is>
      </c>
      <c r="L1091" s="20" t="inlineStr">
        <is>
          <t/>
        </is>
      </c>
      <c r="M1091" s="21" t="inlineStr">
        <is>
          <t>Charles Belle</t>
        </is>
      </c>
      <c r="N1091" s="22" t="inlineStr">
        <is>
          <t>Founder &amp; Chief Executive Officer</t>
        </is>
      </c>
      <c r="O1091" s="23" t="inlineStr">
        <is>
          <t>charles.belle@startuppolicylab.org</t>
        </is>
      </c>
      <c r="P1091" s="24" t="inlineStr">
        <is>
          <t/>
        </is>
      </c>
      <c r="Q1091" s="25" t="n">
        <v>2013.0</v>
      </c>
      <c r="R1091" s="113">
        <f>HYPERLINK("https://my.pitchbook.com?c=126533-08", "View company online")</f>
      </c>
    </row>
    <row r="1092">
      <c r="A1092" s="27" t="inlineStr">
        <is>
          <t>58457-26</t>
        </is>
      </c>
      <c r="B1092" s="28" t="inlineStr">
        <is>
          <t>Startup Grind</t>
        </is>
      </c>
      <c r="C1092" s="29" t="inlineStr">
        <is>
          <t>94306</t>
        </is>
      </c>
      <c r="D1092" s="30" t="inlineStr">
        <is>
          <t>Owner and operator company offering of global startup community. The company organizes various global events and conferences to educate, train and connect entrepreneurs to investors and other business angels.</t>
        </is>
      </c>
      <c r="E1092" s="31" t="inlineStr">
        <is>
          <t>Other Commercial Services</t>
        </is>
      </c>
      <c r="F1092" s="32" t="inlineStr">
        <is>
          <t>Palo Alto, CA</t>
        </is>
      </c>
      <c r="G1092" s="33" t="inlineStr">
        <is>
          <t>Privately Held (backing)</t>
        </is>
      </c>
      <c r="H1092" s="34" t="inlineStr">
        <is>
          <t>Accelerator/Incubator Backed</t>
        </is>
      </c>
      <c r="I1092" s="35" t="inlineStr">
        <is>
          <t>Fishbowl Labs</t>
        </is>
      </c>
      <c r="J1092" s="36" t="inlineStr">
        <is>
          <t>www.startupgrind.com</t>
        </is>
      </c>
      <c r="K1092" s="37" t="inlineStr">
        <is>
          <t>help@startupgrind.com</t>
        </is>
      </c>
      <c r="L1092" s="38" t="inlineStr">
        <is>
          <t/>
        </is>
      </c>
      <c r="M1092" s="39" t="inlineStr">
        <is>
          <t>Raghav Badiger</t>
        </is>
      </c>
      <c r="N1092" s="40" t="inlineStr">
        <is>
          <t>Chapter Director</t>
        </is>
      </c>
      <c r="O1092" s="41" t="inlineStr">
        <is>
          <t/>
        </is>
      </c>
      <c r="P1092" s="42" t="inlineStr">
        <is>
          <t>+1 (650) 336-5134</t>
        </is>
      </c>
      <c r="Q1092" s="43" t="n">
        <v>2010.0</v>
      </c>
      <c r="R1092" s="114">
        <f>HYPERLINK("https://my.pitchbook.com?c=58457-26", "View company online")</f>
      </c>
    </row>
    <row r="1093">
      <c r="A1093" s="9" t="inlineStr">
        <is>
          <t>151576-39</t>
        </is>
      </c>
      <c r="B1093" s="10" t="inlineStr">
        <is>
          <t>Startup Genius</t>
        </is>
      </c>
      <c r="C1093" s="11" t="inlineStr">
        <is>
          <t>94588</t>
        </is>
      </c>
      <c r="D1093" s="12" t="inlineStr">
        <is>
          <t>The company is currently operating in Stealth mode.</t>
        </is>
      </c>
      <c r="E1093" s="13" t="inlineStr">
        <is>
          <t>Other Business Products and Services</t>
        </is>
      </c>
      <c r="F1093" s="14" t="inlineStr">
        <is>
          <t>Pleasanton, CA</t>
        </is>
      </c>
      <c r="G1093" s="15" t="inlineStr">
        <is>
          <t>Privately Held (backing)</t>
        </is>
      </c>
      <c r="H1093" s="16" t="inlineStr">
        <is>
          <t>Angel-Backed</t>
        </is>
      </c>
      <c r="I1093" s="17" t="inlineStr">
        <is>
          <t/>
        </is>
      </c>
      <c r="J1093" s="18" t="inlineStr">
        <is>
          <t>www.startup-genius.com</t>
        </is>
      </c>
      <c r="K1093" s="19" t="inlineStr">
        <is>
          <t/>
        </is>
      </c>
      <c r="L1093" s="20" t="inlineStr">
        <is>
          <t>+1 (925) 400-4366</t>
        </is>
      </c>
      <c r="M1093" s="21" t="inlineStr">
        <is>
          <t>Daniel Benveniste</t>
        </is>
      </c>
      <c r="N1093" s="22" t="inlineStr">
        <is>
          <t>Founder, Board Member, President and Chief Executive Officer</t>
        </is>
      </c>
      <c r="O1093" s="23" t="inlineStr">
        <is>
          <t>dan@startup-genius.com</t>
        </is>
      </c>
      <c r="P1093" s="24" t="inlineStr">
        <is>
          <t>+1 (925) 400-4366</t>
        </is>
      </c>
      <c r="Q1093" s="25" t="n">
        <v>2015.0</v>
      </c>
      <c r="R1093" s="113">
        <f>HYPERLINK("https://my.pitchbook.com?c=151576-39", "View company online")</f>
      </c>
    </row>
    <row r="1094">
      <c r="A1094" s="27" t="inlineStr">
        <is>
          <t>92539-72</t>
        </is>
      </c>
      <c r="B1094" s="28" t="inlineStr">
        <is>
          <t>StartSpanish</t>
        </is>
      </c>
      <c r="C1094" s="86">
        <f>HYPERLINK("https://my.pitchbook.com?rrp=92539-72&amp;type=c", "This Company's information is not available to download. Need this Company? Request availability")</f>
      </c>
      <c r="D1094" s="30" t="inlineStr">
        <is>
          <t/>
        </is>
      </c>
      <c r="E1094" s="31" t="inlineStr">
        <is>
          <t/>
        </is>
      </c>
      <c r="F1094" s="32" t="inlineStr">
        <is>
          <t/>
        </is>
      </c>
      <c r="G1094" s="33" t="inlineStr">
        <is>
          <t/>
        </is>
      </c>
      <c r="H1094" s="34" t="inlineStr">
        <is>
          <t/>
        </is>
      </c>
      <c r="I1094" s="35" t="inlineStr">
        <is>
          <t/>
        </is>
      </c>
      <c r="J1094" s="36" t="inlineStr">
        <is>
          <t/>
        </is>
      </c>
      <c r="K1094" s="37" t="inlineStr">
        <is>
          <t/>
        </is>
      </c>
      <c r="L1094" s="38" t="inlineStr">
        <is>
          <t/>
        </is>
      </c>
      <c r="M1094" s="39" t="inlineStr">
        <is>
          <t/>
        </is>
      </c>
      <c r="N1094" s="40" t="inlineStr">
        <is>
          <t/>
        </is>
      </c>
      <c r="O1094" s="41" t="inlineStr">
        <is>
          <t/>
        </is>
      </c>
      <c r="P1094" s="42" t="inlineStr">
        <is>
          <t/>
        </is>
      </c>
      <c r="Q1094" s="43" t="inlineStr">
        <is>
          <t/>
        </is>
      </c>
      <c r="R1094" s="44" t="inlineStr">
        <is>
          <t/>
        </is>
      </c>
    </row>
    <row r="1095">
      <c r="A1095" s="9" t="inlineStr">
        <is>
          <t>93671-20</t>
        </is>
      </c>
      <c r="B1095" s="10" t="inlineStr">
        <is>
          <t>StartitUp</t>
        </is>
      </c>
      <c r="C1095" s="11" t="inlineStr">
        <is>
          <t>94301</t>
        </is>
      </c>
      <c r="D1095" s="12" t="inlineStr">
        <is>
          <t>Provider of an online startup guide. The company's platform offers an open source startup guide, for its users, with action items to take a startup from idea, to minimum viable product, to traction, and funding. It creates a virtual incubator/accelerator that helps startups to build and grow.</t>
        </is>
      </c>
      <c r="E1095" s="13" t="inlineStr">
        <is>
          <t>Social/Platform Software</t>
        </is>
      </c>
      <c r="F1095" s="14" t="inlineStr">
        <is>
          <t>Palo Alto, CA</t>
        </is>
      </c>
      <c r="G1095" s="15" t="inlineStr">
        <is>
          <t>Privately Held (backing)</t>
        </is>
      </c>
      <c r="H1095" s="16" t="inlineStr">
        <is>
          <t>Accelerator/Incubator Backed</t>
        </is>
      </c>
      <c r="I1095" s="17" t="inlineStr">
        <is>
          <t>StartupYard</t>
        </is>
      </c>
      <c r="J1095" s="18" t="inlineStr">
        <is>
          <t>www.startitup.co</t>
        </is>
      </c>
      <c r="K1095" s="19" t="inlineStr">
        <is>
          <t>contact@startitup.co</t>
        </is>
      </c>
      <c r="L1095" s="20" t="inlineStr">
        <is>
          <t>+1 (650) 924-2477</t>
        </is>
      </c>
      <c r="M1095" s="21" t="inlineStr">
        <is>
          <t>Edward Liu</t>
        </is>
      </c>
      <c r="N1095" s="22" t="inlineStr">
        <is>
          <t>Chief Executive Officer &amp; Co-Founder</t>
        </is>
      </c>
      <c r="O1095" s="23" t="inlineStr">
        <is>
          <t>ed@startitup.co</t>
        </is>
      </c>
      <c r="P1095" s="24" t="inlineStr">
        <is>
          <t>+1 (650) 924-2477</t>
        </is>
      </c>
      <c r="Q1095" s="25" t="n">
        <v>2013.0</v>
      </c>
      <c r="R1095" s="113">
        <f>HYPERLINK("https://my.pitchbook.com?c=93671-20", "View company online")</f>
      </c>
    </row>
    <row r="1096">
      <c r="A1096" s="27" t="inlineStr">
        <is>
          <t>92416-69</t>
        </is>
      </c>
      <c r="B1096" s="28" t="inlineStr">
        <is>
          <t>StarsVu</t>
        </is>
      </c>
      <c r="C1096" s="29" t="inlineStr">
        <is>
          <t>92130</t>
        </is>
      </c>
      <c r="D1096" s="30" t="inlineStr">
        <is>
          <t>Provider of cloud based video production services. The company provides tools for video production including script writing, video editing and collaboration as a cloud service for the purpose of making videos online.</t>
        </is>
      </c>
      <c r="E1096" s="31" t="inlineStr">
        <is>
          <t>Multimedia and Design Software</t>
        </is>
      </c>
      <c r="F1096" s="32" t="inlineStr">
        <is>
          <t>San Diego, CA</t>
        </is>
      </c>
      <c r="G1096" s="33" t="inlineStr">
        <is>
          <t>Privately Held (backing)</t>
        </is>
      </c>
      <c r="H1096" s="34" t="inlineStr">
        <is>
          <t>Angel-Backed</t>
        </is>
      </c>
      <c r="I1096" s="35" t="inlineStr">
        <is>
          <t>QUALCOMM Executive</t>
        </is>
      </c>
      <c r="J1096" s="36" t="inlineStr">
        <is>
          <t>www.starsvu.com</t>
        </is>
      </c>
      <c r="K1096" s="37" t="inlineStr">
        <is>
          <t>info@starsvu.com</t>
        </is>
      </c>
      <c r="L1096" s="38" t="inlineStr">
        <is>
          <t>+1 (909) 214-4642</t>
        </is>
      </c>
      <c r="M1096" s="39" t="inlineStr">
        <is>
          <t/>
        </is>
      </c>
      <c r="N1096" s="40" t="inlineStr">
        <is>
          <t/>
        </is>
      </c>
      <c r="O1096" s="41" t="inlineStr">
        <is>
          <t/>
        </is>
      </c>
      <c r="P1096" s="42" t="inlineStr">
        <is>
          <t/>
        </is>
      </c>
      <c r="Q1096" s="43" t="n">
        <v>2011.0</v>
      </c>
      <c r="R1096" s="114">
        <f>HYPERLINK("https://my.pitchbook.com?c=92416-69", "View company online")</f>
      </c>
    </row>
    <row r="1097">
      <c r="A1097" s="9" t="inlineStr">
        <is>
          <t>93935-17</t>
        </is>
      </c>
      <c r="B1097" s="10" t="inlineStr">
        <is>
          <t>StarGreetz</t>
        </is>
      </c>
      <c r="C1097" s="11" t="inlineStr">
        <is>
          <t>90025</t>
        </is>
      </c>
      <c r="D1097" s="12" t="inlineStr">
        <is>
          <t>Developer and provider of a cloud-based video personalization platform. The company offers digital content platform that enables users to create marketing massages and video marketing campaigns.</t>
        </is>
      </c>
      <c r="E1097" s="13" t="inlineStr">
        <is>
          <t>Social/Platform Software</t>
        </is>
      </c>
      <c r="F1097" s="14" t="inlineStr">
        <is>
          <t>Los Angeles, CA</t>
        </is>
      </c>
      <c r="G1097" s="15" t="inlineStr">
        <is>
          <t>Privately Held (backing)</t>
        </is>
      </c>
      <c r="H1097" s="16" t="inlineStr">
        <is>
          <t>Angel-Backed</t>
        </is>
      </c>
      <c r="I1097" s="17" t="inlineStr">
        <is>
          <t>Britt Fletcher, Bruce Rauner, David Spiegelman, Dick Cook, Garth Ancier, Jason Knapp, Jeff Sagansky, Joe Roth, Michael Fuchs, Richard R. Janssen, Richard Sondheimer, Skip Brittenham, Zen Ziffren</t>
        </is>
      </c>
      <c r="J1097" s="18" t="inlineStr">
        <is>
          <t>corp.adgreetz.com</t>
        </is>
      </c>
      <c r="K1097" s="19" t="inlineStr">
        <is>
          <t>info@adgreetz.com</t>
        </is>
      </c>
      <c r="L1097" s="20" t="inlineStr">
        <is>
          <t>+1 (310) 806-6400</t>
        </is>
      </c>
      <c r="M1097" s="21" t="inlineStr">
        <is>
          <t>Eric Frankel</t>
        </is>
      </c>
      <c r="N1097" s="22" t="inlineStr">
        <is>
          <t>Co-Founder, Board Member &amp; Chief Executive Officer</t>
        </is>
      </c>
      <c r="O1097" s="23" t="inlineStr">
        <is>
          <t>eric@adgreetz.com</t>
        </is>
      </c>
      <c r="P1097" s="24" t="inlineStr">
        <is>
          <t>+1 (310) 806-6400</t>
        </is>
      </c>
      <c r="Q1097" s="25" t="n">
        <v>2010.0</v>
      </c>
      <c r="R1097" s="113">
        <f>HYPERLINK("https://my.pitchbook.com?c=93935-17", "View company online")</f>
      </c>
    </row>
    <row r="1098">
      <c r="A1098" s="27" t="inlineStr">
        <is>
          <t>172870-12</t>
        </is>
      </c>
      <c r="B1098" s="28" t="inlineStr">
        <is>
          <t>Stardust + Gravity</t>
        </is>
      </c>
      <c r="C1098" s="86">
        <f>HYPERLINK("https://my.pitchbook.com?rrp=172870-12&amp;type=c", "This Company's information is not available to download. Need this Company? Request availability")</f>
      </c>
      <c r="D1098" s="30" t="inlineStr">
        <is>
          <t/>
        </is>
      </c>
      <c r="E1098" s="31" t="inlineStr">
        <is>
          <t/>
        </is>
      </c>
      <c r="F1098" s="32" t="inlineStr">
        <is>
          <t/>
        </is>
      </c>
      <c r="G1098" s="33" t="inlineStr">
        <is>
          <t/>
        </is>
      </c>
      <c r="H1098" s="34" t="inlineStr">
        <is>
          <t/>
        </is>
      </c>
      <c r="I1098" s="35" t="inlineStr">
        <is>
          <t/>
        </is>
      </c>
      <c r="J1098" s="36" t="inlineStr">
        <is>
          <t/>
        </is>
      </c>
      <c r="K1098" s="37" t="inlineStr">
        <is>
          <t/>
        </is>
      </c>
      <c r="L1098" s="38" t="inlineStr">
        <is>
          <t/>
        </is>
      </c>
      <c r="M1098" s="39" t="inlineStr">
        <is>
          <t/>
        </is>
      </c>
      <c r="N1098" s="40" t="inlineStr">
        <is>
          <t/>
        </is>
      </c>
      <c r="O1098" s="41" t="inlineStr">
        <is>
          <t/>
        </is>
      </c>
      <c r="P1098" s="42" t="inlineStr">
        <is>
          <t/>
        </is>
      </c>
      <c r="Q1098" s="43" t="inlineStr">
        <is>
          <t/>
        </is>
      </c>
      <c r="R1098" s="44" t="inlineStr">
        <is>
          <t/>
        </is>
      </c>
    </row>
    <row r="1099">
      <c r="A1099" s="9" t="inlineStr">
        <is>
          <t>166797-01</t>
        </is>
      </c>
      <c r="B1099" s="10" t="inlineStr">
        <is>
          <t>Starbird Chicken</t>
        </is>
      </c>
      <c r="C1099" s="11" t="inlineStr">
        <is>
          <t>94087</t>
        </is>
      </c>
      <c r="D1099" s="12" t="inlineStr">
        <is>
          <t>Owner and operator of a fast food restaurant chain in California. The company offers Chicken and the Egg sandwiches, Maple Bacon Breakfast Taco, Chicken and Waffle Sticks, Breakfast Burrito, Daybreaker Taco and other similar chicken and bread items.</t>
        </is>
      </c>
      <c r="E1099" s="13" t="inlineStr">
        <is>
          <t>Food Products</t>
        </is>
      </c>
      <c r="F1099" s="14" t="inlineStr">
        <is>
          <t>Sunnyvale, CA</t>
        </is>
      </c>
      <c r="G1099" s="15" t="inlineStr">
        <is>
          <t>Privately Held (backing)</t>
        </is>
      </c>
      <c r="H1099" s="16" t="inlineStr">
        <is>
          <t>Accelerator/Incubator Backed</t>
        </is>
      </c>
      <c r="I1099" s="17" t="inlineStr">
        <is>
          <t>Greg Dollarhyde, The Culinary Edge Ventures</t>
        </is>
      </c>
      <c r="J1099" s="18" t="inlineStr">
        <is>
          <t>www.starbirdchicken.com</t>
        </is>
      </c>
      <c r="K1099" s="19" t="inlineStr">
        <is>
          <t/>
        </is>
      </c>
      <c r="L1099" s="20" t="inlineStr">
        <is>
          <t>+1 (650) 988-6630</t>
        </is>
      </c>
      <c r="M1099" s="21" t="inlineStr">
        <is>
          <t>Aaron Noveshen</t>
        </is>
      </c>
      <c r="N1099" s="22" t="inlineStr">
        <is>
          <t>Co-Founder &amp; Chief Executive Officer</t>
        </is>
      </c>
      <c r="O1099" s="23" t="inlineStr">
        <is>
          <t>aaron@starbirdchicken.com</t>
        </is>
      </c>
      <c r="P1099" s="24" t="inlineStr">
        <is>
          <t>+1 (650) 988-6630</t>
        </is>
      </c>
      <c r="Q1099" s="25" t="n">
        <v>2016.0</v>
      </c>
      <c r="R1099" s="113">
        <f>HYPERLINK("https://my.pitchbook.com?c=166797-01", "View company online")</f>
      </c>
    </row>
    <row r="1100">
      <c r="A1100" s="27" t="inlineStr">
        <is>
          <t>114464-35</t>
        </is>
      </c>
      <c r="B1100" s="28" t="inlineStr">
        <is>
          <t>Stanson Health</t>
        </is>
      </c>
      <c r="C1100" s="29" t="inlineStr">
        <is>
          <t>90025</t>
        </is>
      </c>
      <c r="D1100" s="30" t="inlineStr">
        <is>
          <t>Developer of a platform for guiding physicians. The company develops a platform that provides time alerts and relevant analytics to guide and influence physician's decisions.</t>
        </is>
      </c>
      <c r="E1100" s="31" t="inlineStr">
        <is>
          <t>Other Healthcare</t>
        </is>
      </c>
      <c r="F1100" s="32" t="inlineStr">
        <is>
          <t>Los Angeles, CA</t>
        </is>
      </c>
      <c r="G1100" s="33" t="inlineStr">
        <is>
          <t>Privately Held (backing)</t>
        </is>
      </c>
      <c r="H1100" s="34" t="inlineStr">
        <is>
          <t>Angel-Backed</t>
        </is>
      </c>
      <c r="I1100" s="35" t="inlineStr">
        <is>
          <t/>
        </is>
      </c>
      <c r="J1100" s="36" t="inlineStr">
        <is>
          <t>www.stansonhealth.com</t>
        </is>
      </c>
      <c r="K1100" s="37" t="inlineStr">
        <is>
          <t>info@stansonhealth.com</t>
        </is>
      </c>
      <c r="L1100" s="38" t="inlineStr">
        <is>
          <t>+1 (310) 444-7178</t>
        </is>
      </c>
      <c r="M1100" s="39" t="inlineStr">
        <is>
          <t>Rick Adam</t>
        </is>
      </c>
      <c r="N1100" s="40" t="inlineStr">
        <is>
          <t>Chief Operating Officer and President</t>
        </is>
      </c>
      <c r="O1100" s="41" t="inlineStr">
        <is>
          <t>rick.adam@stansonhealth.com</t>
        </is>
      </c>
      <c r="P1100" s="42" t="inlineStr">
        <is>
          <t>+1 (310) 444-7178</t>
        </is>
      </c>
      <c r="Q1100" s="43" t="n">
        <v>2013.0</v>
      </c>
      <c r="R1100" s="114">
        <f>HYPERLINK("https://my.pitchbook.com?c=114464-35", "View company online")</f>
      </c>
    </row>
    <row r="1101">
      <c r="A1101" s="9" t="inlineStr">
        <is>
          <t>59105-89</t>
        </is>
      </c>
      <c r="B1101" s="10" t="inlineStr">
        <is>
          <t>Standing Kitchen</t>
        </is>
      </c>
      <c r="C1101" s="11" t="inlineStr">
        <is>
          <t>90012</t>
        </is>
      </c>
      <c r="D1101" s="12" t="inlineStr">
        <is>
          <t>Operator of restaurant in Los Angeles. The company owns and operates a restaurant offering food products and beverages in Los Angeles, California.</t>
        </is>
      </c>
      <c r="E1101" s="13" t="inlineStr">
        <is>
          <t>Restaurants and Bars</t>
        </is>
      </c>
      <c r="F1101" s="14" t="inlineStr">
        <is>
          <t>Los Angeles, CA</t>
        </is>
      </c>
      <c r="G1101" s="15" t="inlineStr">
        <is>
          <t>Privately Held (backing)</t>
        </is>
      </c>
      <c r="H1101" s="16" t="inlineStr">
        <is>
          <t>Angel-Backed</t>
        </is>
      </c>
      <c r="I1101" s="17" t="inlineStr">
        <is>
          <t/>
        </is>
      </c>
      <c r="J1101" s="18" t="inlineStr">
        <is>
          <t/>
        </is>
      </c>
      <c r="K1101" s="19" t="inlineStr">
        <is>
          <t/>
        </is>
      </c>
      <c r="L1101" s="20" t="inlineStr">
        <is>
          <t>+1 (310) 606-2732</t>
        </is>
      </c>
      <c r="M1101" s="21" t="inlineStr">
        <is>
          <t>Mimi Mok</t>
        </is>
      </c>
      <c r="N1101" s="22" t="inlineStr">
        <is>
          <t>President &amp; Board Member</t>
        </is>
      </c>
      <c r="O1101" s="23" t="inlineStr">
        <is>
          <t/>
        </is>
      </c>
      <c r="P1101" s="24" t="inlineStr">
        <is>
          <t>+1 (310) 606-2732</t>
        </is>
      </c>
      <c r="Q1101" s="25" t="n">
        <v>2012.0</v>
      </c>
      <c r="R1101" s="113">
        <f>HYPERLINK("https://my.pitchbook.com?c=59105-89", "View company online")</f>
      </c>
    </row>
    <row r="1102">
      <c r="A1102" s="27" t="inlineStr">
        <is>
          <t>173987-74</t>
        </is>
      </c>
      <c r="B1102" s="28" t="inlineStr">
        <is>
          <t>Standard Luxury Group</t>
        </is>
      </c>
      <c r="C1102" s="86">
        <f>HYPERLINK("https://my.pitchbook.com?rrp=173987-74&amp;type=c", "This Company's information is not available to download. Need this Company? Request availability")</f>
      </c>
      <c r="D1102" s="30" t="inlineStr">
        <is>
          <t/>
        </is>
      </c>
      <c r="E1102" s="31" t="inlineStr">
        <is>
          <t/>
        </is>
      </c>
      <c r="F1102" s="32" t="inlineStr">
        <is>
          <t/>
        </is>
      </c>
      <c r="G1102" s="33" t="inlineStr">
        <is>
          <t/>
        </is>
      </c>
      <c r="H1102" s="34" t="inlineStr">
        <is>
          <t/>
        </is>
      </c>
      <c r="I1102" s="35" t="inlineStr">
        <is>
          <t/>
        </is>
      </c>
      <c r="J1102" s="36" t="inlineStr">
        <is>
          <t/>
        </is>
      </c>
      <c r="K1102" s="37" t="inlineStr">
        <is>
          <t/>
        </is>
      </c>
      <c r="L1102" s="38" t="inlineStr">
        <is>
          <t/>
        </is>
      </c>
      <c r="M1102" s="39" t="inlineStr">
        <is>
          <t/>
        </is>
      </c>
      <c r="N1102" s="40" t="inlineStr">
        <is>
          <t/>
        </is>
      </c>
      <c r="O1102" s="41" t="inlineStr">
        <is>
          <t/>
        </is>
      </c>
      <c r="P1102" s="42" t="inlineStr">
        <is>
          <t/>
        </is>
      </c>
      <c r="Q1102" s="43" t="inlineStr">
        <is>
          <t/>
        </is>
      </c>
      <c r="R1102" s="44" t="inlineStr">
        <is>
          <t/>
        </is>
      </c>
    </row>
    <row r="1103">
      <c r="A1103" s="9" t="inlineStr">
        <is>
          <t>53405-20</t>
        </is>
      </c>
      <c r="B1103" s="10" t="inlineStr">
        <is>
          <t>Stagee.com</t>
        </is>
      </c>
      <c r="C1103" s="11" t="inlineStr">
        <is>
          <t>94306</t>
        </is>
      </c>
      <c r="D1103" s="12" t="inlineStr">
        <is>
          <t>Provider of a professional platform for entertainers. The company help entertainers reach new audiences and find professional opportunities by allowing users to upload videos, show reels, tracks, photo spreads, and blog posts; manage social tools and build their audience while earning points for views, votes and ratings.</t>
        </is>
      </c>
      <c r="E1103" s="13" t="inlineStr">
        <is>
          <t>Social/Platform Software</t>
        </is>
      </c>
      <c r="F1103" s="14" t="inlineStr">
        <is>
          <t>Palo Alto, CA</t>
        </is>
      </c>
      <c r="G1103" s="15" t="inlineStr">
        <is>
          <t>Privately Held (backing)</t>
        </is>
      </c>
      <c r="H1103" s="16" t="inlineStr">
        <is>
          <t>Angel-Backed</t>
        </is>
      </c>
      <c r="I1103" s="17" t="inlineStr">
        <is>
          <t>Individual Investor</t>
        </is>
      </c>
      <c r="J1103" s="18" t="inlineStr">
        <is>
          <t>www.stagee.com</t>
        </is>
      </c>
      <c r="K1103" s="19" t="inlineStr">
        <is>
          <t/>
        </is>
      </c>
      <c r="L1103" s="20" t="inlineStr">
        <is>
          <t/>
        </is>
      </c>
      <c r="M1103" s="21" t="inlineStr">
        <is>
          <t>Lior Maimon</t>
        </is>
      </c>
      <c r="N1103" s="22" t="inlineStr">
        <is>
          <t>Chief Executive Officer &amp; Co-Founder</t>
        </is>
      </c>
      <c r="O1103" s="23" t="inlineStr">
        <is>
          <t>lior@stagee.com</t>
        </is>
      </c>
      <c r="P1103" s="24" t="inlineStr">
        <is>
          <t/>
        </is>
      </c>
      <c r="Q1103" s="25" t="n">
        <v>2011.0</v>
      </c>
      <c r="R1103" s="113">
        <f>HYPERLINK("https://my.pitchbook.com?c=53405-20", "View company online")</f>
      </c>
    </row>
    <row r="1104">
      <c r="A1104" s="27" t="inlineStr">
        <is>
          <t>102983-32</t>
        </is>
      </c>
      <c r="B1104" s="28" t="inlineStr">
        <is>
          <t>Stage Stream</t>
        </is>
      </c>
      <c r="C1104" s="29" t="inlineStr">
        <is>
          <t/>
        </is>
      </c>
      <c r="D1104" s="30" t="inlineStr">
        <is>
          <t>Owner and operator of an online theatre video marketplace. The company allows audiences to browse theatrical content and makes plays and musicals commercially viable and globally accessible.</t>
        </is>
      </c>
      <c r="E1104" s="31" t="inlineStr">
        <is>
          <t>Entertainment Software</t>
        </is>
      </c>
      <c r="F1104" s="32" t="inlineStr">
        <is>
          <t>Los Angeles, CA</t>
        </is>
      </c>
      <c r="G1104" s="33" t="inlineStr">
        <is>
          <t>Privately Held (backing)</t>
        </is>
      </c>
      <c r="H1104" s="34" t="inlineStr">
        <is>
          <t>Accelerator/Incubator Backed</t>
        </is>
      </c>
      <c r="I1104" s="35" t="inlineStr">
        <is>
          <t>Wharton Venture Initiation Program</t>
        </is>
      </c>
      <c r="J1104" s="36" t="inlineStr">
        <is>
          <t>www.mystagestream.com</t>
        </is>
      </c>
      <c r="K1104" s="37" t="inlineStr">
        <is>
          <t>info@mystagestream.com</t>
        </is>
      </c>
      <c r="L1104" s="38" t="inlineStr">
        <is>
          <t/>
        </is>
      </c>
      <c r="M1104" s="39" t="inlineStr">
        <is>
          <t>Jeni Incontro</t>
        </is>
      </c>
      <c r="N1104" s="40" t="inlineStr">
        <is>
          <t>Founder &amp; Chief Executive Officer</t>
        </is>
      </c>
      <c r="O1104" s="41" t="inlineStr">
        <is>
          <t/>
        </is>
      </c>
      <c r="P1104" s="42" t="inlineStr">
        <is>
          <t/>
        </is>
      </c>
      <c r="Q1104" s="43" t="n">
        <v>2014.0</v>
      </c>
      <c r="R1104" s="114">
        <f>HYPERLINK("https://my.pitchbook.com?c=102983-32", "View company online")</f>
      </c>
    </row>
    <row r="1105">
      <c r="A1105" s="9" t="inlineStr">
        <is>
          <t>89774-38</t>
        </is>
      </c>
      <c r="B1105" s="10" t="inlineStr">
        <is>
          <t>Stage 32</t>
        </is>
      </c>
      <c r="C1105" s="85">
        <f>HYPERLINK("https://my.pitchbook.com?rrp=89774-38&amp;type=c", "This Company's information is not available to download. Need this Company? Request availability")</f>
      </c>
      <c r="D1105" s="12" t="inlineStr">
        <is>
          <t/>
        </is>
      </c>
      <c r="E1105" s="13" t="inlineStr">
        <is>
          <t/>
        </is>
      </c>
      <c r="F1105" s="14" t="inlineStr">
        <is>
          <t/>
        </is>
      </c>
      <c r="G1105" s="15" t="inlineStr">
        <is>
          <t/>
        </is>
      </c>
      <c r="H1105" s="16" t="inlineStr">
        <is>
          <t/>
        </is>
      </c>
      <c r="I1105" s="17" t="inlineStr">
        <is>
          <t/>
        </is>
      </c>
      <c r="J1105" s="18" t="inlineStr">
        <is>
          <t/>
        </is>
      </c>
      <c r="K1105" s="19" t="inlineStr">
        <is>
          <t/>
        </is>
      </c>
      <c r="L1105" s="20" t="inlineStr">
        <is>
          <t/>
        </is>
      </c>
      <c r="M1105" s="21" t="inlineStr">
        <is>
          <t/>
        </is>
      </c>
      <c r="N1105" s="22" t="inlineStr">
        <is>
          <t/>
        </is>
      </c>
      <c r="O1105" s="23" t="inlineStr">
        <is>
          <t/>
        </is>
      </c>
      <c r="P1105" s="24" t="inlineStr">
        <is>
          <t/>
        </is>
      </c>
      <c r="Q1105" s="25" t="inlineStr">
        <is>
          <t/>
        </is>
      </c>
      <c r="R1105" s="26" t="inlineStr">
        <is>
          <t/>
        </is>
      </c>
    </row>
    <row r="1106">
      <c r="A1106" s="27" t="inlineStr">
        <is>
          <t>121577-86</t>
        </is>
      </c>
      <c r="B1106" s="28" t="inlineStr">
        <is>
          <t>Stafr</t>
        </is>
      </c>
      <c r="C1106" s="29" t="inlineStr">
        <is>
          <t/>
        </is>
      </c>
      <c r="D1106" s="30" t="inlineStr">
        <is>
          <t>Developer of a platform to provide hiring services. The company helps businesses in hiring, managing and paying temporary staff.</t>
        </is>
      </c>
      <c r="E1106" s="31" t="inlineStr">
        <is>
          <t>Social/Platform Software</t>
        </is>
      </c>
      <c r="F1106" s="32" t="inlineStr">
        <is>
          <t>San Francisco, CA</t>
        </is>
      </c>
      <c r="G1106" s="33" t="inlineStr">
        <is>
          <t>Privately Held (backing)</t>
        </is>
      </c>
      <c r="H1106" s="34" t="inlineStr">
        <is>
          <t>Accelerator/Incubator Backed</t>
        </is>
      </c>
      <c r="I1106" s="35" t="inlineStr">
        <is>
          <t>Boomtown Accelerator, Sohin Shah, Steve Taylor</t>
        </is>
      </c>
      <c r="J1106" s="36" t="inlineStr">
        <is>
          <t>www.stafr.co</t>
        </is>
      </c>
      <c r="K1106" s="37" t="inlineStr">
        <is>
          <t/>
        </is>
      </c>
      <c r="L1106" s="38" t="inlineStr">
        <is>
          <t/>
        </is>
      </c>
      <c r="M1106" s="39" t="inlineStr">
        <is>
          <t>Paul King</t>
        </is>
      </c>
      <c r="N1106" s="40" t="inlineStr">
        <is>
          <t>Co-Founder &amp; Board Member</t>
        </is>
      </c>
      <c r="O1106" s="41" t="inlineStr">
        <is>
          <t/>
        </is>
      </c>
      <c r="P1106" s="42" t="inlineStr">
        <is>
          <t/>
        </is>
      </c>
      <c r="Q1106" s="43" t="inlineStr">
        <is>
          <t/>
        </is>
      </c>
      <c r="R1106" s="114">
        <f>HYPERLINK("https://my.pitchbook.com?c=121577-86", "View company online")</f>
      </c>
    </row>
    <row r="1107">
      <c r="A1107" s="9" t="inlineStr">
        <is>
          <t>86501-62</t>
        </is>
      </c>
      <c r="B1107" s="10" t="inlineStr">
        <is>
          <t>Staff'n</t>
        </is>
      </c>
      <c r="C1107" s="11" t="inlineStr">
        <is>
          <t>94306</t>
        </is>
      </c>
      <c r="D1107" s="12" t="inlineStr">
        <is>
          <t>Provider of a marketplace for top tier freelance business writers. The company matches business projects to qualified writers and facilitate easy online timelogs and payments. It enables discovery and hiring of top freelance writers.</t>
        </is>
      </c>
      <c r="E1107" s="13" t="inlineStr">
        <is>
          <t>Other Media</t>
        </is>
      </c>
      <c r="F1107" s="14" t="inlineStr">
        <is>
          <t>Palo Alto, CA</t>
        </is>
      </c>
      <c r="G1107" s="15" t="inlineStr">
        <is>
          <t>Privately Held (backing)</t>
        </is>
      </c>
      <c r="H1107" s="16" t="inlineStr">
        <is>
          <t>Accelerator/Incubator Backed</t>
        </is>
      </c>
      <c r="I1107" s="17" t="inlineStr">
        <is>
          <t>FFL Startup Accelerator, GV, Startup Labs</t>
        </is>
      </c>
      <c r="J1107" s="18" t="inlineStr">
        <is>
          <t>www.copywritercentral.com</t>
        </is>
      </c>
      <c r="K1107" s="19" t="inlineStr">
        <is>
          <t>hello@copywritercentral.com</t>
        </is>
      </c>
      <c r="L1107" s="20" t="inlineStr">
        <is>
          <t>+1 (650) 468-0804</t>
        </is>
      </c>
      <c r="M1107" s="21" t="inlineStr">
        <is>
          <t>Samantha Quist</t>
        </is>
      </c>
      <c r="N1107" s="22" t="inlineStr">
        <is>
          <t>Founder &amp; Chief Executive Officer</t>
        </is>
      </c>
      <c r="O1107" s="23" t="inlineStr">
        <is>
          <t>samantha@joinffl.com</t>
        </is>
      </c>
      <c r="P1107" s="24" t="inlineStr">
        <is>
          <t/>
        </is>
      </c>
      <c r="Q1107" s="25" t="n">
        <v>2012.0</v>
      </c>
      <c r="R1107" s="113">
        <f>HYPERLINK("https://my.pitchbook.com?c=86501-62", "View company online")</f>
      </c>
    </row>
    <row r="1108">
      <c r="A1108" s="27" t="inlineStr">
        <is>
          <t>63596-35</t>
        </is>
      </c>
      <c r="B1108" s="28" t="inlineStr">
        <is>
          <t>Staff Ranker</t>
        </is>
      </c>
      <c r="C1108" s="29" t="inlineStr">
        <is>
          <t>90277</t>
        </is>
      </c>
      <c r="D1108" s="30" t="inlineStr">
        <is>
          <t>Developer of performance management technologies. The company provides cloud-based performance management software to track, train and evaluate employees in the retail, hospitality and food service industries.</t>
        </is>
      </c>
      <c r="E1108" s="31" t="inlineStr">
        <is>
          <t>Business/Productivity Software</t>
        </is>
      </c>
      <c r="F1108" s="32" t="inlineStr">
        <is>
          <t>Redondo Beach, CA</t>
        </is>
      </c>
      <c r="G1108" s="33" t="inlineStr">
        <is>
          <t>Privately Held (backing)</t>
        </is>
      </c>
      <c r="H1108" s="34" t="inlineStr">
        <is>
          <t>Angel-Backed</t>
        </is>
      </c>
      <c r="I1108" s="35" t="inlineStr">
        <is>
          <t>Individual Investor, Pasadena Angels, Richard Chino, Wavemaker Partners</t>
        </is>
      </c>
      <c r="J1108" s="36" t="inlineStr">
        <is>
          <t>www.staffranker.com</t>
        </is>
      </c>
      <c r="K1108" s="37" t="inlineStr">
        <is>
          <t>contact@staffranker.com</t>
        </is>
      </c>
      <c r="L1108" s="38" t="inlineStr">
        <is>
          <t>+1 (424) 241-3435</t>
        </is>
      </c>
      <c r="M1108" s="39" t="inlineStr">
        <is>
          <t>George Collado</t>
        </is>
      </c>
      <c r="N1108" s="40" t="inlineStr">
        <is>
          <t>Co-Founder &amp; Chief Executive Officer</t>
        </is>
      </c>
      <c r="O1108" s="41" t="inlineStr">
        <is>
          <t>george@staffranker.com</t>
        </is>
      </c>
      <c r="P1108" s="42" t="inlineStr">
        <is>
          <t>+1 (424) 241-3435</t>
        </is>
      </c>
      <c r="Q1108" s="43" t="n">
        <v>2012.0</v>
      </c>
      <c r="R1108" s="114">
        <f>HYPERLINK("https://my.pitchbook.com?c=63596-35", "View company online")</f>
      </c>
    </row>
    <row r="1109">
      <c r="A1109" s="9" t="inlineStr">
        <is>
          <t>122291-47</t>
        </is>
      </c>
      <c r="B1109" s="10" t="inlineStr">
        <is>
          <t>Stadia</t>
        </is>
      </c>
      <c r="C1109" s="11" t="inlineStr">
        <is>
          <t/>
        </is>
      </c>
      <c r="D1109" s="12" t="inlineStr">
        <is>
          <t>Provider of an online sports management platform. The company offers a Web-based platform that enables users to officiate and administrate sports teams and entire leagues online.</t>
        </is>
      </c>
      <c r="E1109" s="13" t="inlineStr">
        <is>
          <t>Social/Platform Software</t>
        </is>
      </c>
      <c r="F1109" s="14" t="inlineStr">
        <is>
          <t>San Francisco, CA</t>
        </is>
      </c>
      <c r="G1109" s="15" t="inlineStr">
        <is>
          <t>Privately Held (backing)</t>
        </is>
      </c>
      <c r="H1109" s="16" t="inlineStr">
        <is>
          <t>Accelerator/Incubator Backed</t>
        </is>
      </c>
      <c r="I1109" s="17" t="inlineStr">
        <is>
          <t>Founder Institute</t>
        </is>
      </c>
      <c r="J1109" s="18" t="inlineStr">
        <is>
          <t/>
        </is>
      </c>
      <c r="K1109" s="19" t="inlineStr">
        <is>
          <t/>
        </is>
      </c>
      <c r="L1109" s="20" t="inlineStr">
        <is>
          <t/>
        </is>
      </c>
      <c r="M1109" s="21" t="inlineStr">
        <is>
          <t>Parveen Jagajeevan</t>
        </is>
      </c>
      <c r="N1109" s="22" t="inlineStr">
        <is>
          <t>Founder</t>
        </is>
      </c>
      <c r="O1109" s="23" t="inlineStr">
        <is>
          <t/>
        </is>
      </c>
      <c r="P1109" s="24" t="inlineStr">
        <is>
          <t/>
        </is>
      </c>
      <c r="Q1109" s="25" t="n">
        <v>2013.0</v>
      </c>
      <c r="R1109" s="113">
        <f>HYPERLINK("https://my.pitchbook.com?c=122291-47", "View company online")</f>
      </c>
    </row>
    <row r="1110">
      <c r="A1110" s="27" t="inlineStr">
        <is>
          <t>108545-23</t>
        </is>
      </c>
      <c r="B1110" s="28" t="inlineStr">
        <is>
          <t>StackRox</t>
        </is>
      </c>
      <c r="C1110" s="29" t="inlineStr">
        <is>
          <t>94040</t>
        </is>
      </c>
      <c r="D1110" s="30" t="inlineStr">
        <is>
          <t>Provider of a cloud computing platform providing cyber-security. The company offers a software that provides cyber security and cloud computing services for the enterprises.</t>
        </is>
      </c>
      <c r="E1110" s="31" t="inlineStr">
        <is>
          <t>Social/Platform Software</t>
        </is>
      </c>
      <c r="F1110" s="32" t="inlineStr">
        <is>
          <t>Mountain View, CA</t>
        </is>
      </c>
      <c r="G1110" s="33" t="inlineStr">
        <is>
          <t>Privately Held (backing)</t>
        </is>
      </c>
      <c r="H1110" s="34" t="inlineStr">
        <is>
          <t>Angel-Backed</t>
        </is>
      </c>
      <c r="I1110" s="35" t="inlineStr">
        <is>
          <t/>
        </is>
      </c>
      <c r="J1110" s="36" t="inlineStr">
        <is>
          <t>www.stackrox.com</t>
        </is>
      </c>
      <c r="K1110" s="37" t="inlineStr">
        <is>
          <t>info@stackrox.com</t>
        </is>
      </c>
      <c r="L1110" s="38" t="inlineStr">
        <is>
          <t/>
        </is>
      </c>
      <c r="M1110" s="39" t="inlineStr">
        <is>
          <t>Sameer Bhalotra</t>
        </is>
      </c>
      <c r="N1110" s="40" t="inlineStr">
        <is>
          <t>Co-Founder &amp; Chief Executive Officer</t>
        </is>
      </c>
      <c r="O1110" s="41" t="inlineStr">
        <is>
          <t>sameer@stackrox.com</t>
        </is>
      </c>
      <c r="P1110" s="42" t="inlineStr">
        <is>
          <t/>
        </is>
      </c>
      <c r="Q1110" s="43" t="n">
        <v>2014.0</v>
      </c>
      <c r="R1110" s="114">
        <f>HYPERLINK("https://my.pitchbook.com?c=108545-23", "View company online")</f>
      </c>
    </row>
    <row r="1111">
      <c r="A1111" s="9" t="inlineStr">
        <is>
          <t>172112-14</t>
        </is>
      </c>
      <c r="B1111" s="10" t="inlineStr">
        <is>
          <t>Stackmasters</t>
        </is>
      </c>
      <c r="C1111" s="11" t="inlineStr">
        <is>
          <t>94104</t>
        </is>
      </c>
      <c r="D1111" s="12" t="inlineStr">
        <is>
          <t>Provider of a cloud-based platform designed to deliver end-to-end services for growing businesses and enterprises. The company's platform offer a range of services that build end-to-end cloud infrastructures for customers and provides innovative cloud computing services, enabling clients to deal with migration, scale, availability and disaster recovery in the cloud.</t>
        </is>
      </c>
      <c r="E1111" s="13" t="inlineStr">
        <is>
          <t>Business/Productivity Software</t>
        </is>
      </c>
      <c r="F1111" s="14" t="inlineStr">
        <is>
          <t>San Francisco, CA</t>
        </is>
      </c>
      <c r="G1111" s="15" t="inlineStr">
        <is>
          <t>Privately Held (backing)</t>
        </is>
      </c>
      <c r="H1111" s="16" t="inlineStr">
        <is>
          <t>Accelerator/Incubator Backed</t>
        </is>
      </c>
      <c r="I1111" s="17" t="inlineStr">
        <is>
          <t>Starttech Ventures</t>
        </is>
      </c>
      <c r="J1111" s="18" t="inlineStr">
        <is>
          <t>www.stackmasters.eu</t>
        </is>
      </c>
      <c r="K1111" s="19" t="inlineStr">
        <is>
          <t>info@stackmasters.eu</t>
        </is>
      </c>
      <c r="L1111" s="20" t="inlineStr">
        <is>
          <t/>
        </is>
      </c>
      <c r="M1111" s="21" t="inlineStr">
        <is>
          <t>Constantine Rougeris</t>
        </is>
      </c>
      <c r="N1111" s="22" t="inlineStr">
        <is>
          <t>Co-Founder</t>
        </is>
      </c>
      <c r="O1111" s="23" t="inlineStr">
        <is>
          <t/>
        </is>
      </c>
      <c r="P1111" s="24" t="inlineStr">
        <is>
          <t/>
        </is>
      </c>
      <c r="Q1111" s="25" t="n">
        <v>2013.0</v>
      </c>
      <c r="R1111" s="113">
        <f>HYPERLINK("https://my.pitchbook.com?c=172112-14", "View company online")</f>
      </c>
    </row>
    <row r="1112">
      <c r="A1112" s="27" t="inlineStr">
        <is>
          <t>102920-86</t>
        </is>
      </c>
      <c r="B1112" s="28" t="inlineStr">
        <is>
          <t>Stack Labs</t>
        </is>
      </c>
      <c r="C1112" s="29" t="inlineStr">
        <is>
          <t>94026</t>
        </is>
      </c>
      <c r="D1112" s="30" t="inlineStr">
        <is>
          <t>Manufacturer of light bulbs with sensors for residential and commercial needs. The company provides real-time motion alert lighting with intuitive controls through smart devices.</t>
        </is>
      </c>
      <c r="E1112" s="31" t="inlineStr">
        <is>
          <t>Electronics (B2C)</t>
        </is>
      </c>
      <c r="F1112" s="32" t="inlineStr">
        <is>
          <t>Menlo Park, CA</t>
        </is>
      </c>
      <c r="G1112" s="33" t="inlineStr">
        <is>
          <t>Privately Held (backing)</t>
        </is>
      </c>
      <c r="H1112" s="34" t="inlineStr">
        <is>
          <t>Accelerator/Incubator Backed</t>
        </is>
      </c>
      <c r="I1112" s="35" t="inlineStr">
        <is>
          <t>Bipin Sahni, Plug and Play Tech Center</t>
        </is>
      </c>
      <c r="J1112" s="36" t="inlineStr">
        <is>
          <t>www.stacklighting.com</t>
        </is>
      </c>
      <c r="K1112" s="37" t="inlineStr">
        <is>
          <t>info@stacklighting.com</t>
        </is>
      </c>
      <c r="L1112" s="38" t="inlineStr">
        <is>
          <t>+1 (301) 379-0294</t>
        </is>
      </c>
      <c r="M1112" s="39" t="inlineStr">
        <is>
          <t>Jack McFarland</t>
        </is>
      </c>
      <c r="N1112" s="40" t="inlineStr">
        <is>
          <t>Chief Financial Officer</t>
        </is>
      </c>
      <c r="O1112" s="41" t="inlineStr">
        <is>
          <t>jack@stacklighting.com</t>
        </is>
      </c>
      <c r="P1112" s="42" t="inlineStr">
        <is>
          <t>+1 (301) 379-0294</t>
        </is>
      </c>
      <c r="Q1112" s="43" t="n">
        <v>2013.0</v>
      </c>
      <c r="R1112" s="114">
        <f>HYPERLINK("https://my.pitchbook.com?c=102920-86", "View company online")</f>
      </c>
    </row>
    <row r="1113">
      <c r="A1113" s="9" t="inlineStr">
        <is>
          <t>66260-53</t>
        </is>
      </c>
      <c r="B1113" s="10" t="inlineStr">
        <is>
          <t>SRS Acquiom</t>
        </is>
      </c>
      <c r="C1113" s="11" t="inlineStr">
        <is>
          <t>94111</t>
        </is>
      </c>
      <c r="D1113" s="12" t="inlineStr">
        <is>
          <t>Provider of shareholder representation, payments administration and escrow investment services to merger parties for managing post-closing activity in private merger and acquisition transactions. The company manages all post-closing matters, including working capital and purchase price adjustments, tax reviews, earnouts, the handling of claims, disputes and litigation, communications with participants, and management and distribution of escrow and expense funds.</t>
        </is>
      </c>
      <c r="E1113" s="13" t="inlineStr">
        <is>
          <t>Other Financial Services</t>
        </is>
      </c>
      <c r="F1113" s="14" t="inlineStr">
        <is>
          <t>San Francisco, CA</t>
        </is>
      </c>
      <c r="G1113" s="15" t="inlineStr">
        <is>
          <t>Privately Held (backing)</t>
        </is>
      </c>
      <c r="H1113" s="16" t="inlineStr">
        <is>
          <t>Angel-Backed</t>
        </is>
      </c>
      <c r="I1113" s="17" t="inlineStr">
        <is>
          <t/>
        </is>
      </c>
      <c r="J1113" s="18" t="inlineStr">
        <is>
          <t/>
        </is>
      </c>
      <c r="K1113" s="19" t="inlineStr">
        <is>
          <t>info@srsacquiom.com</t>
        </is>
      </c>
      <c r="L1113" s="20" t="inlineStr">
        <is>
          <t>+1 (415) 367-9400</t>
        </is>
      </c>
      <c r="M1113" s="21" t="inlineStr">
        <is>
          <t>Andrew Hyde</t>
        </is>
      </c>
      <c r="N1113" s="22" t="inlineStr">
        <is>
          <t>Chief Financial Officer</t>
        </is>
      </c>
      <c r="O1113" s="23" t="inlineStr">
        <is>
          <t>ahyde@srsacquiom.com</t>
        </is>
      </c>
      <c r="P1113" s="24" t="inlineStr">
        <is>
          <t>+1 (415) 367-9400</t>
        </is>
      </c>
      <c r="Q1113" s="25" t="n">
        <v>2013.0</v>
      </c>
      <c r="R1113" s="113">
        <f>HYPERLINK("https://my.pitchbook.com?c=66260-53", "View company online")</f>
      </c>
    </row>
    <row r="1114">
      <c r="A1114" s="27" t="inlineStr">
        <is>
          <t>90170-38</t>
        </is>
      </c>
      <c r="B1114" s="28" t="inlineStr">
        <is>
          <t>SRECTrade</t>
        </is>
      </c>
      <c r="C1114" s="29" t="inlineStr">
        <is>
          <t>94111</t>
        </is>
      </c>
      <c r="D1114" s="30" t="inlineStr">
        <is>
          <t>Provider of services related to the Solar Renewable Energy Certificate (SREC) markets. The company offers an online marketplace for the transactions, management and auctions of SRECs.</t>
        </is>
      </c>
      <c r="E1114" s="31" t="inlineStr">
        <is>
          <t>Other Energy Services</t>
        </is>
      </c>
      <c r="F1114" s="32" t="inlineStr">
        <is>
          <t>San Francisco, CA</t>
        </is>
      </c>
      <c r="G1114" s="33" t="inlineStr">
        <is>
          <t>Privately Held (backing)</t>
        </is>
      </c>
      <c r="H1114" s="34" t="inlineStr">
        <is>
          <t>Angel-Backed</t>
        </is>
      </c>
      <c r="I1114" s="35" t="inlineStr">
        <is>
          <t/>
        </is>
      </c>
      <c r="J1114" s="36" t="inlineStr">
        <is>
          <t>www.srectrade.com</t>
        </is>
      </c>
      <c r="K1114" s="37" t="inlineStr">
        <is>
          <t>clientservices@srectrade.com</t>
        </is>
      </c>
      <c r="L1114" s="38" t="inlineStr">
        <is>
          <t>+1 (415) 763-7732</t>
        </is>
      </c>
      <c r="M1114" s="39" t="inlineStr">
        <is>
          <t>Steven Eisenberg</t>
        </is>
      </c>
      <c r="N1114" s="40" t="inlineStr">
        <is>
          <t>Chief Executive Officer</t>
        </is>
      </c>
      <c r="O1114" s="41" t="inlineStr">
        <is>
          <t>steven.eisenberg@srectrade.com</t>
        </is>
      </c>
      <c r="P1114" s="42" t="inlineStr">
        <is>
          <t>+1 (415) 763-7732</t>
        </is>
      </c>
      <c r="Q1114" s="43" t="n">
        <v>2007.0</v>
      </c>
      <c r="R1114" s="114">
        <f>HYPERLINK("https://my.pitchbook.com?c=90170-38", "View company online")</f>
      </c>
    </row>
    <row r="1115">
      <c r="A1115" s="9" t="inlineStr">
        <is>
          <t>57455-20</t>
        </is>
      </c>
      <c r="B1115" s="10" t="inlineStr">
        <is>
          <t>SR11 La Pacifica</t>
        </is>
      </c>
      <c r="C1115" s="11" t="inlineStr">
        <is>
          <t>92075</t>
        </is>
      </c>
      <c r="D1115" s="12" t="inlineStr">
        <is>
          <t>The company is currently operating in Stealth mode.</t>
        </is>
      </c>
      <c r="E1115" s="13" t="inlineStr">
        <is>
          <t>Other Business Products and Services</t>
        </is>
      </c>
      <c r="F1115" s="14" t="inlineStr">
        <is>
          <t>Solana Beach, CA</t>
        </is>
      </c>
      <c r="G1115" s="15" t="inlineStr">
        <is>
          <t>Privately Held (backing)</t>
        </is>
      </c>
      <c r="H1115" s="16" t="inlineStr">
        <is>
          <t>Angel-Backed</t>
        </is>
      </c>
      <c r="I1115" s="17" t="inlineStr">
        <is>
          <t/>
        </is>
      </c>
      <c r="J1115" s="18" t="inlineStr">
        <is>
          <t/>
        </is>
      </c>
      <c r="K1115" s="19" t="inlineStr">
        <is>
          <t/>
        </is>
      </c>
      <c r="L1115" s="20" t="inlineStr">
        <is>
          <t>+1 (888) 946-1666</t>
        </is>
      </c>
      <c r="M1115" s="21" t="inlineStr">
        <is>
          <t>Adam Robinson</t>
        </is>
      </c>
      <c r="N1115" s="22" t="inlineStr">
        <is>
          <t>Manager</t>
        </is>
      </c>
      <c r="O1115" s="23" t="inlineStr">
        <is>
          <t/>
        </is>
      </c>
      <c r="P1115" s="24" t="inlineStr">
        <is>
          <t>+1 (888) 946-1666</t>
        </is>
      </c>
      <c r="Q1115" s="25" t="n">
        <v>2013.0</v>
      </c>
      <c r="R1115" s="113">
        <f>HYPERLINK("https://my.pitchbook.com?c=57455-20", "View company online")</f>
      </c>
    </row>
    <row r="1116">
      <c r="A1116" s="27" t="inlineStr">
        <is>
          <t>108872-29</t>
        </is>
      </c>
      <c r="B1116" s="28" t="inlineStr">
        <is>
          <t>SquishClip</t>
        </is>
      </c>
      <c r="C1116" s="29" t="inlineStr">
        <is>
          <t/>
        </is>
      </c>
      <c r="D1116" s="30" t="inlineStr">
        <is>
          <t>Developer of a collaborative social video application. The company helps in finding, sharing and engaging in video storytelling and collaborative conversations.</t>
        </is>
      </c>
      <c r="E1116" s="31" t="inlineStr">
        <is>
          <t>Application Software</t>
        </is>
      </c>
      <c r="F1116" s="32" t="inlineStr">
        <is>
          <t>San Francisco, CA</t>
        </is>
      </c>
      <c r="G1116" s="33" t="inlineStr">
        <is>
          <t>Privately Held (backing)</t>
        </is>
      </c>
      <c r="H1116" s="34" t="inlineStr">
        <is>
          <t>Angel-Backed</t>
        </is>
      </c>
      <c r="I1116" s="35" t="inlineStr">
        <is>
          <t>John Madsen, Julian Lin</t>
        </is>
      </c>
      <c r="J1116" s="36" t="inlineStr">
        <is>
          <t>www.squishclip.com</t>
        </is>
      </c>
      <c r="K1116" s="37" t="inlineStr">
        <is>
          <t/>
        </is>
      </c>
      <c r="L1116" s="38" t="inlineStr">
        <is>
          <t/>
        </is>
      </c>
      <c r="M1116" s="39" t="inlineStr">
        <is>
          <t>Greg Welch</t>
        </is>
      </c>
      <c r="N1116" s="40" t="inlineStr">
        <is>
          <t>Co-Founder, President &amp; Chief Executive Officer</t>
        </is>
      </c>
      <c r="O1116" s="41" t="inlineStr">
        <is>
          <t/>
        </is>
      </c>
      <c r="P1116" s="42" t="inlineStr">
        <is>
          <t>+1 (310) 806-4777</t>
        </is>
      </c>
      <c r="Q1116" s="43" t="n">
        <v>2014.0</v>
      </c>
      <c r="R1116" s="114">
        <f>HYPERLINK("https://my.pitchbook.com?c=108872-29", "View company online")</f>
      </c>
    </row>
    <row r="1117">
      <c r="A1117" s="9" t="inlineStr">
        <is>
          <t>66039-94</t>
        </is>
      </c>
      <c r="B1117" s="10" t="inlineStr">
        <is>
          <t>Squawkin</t>
        </is>
      </c>
      <c r="C1117" s="11" t="inlineStr">
        <is>
          <t>91105</t>
        </is>
      </c>
      <c r="D1117" s="12" t="inlineStr">
        <is>
          <t>Provider of a social communication platform. The company allows the users to securely speak the mind through the combination of live audio streaming, photos, text plus location information.</t>
        </is>
      </c>
      <c r="E1117" s="13" t="inlineStr">
        <is>
          <t>Entertainment Software</t>
        </is>
      </c>
      <c r="F1117" s="14" t="inlineStr">
        <is>
          <t>Pasadena, CA</t>
        </is>
      </c>
      <c r="G1117" s="15" t="inlineStr">
        <is>
          <t>Privately Held (backing)</t>
        </is>
      </c>
      <c r="H1117" s="16" t="inlineStr">
        <is>
          <t>Angel-Backed</t>
        </is>
      </c>
      <c r="I1117" s="17" t="inlineStr">
        <is>
          <t/>
        </is>
      </c>
      <c r="J1117" s="18" t="inlineStr">
        <is>
          <t>www.squawkin.com</t>
        </is>
      </c>
      <c r="K1117" s="19" t="inlineStr">
        <is>
          <t/>
        </is>
      </c>
      <c r="L1117" s="20" t="inlineStr">
        <is>
          <t/>
        </is>
      </c>
      <c r="M1117" s="21" t="inlineStr">
        <is>
          <t>Nishith Bhatt</t>
        </is>
      </c>
      <c r="N1117" s="22" t="inlineStr">
        <is>
          <t>Chief Marketing Officer</t>
        </is>
      </c>
      <c r="O1117" s="23" t="inlineStr">
        <is>
          <t>nishith@squawkin.com</t>
        </is>
      </c>
      <c r="P1117" s="24" t="inlineStr">
        <is>
          <t/>
        </is>
      </c>
      <c r="Q1117" s="25" t="n">
        <v>2010.0</v>
      </c>
      <c r="R1117" s="113">
        <f>HYPERLINK("https://my.pitchbook.com?c=66039-94", "View company online")</f>
      </c>
    </row>
    <row r="1118">
      <c r="A1118" s="27" t="inlineStr">
        <is>
          <t>154979-02</t>
        </is>
      </c>
      <c r="B1118" s="28" t="inlineStr">
        <is>
          <t>Squareggs</t>
        </is>
      </c>
      <c r="C1118" s="29" t="inlineStr">
        <is>
          <t>94501</t>
        </is>
      </c>
      <c r="D1118" s="30" t="inlineStr">
        <is>
          <t>Provider of an online platform for bakery products delivery. The company provides an online platform which offers users to avail bakery products such as breads delivered to their home and connect local bakers to consumers.</t>
        </is>
      </c>
      <c r="E1118" s="31" t="inlineStr">
        <is>
          <t>Food Products</t>
        </is>
      </c>
      <c r="F1118" s="32" t="inlineStr">
        <is>
          <t>Alameda, CA</t>
        </is>
      </c>
      <c r="G1118" s="33" t="inlineStr">
        <is>
          <t>Privately Held (backing)</t>
        </is>
      </c>
      <c r="H1118" s="34" t="inlineStr">
        <is>
          <t>Accelerator/Incubator Backed</t>
        </is>
      </c>
      <c r="I1118" s="35" t="inlineStr">
        <is>
          <t>Plug and Play Tech Center</t>
        </is>
      </c>
      <c r="J1118" s="36" t="inlineStr">
        <is>
          <t>www.squareggs.com</t>
        </is>
      </c>
      <c r="K1118" s="37" t="inlineStr">
        <is>
          <t>info@squareggs.com</t>
        </is>
      </c>
      <c r="L1118" s="38" t="inlineStr">
        <is>
          <t>+1 (888) 765-4312</t>
        </is>
      </c>
      <c r="M1118" s="39" t="inlineStr">
        <is>
          <t>Srikanth Mangayyagari</t>
        </is>
      </c>
      <c r="N1118" s="40" t="inlineStr">
        <is>
          <t>Co-Founder &amp; Chief Executive Officer</t>
        </is>
      </c>
      <c r="O1118" s="41" t="inlineStr">
        <is>
          <t/>
        </is>
      </c>
      <c r="P1118" s="42" t="inlineStr">
        <is>
          <t>+1 (888) 765-4312</t>
        </is>
      </c>
      <c r="Q1118" s="43" t="n">
        <v>2015.0</v>
      </c>
      <c r="R1118" s="114">
        <f>HYPERLINK("https://my.pitchbook.com?c=154979-02", "View company online")</f>
      </c>
    </row>
    <row r="1119">
      <c r="A1119" s="9" t="inlineStr">
        <is>
          <t>58415-86</t>
        </is>
      </c>
      <c r="B1119" s="10" t="inlineStr">
        <is>
          <t>SquaredOut</t>
        </is>
      </c>
      <c r="C1119" s="11" t="inlineStr">
        <is>
          <t>92626</t>
        </is>
      </c>
      <c r="D1119" s="12" t="inlineStr">
        <is>
          <t>Provider of a social calendaring service for event management. The company develops an online event-driven social calendaring service that allows people and groups of all kinds such as students, businesses and organizations to broadcast their upcoming events and activities through a calendar interface by adding event widgets and distributing across different networks.</t>
        </is>
      </c>
      <c r="E1119" s="13" t="inlineStr">
        <is>
          <t>Application Software</t>
        </is>
      </c>
      <c r="F1119" s="14" t="inlineStr">
        <is>
          <t>Costa Mesa, CA</t>
        </is>
      </c>
      <c r="G1119" s="15" t="inlineStr">
        <is>
          <t>Privately Held (backing)</t>
        </is>
      </c>
      <c r="H1119" s="16" t="inlineStr">
        <is>
          <t>Angel-Backed</t>
        </is>
      </c>
      <c r="I1119" s="17" t="inlineStr">
        <is>
          <t/>
        </is>
      </c>
      <c r="J1119" s="18" t="inlineStr">
        <is>
          <t>www.squaredout.com</t>
        </is>
      </c>
      <c r="K1119" s="19" t="inlineStr">
        <is>
          <t>feedback@squaredout.com</t>
        </is>
      </c>
      <c r="L1119" s="20" t="inlineStr">
        <is>
          <t>+1 (714) 668-0262</t>
        </is>
      </c>
      <c r="M1119" s="21" t="inlineStr">
        <is>
          <t>Robert Rodrigues</t>
        </is>
      </c>
      <c r="N1119" s="22" t="inlineStr">
        <is>
          <t>Chief Executive Officer &amp; Co-Founder</t>
        </is>
      </c>
      <c r="O1119" s="23" t="inlineStr">
        <is>
          <t/>
        </is>
      </c>
      <c r="P1119" s="24" t="inlineStr">
        <is>
          <t>+1 (714) 668-0262</t>
        </is>
      </c>
      <c r="Q1119" s="25" t="n">
        <v>2011.0</v>
      </c>
      <c r="R1119" s="113">
        <f>HYPERLINK("https://my.pitchbook.com?c=58415-86", "View company online")</f>
      </c>
    </row>
    <row r="1120">
      <c r="A1120" s="27" t="inlineStr">
        <is>
          <t>110875-42</t>
        </is>
      </c>
      <c r="B1120" s="28" t="inlineStr">
        <is>
          <t>Squamtech</t>
        </is>
      </c>
      <c r="C1120" s="29" t="inlineStr">
        <is>
          <t>94107</t>
        </is>
      </c>
      <c r="D1120" s="30" t="inlineStr">
        <is>
          <t>Developer of a crowd-sourced logistics and on-demand logistics application. The company allows users to find local businesses nearby that will accept delivery of packages and ship packages on their behalf.</t>
        </is>
      </c>
      <c r="E1120" s="31" t="inlineStr">
        <is>
          <t>Logistics</t>
        </is>
      </c>
      <c r="F1120" s="32" t="inlineStr">
        <is>
          <t>San Francisco, CA</t>
        </is>
      </c>
      <c r="G1120" s="33" t="inlineStr">
        <is>
          <t>Privately Held (backing)</t>
        </is>
      </c>
      <c r="H1120" s="34" t="inlineStr">
        <is>
          <t>Angel-Backed</t>
        </is>
      </c>
      <c r="I1120" s="35" t="inlineStr">
        <is>
          <t/>
        </is>
      </c>
      <c r="J1120" s="36" t="inlineStr">
        <is>
          <t>www.shiploop.com</t>
        </is>
      </c>
      <c r="K1120" s="37" t="inlineStr">
        <is>
          <t>info@shiploop.com</t>
        </is>
      </c>
      <c r="L1120" s="38" t="inlineStr">
        <is>
          <t>+1 (415) 867-8300</t>
        </is>
      </c>
      <c r="M1120" s="39" t="inlineStr">
        <is>
          <t>Marco Buhlmann</t>
        </is>
      </c>
      <c r="N1120" s="40" t="inlineStr">
        <is>
          <t>Co-Founder, Board Member &amp; Executive Officer</t>
        </is>
      </c>
      <c r="O1120" s="41" t="inlineStr">
        <is>
          <t>marco.buhlmann@tame.it</t>
        </is>
      </c>
      <c r="P1120" s="42" t="inlineStr">
        <is>
          <t/>
        </is>
      </c>
      <c r="Q1120" s="43" t="n">
        <v>2015.0</v>
      </c>
      <c r="R1120" s="114">
        <f>HYPERLINK("https://my.pitchbook.com?c=110875-42", "View company online")</f>
      </c>
    </row>
    <row r="1121">
      <c r="A1121" s="9" t="inlineStr">
        <is>
          <t>58971-25</t>
        </is>
      </c>
      <c r="B1121" s="10" t="inlineStr">
        <is>
          <t>SquadUP</t>
        </is>
      </c>
      <c r="C1121" s="11" t="inlineStr">
        <is>
          <t>90404</t>
        </is>
      </c>
      <c r="D1121" s="12" t="inlineStr">
        <is>
          <t>Developer of an event management platform. The company's software allows event planners to host events ranging from bar b ques to poker nights and group dinners for their customers.</t>
        </is>
      </c>
      <c r="E1121" s="13" t="inlineStr">
        <is>
          <t>Other Services (B2C Non-Financial)</t>
        </is>
      </c>
      <c r="F1121" s="14" t="inlineStr">
        <is>
          <t>Santa Monica, CA</t>
        </is>
      </c>
      <c r="G1121" s="15" t="inlineStr">
        <is>
          <t>Privately Held (backing)</t>
        </is>
      </c>
      <c r="H1121" s="16" t="inlineStr">
        <is>
          <t>Accelerator/Incubator Backed</t>
        </is>
      </c>
      <c r="I1121" s="17" t="inlineStr">
        <is>
          <t>AlleyNYC</t>
        </is>
      </c>
      <c r="J1121" s="18" t="inlineStr">
        <is>
          <t>www.squadup.com</t>
        </is>
      </c>
      <c r="K1121" s="19" t="inlineStr">
        <is>
          <t>support@squadup.com</t>
        </is>
      </c>
      <c r="L1121" s="20" t="inlineStr">
        <is>
          <t>+1 (800) 210-0689</t>
        </is>
      </c>
      <c r="M1121" s="21" t="inlineStr">
        <is>
          <t>William Litvack</t>
        </is>
      </c>
      <c r="N1121" s="22" t="inlineStr">
        <is>
          <t>Co-Founder, President, Board Member &amp; Chief Executive Officer</t>
        </is>
      </c>
      <c r="O1121" s="23" t="inlineStr">
        <is>
          <t>william@squadup.com</t>
        </is>
      </c>
      <c r="P1121" s="24" t="inlineStr">
        <is>
          <t>+1 (212) 687-2500</t>
        </is>
      </c>
      <c r="Q1121" s="25" t="n">
        <v>2010.0</v>
      </c>
      <c r="R1121" s="113">
        <f>HYPERLINK("https://my.pitchbook.com?c=58971-25", "View company online")</f>
      </c>
    </row>
    <row r="1122">
      <c r="A1122" s="27" t="inlineStr">
        <is>
          <t>107977-69</t>
        </is>
      </c>
      <c r="B1122" s="28" t="inlineStr">
        <is>
          <t>Squadrone System</t>
        </is>
      </c>
      <c r="C1122" s="29" t="inlineStr">
        <is>
          <t>94304</t>
        </is>
      </c>
      <c r="D1122" s="30" t="inlineStr">
        <is>
          <t>Manufacturer of an autonomous drone for aerial filming. The company manufactures an autonomous drone with a camera that follows its users and films autonomously.</t>
        </is>
      </c>
      <c r="E1122" s="31" t="inlineStr">
        <is>
          <t>Aerospace and Defense</t>
        </is>
      </c>
      <c r="F1122" s="32" t="inlineStr">
        <is>
          <t>Palo Alto, CA</t>
        </is>
      </c>
      <c r="G1122" s="33" t="inlineStr">
        <is>
          <t>Privately Held (backing)</t>
        </is>
      </c>
      <c r="H1122" s="34" t="inlineStr">
        <is>
          <t>Accelerator/Incubator Backed</t>
        </is>
      </c>
      <c r="I1122" s="35" t="inlineStr">
        <is>
          <t>Living Water Investment, Startup Maker</t>
        </is>
      </c>
      <c r="J1122" s="36" t="inlineStr">
        <is>
          <t>www.hexoplus.com</t>
        </is>
      </c>
      <c r="K1122" s="37" t="inlineStr">
        <is>
          <t>contact@hexoplus.com</t>
        </is>
      </c>
      <c r="L1122" s="38" t="inlineStr">
        <is>
          <t/>
        </is>
      </c>
      <c r="M1122" s="39" t="inlineStr">
        <is>
          <t>Antoine Level</t>
        </is>
      </c>
      <c r="N1122" s="40" t="inlineStr">
        <is>
          <t>Chief Executive Officer &amp; Co-Founder</t>
        </is>
      </c>
      <c r="O1122" s="41" t="inlineStr">
        <is>
          <t>antoine.level@hexoplus.com</t>
        </is>
      </c>
      <c r="P1122" s="42" t="inlineStr">
        <is>
          <t/>
        </is>
      </c>
      <c r="Q1122" s="43" t="n">
        <v>2014.0</v>
      </c>
      <c r="R1122" s="114">
        <f>HYPERLINK("https://my.pitchbook.com?c=107977-69", "View company online")</f>
      </c>
    </row>
    <row r="1123">
      <c r="A1123" s="9" t="inlineStr">
        <is>
          <t>95323-60</t>
        </is>
      </c>
      <c r="B1123" s="10" t="inlineStr">
        <is>
          <t>Sqeeqee</t>
        </is>
      </c>
      <c r="C1123" s="11" t="inlineStr">
        <is>
          <t/>
        </is>
      </c>
      <c r="D1123" s="12" t="inlineStr">
        <is>
          <t>Developer of a social commerce platform. The company's software allows users to monetize and generate ad revenues from their individual and professional profiles online.</t>
        </is>
      </c>
      <c r="E1123" s="13" t="inlineStr">
        <is>
          <t>Social/Platform Software</t>
        </is>
      </c>
      <c r="F1123" s="14" t="inlineStr">
        <is>
          <t>Irvine, CA</t>
        </is>
      </c>
      <c r="G1123" s="15" t="inlineStr">
        <is>
          <t>Privately Held (backing)</t>
        </is>
      </c>
      <c r="H1123" s="16" t="inlineStr">
        <is>
          <t>Angel-Backed</t>
        </is>
      </c>
      <c r="I1123" s="17" t="inlineStr">
        <is>
          <t/>
        </is>
      </c>
      <c r="J1123" s="18" t="inlineStr">
        <is>
          <t>www.sqeeqee.com</t>
        </is>
      </c>
      <c r="K1123" s="19" t="inlineStr">
        <is>
          <t>info@sqeeqee.us</t>
        </is>
      </c>
      <c r="L1123" s="20" t="inlineStr">
        <is>
          <t/>
        </is>
      </c>
      <c r="M1123" s="21" t="inlineStr">
        <is>
          <t>Jenny Ta</t>
        </is>
      </c>
      <c r="N1123" s="22" t="inlineStr">
        <is>
          <t>Founder &amp; Chief Executive Officer</t>
        </is>
      </c>
      <c r="O1123" s="23" t="inlineStr">
        <is>
          <t>jenny.ta@sqeeqee.com</t>
        </is>
      </c>
      <c r="P1123" s="24" t="inlineStr">
        <is>
          <t/>
        </is>
      </c>
      <c r="Q1123" s="25" t="n">
        <v>2012.0</v>
      </c>
      <c r="R1123" s="113">
        <f>HYPERLINK("https://my.pitchbook.com?c=95323-60", "View company online")</f>
      </c>
    </row>
    <row r="1124">
      <c r="A1124" s="27" t="inlineStr">
        <is>
          <t>96751-99</t>
        </is>
      </c>
      <c r="B1124" s="28" t="inlineStr">
        <is>
          <t>Spyra</t>
        </is>
      </c>
      <c r="C1124" s="29" t="inlineStr">
        <is>
          <t/>
        </is>
      </c>
      <c r="D1124" s="30" t="inlineStr">
        <is>
          <t>Developer of social strategy games for mobile devices. The company is a mobile gaming studio that creates social strategy games for iPhone, iPad and Android.</t>
        </is>
      </c>
      <c r="E1124" s="31" t="inlineStr">
        <is>
          <t>Application Software</t>
        </is>
      </c>
      <c r="F1124" s="32" t="inlineStr">
        <is>
          <t>San Francisco, CA</t>
        </is>
      </c>
      <c r="G1124" s="33" t="inlineStr">
        <is>
          <t>Privately Held (backing)</t>
        </is>
      </c>
      <c r="H1124" s="34" t="inlineStr">
        <is>
          <t>Accelerator/Incubator Backed</t>
        </is>
      </c>
      <c r="I1124" s="35" t="inlineStr">
        <is>
          <t>Plug and Play Tech Center</t>
        </is>
      </c>
      <c r="J1124" s="36" t="inlineStr">
        <is>
          <t>www.spyragames.com</t>
        </is>
      </c>
      <c r="K1124" s="37" t="inlineStr">
        <is>
          <t>contactusline@gmail.com</t>
        </is>
      </c>
      <c r="L1124" s="38" t="inlineStr">
        <is>
          <t/>
        </is>
      </c>
      <c r="M1124" s="39" t="inlineStr">
        <is>
          <t>Asha Servia</t>
        </is>
      </c>
      <c r="N1124" s="40" t="inlineStr">
        <is>
          <t>Co-Founder, Creative Director &amp; Executive Producer</t>
        </is>
      </c>
      <c r="O1124" s="41" t="inlineStr">
        <is>
          <t/>
        </is>
      </c>
      <c r="P1124" s="42" t="inlineStr">
        <is>
          <t/>
        </is>
      </c>
      <c r="Q1124" s="43" t="n">
        <v>2011.0</v>
      </c>
      <c r="R1124" s="114">
        <f>HYPERLINK("https://my.pitchbook.com?c=96751-99", "View company online")</f>
      </c>
    </row>
    <row r="1125">
      <c r="A1125" s="9" t="inlineStr">
        <is>
          <t>163506-79</t>
        </is>
      </c>
      <c r="B1125" s="10" t="inlineStr">
        <is>
          <t>Spycob</t>
        </is>
      </c>
      <c r="C1125" s="11" t="inlineStr">
        <is>
          <t/>
        </is>
      </c>
      <c r="D1125" s="12" t="inlineStr">
        <is>
          <t>Provider of an online platform for fashion product deals. The company's platform offers big data research for helping sellers research fashion products for resale and increase their revenue.</t>
        </is>
      </c>
      <c r="E1125" s="13" t="inlineStr">
        <is>
          <t>Social/Platform Software</t>
        </is>
      </c>
      <c r="F1125" s="14" t="inlineStr">
        <is>
          <t>San Francisco, CA</t>
        </is>
      </c>
      <c r="G1125" s="15" t="inlineStr">
        <is>
          <t>Privately Held (backing)</t>
        </is>
      </c>
      <c r="H1125" s="16" t="inlineStr">
        <is>
          <t>Angel-Backed</t>
        </is>
      </c>
      <c r="I1125" s="17" t="inlineStr">
        <is>
          <t>Faster Capital</t>
        </is>
      </c>
      <c r="J1125" s="18" t="inlineStr">
        <is>
          <t>www.spycob.com</t>
        </is>
      </c>
      <c r="K1125" s="19" t="inlineStr">
        <is>
          <t/>
        </is>
      </c>
      <c r="L1125" s="20" t="inlineStr">
        <is>
          <t/>
        </is>
      </c>
      <c r="M1125" s="21" t="inlineStr">
        <is>
          <t>Maria Frolova</t>
        </is>
      </c>
      <c r="N1125" s="22" t="inlineStr">
        <is>
          <t>Chief Financial Officer &amp; BDO</t>
        </is>
      </c>
      <c r="O1125" s="23" t="inlineStr">
        <is>
          <t/>
        </is>
      </c>
      <c r="P1125" s="24" t="inlineStr">
        <is>
          <t/>
        </is>
      </c>
      <c r="Q1125" s="25" t="n">
        <v>2014.0</v>
      </c>
      <c r="R1125" s="113">
        <f>HYPERLINK("https://my.pitchbook.com?c=163506-79", "View company online")</f>
      </c>
    </row>
    <row r="1126">
      <c r="A1126" s="27" t="inlineStr">
        <is>
          <t>55615-69</t>
        </is>
      </c>
      <c r="B1126" s="28" t="inlineStr">
        <is>
          <t>Spruce Media</t>
        </is>
      </c>
      <c r="C1126" s="29" t="inlineStr">
        <is>
          <t>94107</t>
        </is>
      </c>
      <c r="D1126" s="30" t="inlineStr">
        <is>
          <t>Developer of marketing technology specifically for Facebook. The company's marketing technology integrates ad creation, bid management, analytics, and reporting into one interface, which can be licensed or coupled with managed services.</t>
        </is>
      </c>
      <c r="E1126" s="31" t="inlineStr">
        <is>
          <t>Media and Information Services (B2B)</t>
        </is>
      </c>
      <c r="F1126" s="32" t="inlineStr">
        <is>
          <t>San Francisco, CA</t>
        </is>
      </c>
      <c r="G1126" s="33" t="inlineStr">
        <is>
          <t>Privately Held (backing)</t>
        </is>
      </c>
      <c r="H1126" s="34" t="inlineStr">
        <is>
          <t>Angel-Backed</t>
        </is>
      </c>
      <c r="I1126" s="35" t="inlineStr">
        <is>
          <t>Joseph Zawadzki, QED Investors, Shervin Pishevar, Westwood Ventures</t>
        </is>
      </c>
      <c r="J1126" s="36" t="inlineStr">
        <is>
          <t>sprucemedia.com</t>
        </is>
      </c>
      <c r="K1126" s="37" t="inlineStr">
        <is>
          <t/>
        </is>
      </c>
      <c r="L1126" s="38" t="inlineStr">
        <is>
          <t/>
        </is>
      </c>
      <c r="M1126" s="39" t="inlineStr">
        <is>
          <t>Rob Jewell</t>
        </is>
      </c>
      <c r="N1126" s="40" t="inlineStr">
        <is>
          <t>Chief Executive Officer &amp; Founder</t>
        </is>
      </c>
      <c r="O1126" s="41" t="inlineStr">
        <is>
          <t/>
        </is>
      </c>
      <c r="P1126" s="42" t="inlineStr">
        <is>
          <t/>
        </is>
      </c>
      <c r="Q1126" s="43" t="n">
        <v>2008.0</v>
      </c>
      <c r="R1126" s="114">
        <f>HYPERLINK("https://my.pitchbook.com?c=55615-69", "View company online")</f>
      </c>
    </row>
    <row r="1127">
      <c r="A1127" s="9" t="inlineStr">
        <is>
          <t>123889-33</t>
        </is>
      </c>
      <c r="B1127" s="10" t="inlineStr">
        <is>
          <t>Sprokit</t>
        </is>
      </c>
      <c r="C1127" s="11" t="inlineStr">
        <is>
          <t>94110</t>
        </is>
      </c>
      <c r="D1127" s="12" t="inlineStr">
        <is>
          <t>Provider of a prisoner rehabilitation platform. The company offers a prisoner rehabilitation platform by managing prisoner communication, helping probation/parole officers with location abilities and helping in lowering recidivism.</t>
        </is>
      </c>
      <c r="E1127" s="13" t="inlineStr">
        <is>
          <t>Social/Platform Software</t>
        </is>
      </c>
      <c r="F1127" s="14" t="inlineStr">
        <is>
          <t>San Francisco, CA</t>
        </is>
      </c>
      <c r="G1127" s="15" t="inlineStr">
        <is>
          <t>Privately Held (backing)</t>
        </is>
      </c>
      <c r="H1127" s="16" t="inlineStr">
        <is>
          <t>Accelerator/Incubator Backed</t>
        </is>
      </c>
      <c r="I1127" s="17" t="inlineStr">
        <is>
          <t>Ben Jealous, Tumml</t>
        </is>
      </c>
      <c r="J1127" s="18" t="inlineStr">
        <is>
          <t>www.sprokit.net</t>
        </is>
      </c>
      <c r="K1127" s="19" t="inlineStr">
        <is>
          <t/>
        </is>
      </c>
      <c r="L1127" s="20" t="inlineStr">
        <is>
          <t/>
        </is>
      </c>
      <c r="M1127" s="21" t="inlineStr">
        <is>
          <t>Joe Kwong</t>
        </is>
      </c>
      <c r="N1127" s="22" t="inlineStr">
        <is>
          <t>Co-Founder &amp; Chief Executive Officer</t>
        </is>
      </c>
      <c r="O1127" s="23" t="inlineStr">
        <is>
          <t>joe.kwong@sprokit.net</t>
        </is>
      </c>
      <c r="P1127" s="24" t="inlineStr">
        <is>
          <t/>
        </is>
      </c>
      <c r="Q1127" s="25" t="n">
        <v>2015.0</v>
      </c>
      <c r="R1127" s="113">
        <f>HYPERLINK("https://my.pitchbook.com?c=123889-33", "View company online")</f>
      </c>
    </row>
    <row r="1128">
      <c r="A1128" s="27" t="inlineStr">
        <is>
          <t>161275-24</t>
        </is>
      </c>
      <c r="B1128" s="28" t="inlineStr">
        <is>
          <t>Spritzr</t>
        </is>
      </c>
      <c r="C1128" s="29" t="inlineStr">
        <is>
          <t>92008</t>
        </is>
      </c>
      <c r="D1128" s="30" t="inlineStr">
        <is>
          <t>Developer of a matchmaking application. The company's application allows users in a relationship to act as matchmaker and help their friends in finding a date.</t>
        </is>
      </c>
      <c r="E1128" s="31" t="inlineStr">
        <is>
          <t>Application Software</t>
        </is>
      </c>
      <c r="F1128" s="32" t="inlineStr">
        <is>
          <t>Carlsbad, CA</t>
        </is>
      </c>
      <c r="G1128" s="33" t="inlineStr">
        <is>
          <t>Privately Held (backing)</t>
        </is>
      </c>
      <c r="H1128" s="34" t="inlineStr">
        <is>
          <t>Angel-Backed</t>
        </is>
      </c>
      <c r="I1128" s="35" t="inlineStr">
        <is>
          <t>Brian Goodall, Denise Gitsham, Jeff Griffor, Mario Lazzaroni, Olin Hyde, Sanjit Singh</t>
        </is>
      </c>
      <c r="J1128" s="36" t="inlineStr">
        <is>
          <t>www.spritzr.com</t>
        </is>
      </c>
      <c r="K1128" s="37" t="inlineStr">
        <is>
          <t>smile@spritzr.com</t>
        </is>
      </c>
      <c r="L1128" s="38" t="inlineStr">
        <is>
          <t>+1 (917) 690-7293</t>
        </is>
      </c>
      <c r="M1128" s="39" t="inlineStr">
        <is>
          <t>Himanshu Agarwal</t>
        </is>
      </c>
      <c r="N1128" s="40" t="inlineStr">
        <is>
          <t>Co-Founder, Board Member, President &amp; Chief Executive Officer</t>
        </is>
      </c>
      <c r="O1128" s="41" t="inlineStr">
        <is>
          <t>manshu@spritzr.com</t>
        </is>
      </c>
      <c r="P1128" s="42" t="inlineStr">
        <is>
          <t>+1 (917) 690-7293</t>
        </is>
      </c>
      <c r="Q1128" s="43" t="n">
        <v>2012.0</v>
      </c>
      <c r="R1128" s="114">
        <f>HYPERLINK("https://my.pitchbook.com?c=161275-24", "View company online")</f>
      </c>
    </row>
    <row r="1129">
      <c r="A1129" s="9" t="inlineStr">
        <is>
          <t>118308-52</t>
        </is>
      </c>
      <c r="B1129" s="10" t="inlineStr">
        <is>
          <t>SprintRay</t>
        </is>
      </c>
      <c r="C1129" s="11" t="inlineStr">
        <is>
          <t>90015</t>
        </is>
      </c>
      <c r="D1129" s="12" t="inlineStr">
        <is>
          <t>Manufacturer of 3D printers and software. The company manufactures 3D printer which uses UV digital light processing technology for printing. It also offers printing materials and develops a software for 3d printing.</t>
        </is>
      </c>
      <c r="E1129" s="13" t="inlineStr">
        <is>
          <t>Electronics (B2C)</t>
        </is>
      </c>
      <c r="F1129" s="14" t="inlineStr">
        <is>
          <t>Los Angeles, CA</t>
        </is>
      </c>
      <c r="G1129" s="15" t="inlineStr">
        <is>
          <t>Privately Held (backing)</t>
        </is>
      </c>
      <c r="H1129" s="16" t="inlineStr">
        <is>
          <t>Angel-Backed</t>
        </is>
      </c>
      <c r="I1129" s="17" t="inlineStr">
        <is>
          <t/>
        </is>
      </c>
      <c r="J1129" s="18" t="inlineStr">
        <is>
          <t>www.sprintray.com</t>
        </is>
      </c>
      <c r="K1129" s="19" t="inlineStr">
        <is>
          <t>info@sprintray.us</t>
        </is>
      </c>
      <c r="L1129" s="20" t="inlineStr">
        <is>
          <t>+1 (800) 914-8004</t>
        </is>
      </c>
      <c r="M1129" s="21" t="inlineStr">
        <is>
          <t>Amir Mansouri</t>
        </is>
      </c>
      <c r="N1129" s="22" t="inlineStr">
        <is>
          <t>Co-Founder, Engineer &amp; Co-Chief Executive Officer</t>
        </is>
      </c>
      <c r="O1129" s="23" t="inlineStr">
        <is>
          <t>amir@sprintray.us</t>
        </is>
      </c>
      <c r="P1129" s="24" t="inlineStr">
        <is>
          <t>+1 (213) 479-7322</t>
        </is>
      </c>
      <c r="Q1129" s="25" t="n">
        <v>2013.0</v>
      </c>
      <c r="R1129" s="113">
        <f>HYPERLINK("https://my.pitchbook.com?c=118308-52", "View company online")</f>
      </c>
    </row>
    <row r="1130">
      <c r="A1130" s="27" t="inlineStr">
        <is>
          <t>57357-73</t>
        </is>
      </c>
      <c r="B1130" s="28" t="inlineStr">
        <is>
          <t>Springshot</t>
        </is>
      </c>
      <c r="C1130" s="29" t="inlineStr">
        <is>
          <t>94107</t>
        </is>
      </c>
      <c r="D1130" s="30" t="inlineStr">
        <is>
          <t>Provider of mobile applications for work schedules and assignments. The company offers task collaboration services and helps in developing mobile applications that deliver training, work schedules and assignments for service employees in the commercial aviation, hospitality, janitorial and private security sectors.</t>
        </is>
      </c>
      <c r="E1130" s="31" t="inlineStr">
        <is>
          <t>Human Capital Services</t>
        </is>
      </c>
      <c r="F1130" s="32" t="inlineStr">
        <is>
          <t>San Francisco, CA</t>
        </is>
      </c>
      <c r="G1130" s="33" t="inlineStr">
        <is>
          <t>Privately Held (backing)</t>
        </is>
      </c>
      <c r="H1130" s="34" t="inlineStr">
        <is>
          <t>Angel-Backed</t>
        </is>
      </c>
      <c r="I1130" s="35" t="inlineStr">
        <is>
          <t>Plug and Play Tech Center</t>
        </is>
      </c>
      <c r="J1130" s="36" t="inlineStr">
        <is>
          <t>www.springshot.com</t>
        </is>
      </c>
      <c r="K1130" s="37" t="inlineStr">
        <is>
          <t>info@springshot.com</t>
        </is>
      </c>
      <c r="L1130" s="38" t="inlineStr">
        <is>
          <t>+1 (888) 481-9942</t>
        </is>
      </c>
      <c r="M1130" s="39" t="inlineStr">
        <is>
          <t>Doug Kreuzkamp</t>
        </is>
      </c>
      <c r="N1130" s="40" t="inlineStr">
        <is>
          <t>Co-Founder &amp; Chief Executive Officer</t>
        </is>
      </c>
      <c r="O1130" s="41" t="inlineStr">
        <is>
          <t>doug.kreuzkamp@springshot.com</t>
        </is>
      </c>
      <c r="P1130" s="42" t="inlineStr">
        <is>
          <t>+1 (888) 481-9942</t>
        </is>
      </c>
      <c r="Q1130" s="43" t="n">
        <v>2011.0</v>
      </c>
      <c r="R1130" s="114">
        <f>HYPERLINK("https://my.pitchbook.com?c=57357-73", "View company online")</f>
      </c>
    </row>
    <row r="1131">
      <c r="A1131" s="9" t="inlineStr">
        <is>
          <t>104408-20</t>
        </is>
      </c>
      <c r="B1131" s="10" t="inlineStr">
        <is>
          <t>Springrole</t>
        </is>
      </c>
      <c r="C1131" s="11" t="inlineStr">
        <is>
          <t/>
        </is>
      </c>
      <c r="D1131" s="12" t="inlineStr">
        <is>
          <t>Provider of an online recruitment platform. The company's database helps its client companies to find candidates matching their requirements via a curated platform, allowing referral system.</t>
        </is>
      </c>
      <c r="E1131" s="13" t="inlineStr">
        <is>
          <t>Social/Platform Software</t>
        </is>
      </c>
      <c r="F1131" s="14" t="inlineStr">
        <is>
          <t>Santa Monica, CA</t>
        </is>
      </c>
      <c r="G1131" s="15" t="inlineStr">
        <is>
          <t>Privately Held (backing)</t>
        </is>
      </c>
      <c r="H1131" s="16" t="inlineStr">
        <is>
          <t>Accelerator/Incubator Backed</t>
        </is>
      </c>
      <c r="I1131" s="17" t="inlineStr">
        <is>
          <t>Bloomberg Beta, Cok Mudde, Mike Jones, Peter Kellner, Ron Mahabir, Science</t>
        </is>
      </c>
      <c r="J1131" s="18" t="inlineStr">
        <is>
          <t>www.springrole.com</t>
        </is>
      </c>
      <c r="K1131" s="19" t="inlineStr">
        <is>
          <t>info@springrole.com</t>
        </is>
      </c>
      <c r="L1131" s="20" t="inlineStr">
        <is>
          <t>+1 (844) 458-2760</t>
        </is>
      </c>
      <c r="M1131" s="21" t="inlineStr">
        <is>
          <t>Benoit Vatere</t>
        </is>
      </c>
      <c r="N1131" s="22" t="inlineStr">
        <is>
          <t>Chief Executive Officer</t>
        </is>
      </c>
      <c r="O1131" s="23" t="inlineStr">
        <is>
          <t>benoit@mammoth.la</t>
        </is>
      </c>
      <c r="P1131" s="24" t="inlineStr">
        <is>
          <t/>
        </is>
      </c>
      <c r="Q1131" s="25" t="n">
        <v>2014.0</v>
      </c>
      <c r="R1131" s="113">
        <f>HYPERLINK("https://my.pitchbook.com?c=104408-20", "View company online")</f>
      </c>
    </row>
    <row r="1132">
      <c r="A1132" s="27" t="inlineStr">
        <is>
          <t>120489-85</t>
        </is>
      </c>
      <c r="B1132" s="28" t="inlineStr">
        <is>
          <t>Spring Fertility Management</t>
        </is>
      </c>
      <c r="C1132" s="29" t="inlineStr">
        <is>
          <t>94109</t>
        </is>
      </c>
      <c r="D1132" s="30" t="inlineStr">
        <is>
          <t>The company is currently operating in Stealth mode. At time of research, no business description available; please update Business Description.</t>
        </is>
      </c>
      <c r="E1132" s="31" t="inlineStr">
        <is>
          <t>Other Business Products and Services</t>
        </is>
      </c>
      <c r="F1132" s="32" t="inlineStr">
        <is>
          <t>San Francisco, CA</t>
        </is>
      </c>
      <c r="G1132" s="33" t="inlineStr">
        <is>
          <t>Privately Held (backing)</t>
        </is>
      </c>
      <c r="H1132" s="34" t="inlineStr">
        <is>
          <t>Angel-Backed</t>
        </is>
      </c>
      <c r="I1132" s="35" t="inlineStr">
        <is>
          <t/>
        </is>
      </c>
      <c r="J1132" s="36" t="inlineStr">
        <is>
          <t/>
        </is>
      </c>
      <c r="K1132" s="37" t="inlineStr">
        <is>
          <t/>
        </is>
      </c>
      <c r="L1132" s="38" t="inlineStr">
        <is>
          <t>+1 (415) 200-6259</t>
        </is>
      </c>
      <c r="M1132" s="39" t="inlineStr">
        <is>
          <t>Peter Klatsky</t>
        </is>
      </c>
      <c r="N1132" s="40" t="inlineStr">
        <is>
          <t>Executive Officer</t>
        </is>
      </c>
      <c r="O1132" s="41" t="inlineStr">
        <is>
          <t/>
        </is>
      </c>
      <c r="P1132" s="42" t="inlineStr">
        <is>
          <t>+1 (415) 200-6259</t>
        </is>
      </c>
      <c r="Q1132" s="43" t="n">
        <v>2014.0</v>
      </c>
      <c r="R1132" s="114">
        <f>HYPERLINK("https://my.pitchbook.com?c=120489-85", "View company online")</f>
      </c>
    </row>
    <row r="1133">
      <c r="A1133" s="9" t="inlineStr">
        <is>
          <t>157222-00</t>
        </is>
      </c>
      <c r="B1133" s="10" t="inlineStr">
        <is>
          <t>Sprimo</t>
        </is>
      </c>
      <c r="C1133" s="11" t="inlineStr">
        <is>
          <t>95050</t>
        </is>
      </c>
      <c r="D1133" s="12" t="inlineStr">
        <is>
          <t>Manufacturer of an air purifier designed to purify the cleanliness of the environment. The company's air purifier delivers a blanket of clean air based on data derived from real-world experiments to improve air quality in the spaces where their customers spend the most time, enabling them with clean air for breathing.</t>
        </is>
      </c>
      <c r="E1133" s="13" t="inlineStr">
        <is>
          <t>Electronics (B2C)</t>
        </is>
      </c>
      <c r="F1133" s="14" t="inlineStr">
        <is>
          <t>Santa Clara, CA</t>
        </is>
      </c>
      <c r="G1133" s="15" t="inlineStr">
        <is>
          <t>Privately Held (backing)</t>
        </is>
      </c>
      <c r="H1133" s="16" t="inlineStr">
        <is>
          <t>Accelerator/Incubator Backed</t>
        </is>
      </c>
      <c r="I1133" s="17" t="inlineStr">
        <is>
          <t>Plug and Play Tech Center</t>
        </is>
      </c>
      <c r="J1133" s="18" t="inlineStr">
        <is>
          <t>www.sprimo.com</t>
        </is>
      </c>
      <c r="K1133" s="19" t="inlineStr">
        <is>
          <t>info@sprimo.com</t>
        </is>
      </c>
      <c r="L1133" s="20" t="inlineStr">
        <is>
          <t>+1 (408) 758-8813</t>
        </is>
      </c>
      <c r="M1133" s="21" t="inlineStr">
        <is>
          <t>Ray Combs</t>
        </is>
      </c>
      <c r="N1133" s="22" t="inlineStr">
        <is>
          <t>Co-Founder &amp; Chief Executive Officer</t>
        </is>
      </c>
      <c r="O1133" s="23" t="inlineStr">
        <is>
          <t>ray@sprimo.com</t>
        </is>
      </c>
      <c r="P1133" s="24" t="inlineStr">
        <is>
          <t>+1 (408) 758-8813</t>
        </is>
      </c>
      <c r="Q1133" s="25" t="n">
        <v>2015.0</v>
      </c>
      <c r="R1133" s="113">
        <f>HYPERLINK("https://my.pitchbook.com?c=157222-00", "View company online")</f>
      </c>
    </row>
    <row r="1134">
      <c r="A1134" s="27" t="inlineStr">
        <is>
          <t>120202-84</t>
        </is>
      </c>
      <c r="B1134" s="28" t="inlineStr">
        <is>
          <t>Spray Networks</t>
        </is>
      </c>
      <c r="C1134" s="86">
        <f>HYPERLINK("https://my.pitchbook.com?rrp=120202-84&amp;type=c", "This Company's information is not available to download. Need this Company? Request availability")</f>
      </c>
      <c r="D1134" s="30" t="inlineStr">
        <is>
          <t/>
        </is>
      </c>
      <c r="E1134" s="31" t="inlineStr">
        <is>
          <t/>
        </is>
      </c>
      <c r="F1134" s="32" t="inlineStr">
        <is>
          <t/>
        </is>
      </c>
      <c r="G1134" s="33" t="inlineStr">
        <is>
          <t/>
        </is>
      </c>
      <c r="H1134" s="34" t="inlineStr">
        <is>
          <t/>
        </is>
      </c>
      <c r="I1134" s="35" t="inlineStr">
        <is>
          <t/>
        </is>
      </c>
      <c r="J1134" s="36" t="inlineStr">
        <is>
          <t/>
        </is>
      </c>
      <c r="K1134" s="37" t="inlineStr">
        <is>
          <t/>
        </is>
      </c>
      <c r="L1134" s="38" t="inlineStr">
        <is>
          <t/>
        </is>
      </c>
      <c r="M1134" s="39" t="inlineStr">
        <is>
          <t/>
        </is>
      </c>
      <c r="N1134" s="40" t="inlineStr">
        <is>
          <t/>
        </is>
      </c>
      <c r="O1134" s="41" t="inlineStr">
        <is>
          <t/>
        </is>
      </c>
      <c r="P1134" s="42" t="inlineStr">
        <is>
          <t/>
        </is>
      </c>
      <c r="Q1134" s="43" t="inlineStr">
        <is>
          <t/>
        </is>
      </c>
      <c r="R1134" s="44" t="inlineStr">
        <is>
          <t/>
        </is>
      </c>
    </row>
    <row r="1135">
      <c r="A1135" s="9" t="inlineStr">
        <is>
          <t>99242-20</t>
        </is>
      </c>
      <c r="B1135" s="10" t="inlineStr">
        <is>
          <t>Spracht</t>
        </is>
      </c>
      <c r="C1135" s="11" t="inlineStr">
        <is>
          <t>94303</t>
        </is>
      </c>
      <c r="D1135" s="12" t="inlineStr">
        <is>
          <t>Developer of consumer based audio devices. The company develops consumer based audio devices including headphones, speakers, wireless speaker sets and stereo headsets.</t>
        </is>
      </c>
      <c r="E1135" s="13" t="inlineStr">
        <is>
          <t>Electronics (B2C)</t>
        </is>
      </c>
      <c r="F1135" s="14" t="inlineStr">
        <is>
          <t>Palo Alto, CA</t>
        </is>
      </c>
      <c r="G1135" s="15" t="inlineStr">
        <is>
          <t>Privately Held (backing)</t>
        </is>
      </c>
      <c r="H1135" s="16" t="inlineStr">
        <is>
          <t>Angel-Backed</t>
        </is>
      </c>
      <c r="I1135" s="17" t="inlineStr">
        <is>
          <t/>
        </is>
      </c>
      <c r="J1135" s="18" t="inlineStr">
        <is>
          <t>www.spracht.com</t>
        </is>
      </c>
      <c r="K1135" s="19" t="inlineStr">
        <is>
          <t>sales@spracht.com</t>
        </is>
      </c>
      <c r="L1135" s="20" t="inlineStr">
        <is>
          <t>+1 (650) 215-7500</t>
        </is>
      </c>
      <c r="M1135" s="21" t="inlineStr">
        <is>
          <t>Richard Slevin</t>
        </is>
      </c>
      <c r="N1135" s="22" t="inlineStr">
        <is>
          <t>Chief Executive Officer &amp; Board Member</t>
        </is>
      </c>
      <c r="O1135" s="23" t="inlineStr">
        <is>
          <t>rslevin@thedetectiongroup.com</t>
        </is>
      </c>
      <c r="P1135" s="24" t="inlineStr">
        <is>
          <t>+1 (650) 215-7300</t>
        </is>
      </c>
      <c r="Q1135" s="25" t="n">
        <v>2013.0</v>
      </c>
      <c r="R1135" s="113">
        <f>HYPERLINK("https://my.pitchbook.com?c=99242-20", "View company online")</f>
      </c>
    </row>
    <row r="1136">
      <c r="A1136" s="27" t="inlineStr">
        <is>
          <t>90167-86</t>
        </is>
      </c>
      <c r="B1136" s="28" t="inlineStr">
        <is>
          <t>Spout</t>
        </is>
      </c>
      <c r="C1136" s="29" t="inlineStr">
        <is>
          <t>90401</t>
        </is>
      </c>
      <c r="D1136" s="30" t="inlineStr">
        <is>
          <t>Provider of financial data services. The company enables innovation in finance by providing financial data and pulls in transaction information from banks and credit cards ranging from individual charges to vendors, categories and account information.</t>
        </is>
      </c>
      <c r="E1136" s="31" t="inlineStr">
        <is>
          <t>Other Financial Services</t>
        </is>
      </c>
      <c r="F1136" s="32" t="inlineStr">
        <is>
          <t>Santa Monica, CA</t>
        </is>
      </c>
      <c r="G1136" s="33" t="inlineStr">
        <is>
          <t>Privately Held (backing)</t>
        </is>
      </c>
      <c r="H1136" s="34" t="inlineStr">
        <is>
          <t>Accelerator/Incubator Backed</t>
        </is>
      </c>
      <c r="I1136" s="35" t="inlineStr">
        <is>
          <t>Mucker Capital</t>
        </is>
      </c>
      <c r="J1136" s="36" t="inlineStr">
        <is>
          <t>www.spout.co</t>
        </is>
      </c>
      <c r="K1136" s="37" t="inlineStr">
        <is>
          <t>hello@spout.co</t>
        </is>
      </c>
      <c r="L1136" s="38" t="inlineStr">
        <is>
          <t/>
        </is>
      </c>
      <c r="M1136" s="39" t="inlineStr">
        <is>
          <t>Kuldeep Singh</t>
        </is>
      </c>
      <c r="N1136" s="40" t="inlineStr">
        <is>
          <t>Co-Founder</t>
        </is>
      </c>
      <c r="O1136" s="41" t="inlineStr">
        <is>
          <t>kuldeep@spout.co</t>
        </is>
      </c>
      <c r="P1136" s="42" t="inlineStr">
        <is>
          <t/>
        </is>
      </c>
      <c r="Q1136" s="43" t="n">
        <v>2013.0</v>
      </c>
      <c r="R1136" s="114">
        <f>HYPERLINK("https://my.pitchbook.com?c=90167-86", "View company online")</f>
      </c>
    </row>
    <row r="1137">
      <c r="A1137" s="9" t="inlineStr">
        <is>
          <t>160126-66</t>
        </is>
      </c>
      <c r="B1137" s="10" t="inlineStr">
        <is>
          <t>Spotlight: Girls</t>
        </is>
      </c>
      <c r="C1137" s="11" t="inlineStr">
        <is>
          <t>94609</t>
        </is>
      </c>
      <c r="D1137" s="12" t="inlineStr">
        <is>
          <t>Arranger of multi-media events for girls and Women. The company arranges theater, visual arts, music, and media events to teach girls social and emotional skills and to make them bold, brave and compassionate young women.</t>
        </is>
      </c>
      <c r="E1137" s="13" t="inlineStr">
        <is>
          <t>Education and Training Services (B2B)</t>
        </is>
      </c>
      <c r="F1137" s="14" t="inlineStr">
        <is>
          <t>Oakland, CA</t>
        </is>
      </c>
      <c r="G1137" s="15" t="inlineStr">
        <is>
          <t>Privately Held (backing)</t>
        </is>
      </c>
      <c r="H1137" s="16" t="inlineStr">
        <is>
          <t>Angel-Backed</t>
        </is>
      </c>
      <c r="I1137" s="17" t="inlineStr">
        <is>
          <t/>
        </is>
      </c>
      <c r="J1137" s="18" t="inlineStr">
        <is>
          <t>www.spotlightgirls.com</t>
        </is>
      </c>
      <c r="K1137" s="19" t="inlineStr">
        <is>
          <t/>
        </is>
      </c>
      <c r="L1137" s="20" t="inlineStr">
        <is>
          <t>+1 (510) 550-5340</t>
        </is>
      </c>
      <c r="M1137" s="21" t="inlineStr">
        <is>
          <t>Lynn Johnson</t>
        </is>
      </c>
      <c r="N1137" s="22" t="inlineStr">
        <is>
          <t>Co-Founder &amp; Chief Executive Officer</t>
        </is>
      </c>
      <c r="O1137" s="23" t="inlineStr">
        <is>
          <t>lynn@spotlightgirls.com</t>
        </is>
      </c>
      <c r="P1137" s="24" t="inlineStr">
        <is>
          <t>+1 (510) 550-5340</t>
        </is>
      </c>
      <c r="Q1137" s="25" t="n">
        <v>2006.0</v>
      </c>
      <c r="R1137" s="113">
        <f>HYPERLINK("https://my.pitchbook.com?c=160126-66", "View company online")</f>
      </c>
    </row>
    <row r="1138">
      <c r="A1138" s="27" t="inlineStr">
        <is>
          <t>96749-92</t>
        </is>
      </c>
      <c r="B1138" s="28" t="inlineStr">
        <is>
          <t>Spotlight Financial</t>
        </is>
      </c>
      <c r="C1138" s="86">
        <f>HYPERLINK("https://my.pitchbook.com?rrp=96749-92&amp;type=c", "This Company's information is not available to download. Need this Company? Request availability")</f>
      </c>
      <c r="D1138" s="30" t="inlineStr">
        <is>
          <t/>
        </is>
      </c>
      <c r="E1138" s="31" t="inlineStr">
        <is>
          <t/>
        </is>
      </c>
      <c r="F1138" s="32" t="inlineStr">
        <is>
          <t/>
        </is>
      </c>
      <c r="G1138" s="33" t="inlineStr">
        <is>
          <t/>
        </is>
      </c>
      <c r="H1138" s="34" t="inlineStr">
        <is>
          <t/>
        </is>
      </c>
      <c r="I1138" s="35" t="inlineStr">
        <is>
          <t/>
        </is>
      </c>
      <c r="J1138" s="36" t="inlineStr">
        <is>
          <t/>
        </is>
      </c>
      <c r="K1138" s="37" t="inlineStr">
        <is>
          <t/>
        </is>
      </c>
      <c r="L1138" s="38" t="inlineStr">
        <is>
          <t/>
        </is>
      </c>
      <c r="M1138" s="39" t="inlineStr">
        <is>
          <t/>
        </is>
      </c>
      <c r="N1138" s="40" t="inlineStr">
        <is>
          <t/>
        </is>
      </c>
      <c r="O1138" s="41" t="inlineStr">
        <is>
          <t/>
        </is>
      </c>
      <c r="P1138" s="42" t="inlineStr">
        <is>
          <t/>
        </is>
      </c>
      <c r="Q1138" s="43" t="inlineStr">
        <is>
          <t/>
        </is>
      </c>
      <c r="R1138" s="44" t="inlineStr">
        <is>
          <t/>
        </is>
      </c>
    </row>
    <row r="1139">
      <c r="A1139" s="9" t="inlineStr">
        <is>
          <t>161563-51</t>
        </is>
      </c>
      <c r="B1139" s="10" t="inlineStr">
        <is>
          <t>Spotlight Education</t>
        </is>
      </c>
      <c r="C1139" s="11" t="inlineStr">
        <is>
          <t>95616</t>
        </is>
      </c>
      <c r="D1139" s="12" t="inlineStr">
        <is>
          <t>Provide of an online education data analytics platform. The company offers a Web-based educational data analytics platform and application that analyzes and converts education data into narrative text-based reports.</t>
        </is>
      </c>
      <c r="E1139" s="13" t="inlineStr">
        <is>
          <t>Educational and Training Services (B2C)</t>
        </is>
      </c>
      <c r="F1139" s="14" t="inlineStr">
        <is>
          <t>Davis, CA</t>
        </is>
      </c>
      <c r="G1139" s="15" t="inlineStr">
        <is>
          <t>Privately Held (backing)</t>
        </is>
      </c>
      <c r="H1139" s="16" t="inlineStr">
        <is>
          <t>Angel-Backed</t>
        </is>
      </c>
      <c r="I1139" s="17" t="inlineStr">
        <is>
          <t/>
        </is>
      </c>
      <c r="J1139" s="18" t="inlineStr">
        <is>
          <t>www.spotlight-education.com</t>
        </is>
      </c>
      <c r="K1139" s="19" t="inlineStr">
        <is>
          <t>info@spotlight-education.com</t>
        </is>
      </c>
      <c r="L1139" s="20" t="inlineStr">
        <is>
          <t>+1 (415) 713-5542</t>
        </is>
      </c>
      <c r="M1139" s="21" t="inlineStr">
        <is>
          <t>Joshua Newman</t>
        </is>
      </c>
      <c r="N1139" s="22" t="inlineStr">
        <is>
          <t>Co-Founder &amp; Chief Executive Officer</t>
        </is>
      </c>
      <c r="O1139" s="23" t="inlineStr">
        <is>
          <t>josh@spotlight-education.com</t>
        </is>
      </c>
      <c r="P1139" s="24" t="inlineStr">
        <is>
          <t>+1 (415) 713-5542</t>
        </is>
      </c>
      <c r="Q1139" s="25" t="n">
        <v>2010.0</v>
      </c>
      <c r="R1139" s="113">
        <f>HYPERLINK("https://my.pitchbook.com?c=161563-51", "View company online")</f>
      </c>
    </row>
    <row r="1140">
      <c r="A1140" s="27" t="inlineStr">
        <is>
          <t>103002-04</t>
        </is>
      </c>
      <c r="B1140" s="28" t="inlineStr">
        <is>
          <t>Spotjournal</t>
        </is>
      </c>
      <c r="C1140" s="29" t="inlineStr">
        <is>
          <t>94087</t>
        </is>
      </c>
      <c r="D1140" s="30" t="inlineStr">
        <is>
          <t>Developer of a media sharing web application. The company helps its users to share media through its web application.</t>
        </is>
      </c>
      <c r="E1140" s="31" t="inlineStr">
        <is>
          <t>Application Software</t>
        </is>
      </c>
      <c r="F1140" s="32" t="inlineStr">
        <is>
          <t>Sunnyvale, CA</t>
        </is>
      </c>
      <c r="G1140" s="33" t="inlineStr">
        <is>
          <t>Privately Held (backing)</t>
        </is>
      </c>
      <c r="H1140" s="34" t="inlineStr">
        <is>
          <t>Angel-Backed</t>
        </is>
      </c>
      <c r="I1140" s="35" t="inlineStr">
        <is>
          <t/>
        </is>
      </c>
      <c r="J1140" s="36" t="inlineStr">
        <is>
          <t>www.spotjournal.me</t>
        </is>
      </c>
      <c r="K1140" s="37" t="inlineStr">
        <is>
          <t/>
        </is>
      </c>
      <c r="L1140" s="38" t="inlineStr">
        <is>
          <t>+1 (503) 383-1886</t>
        </is>
      </c>
      <c r="M1140" s="39" t="inlineStr">
        <is>
          <t>Kyle Columbus</t>
        </is>
      </c>
      <c r="N1140" s="40" t="inlineStr">
        <is>
          <t>President, Chief Executive Officer &amp; Board Member</t>
        </is>
      </c>
      <c r="O1140" s="41" t="inlineStr">
        <is>
          <t>kyle@spotjournal.com</t>
        </is>
      </c>
      <c r="P1140" s="42" t="inlineStr">
        <is>
          <t>+1 (503) 383-1886</t>
        </is>
      </c>
      <c r="Q1140" s="43" t="n">
        <v>2013.0</v>
      </c>
      <c r="R1140" s="114">
        <f>HYPERLINK("https://my.pitchbook.com?c=103002-04", "View company online")</f>
      </c>
    </row>
    <row r="1141">
      <c r="A1141" s="9" t="inlineStr">
        <is>
          <t>100338-49</t>
        </is>
      </c>
      <c r="B1141" s="10" t="inlineStr">
        <is>
          <t>SpotDy</t>
        </is>
      </c>
      <c r="C1141" s="11" t="inlineStr">
        <is>
          <t>95110</t>
        </is>
      </c>
      <c r="D1141" s="12" t="inlineStr">
        <is>
          <t>Operator of a technology company for building a platform to help developers build smart applications. The company empowers developers to build scalable smart applications in hours, not months.</t>
        </is>
      </c>
      <c r="E1141" s="13" t="inlineStr">
        <is>
          <t>Social/Platform Software</t>
        </is>
      </c>
      <c r="F1141" s="14" t="inlineStr">
        <is>
          <t>San Jose, CA</t>
        </is>
      </c>
      <c r="G1141" s="15" t="inlineStr">
        <is>
          <t>Privately Held (backing)</t>
        </is>
      </c>
      <c r="H1141" s="16" t="inlineStr">
        <is>
          <t>Accelerator/Incubator Backed</t>
        </is>
      </c>
      <c r="I1141" s="17" t="inlineStr">
        <is>
          <t>MassChallenge, Velocity Indiana</t>
        </is>
      </c>
      <c r="J1141" s="18" t="inlineStr">
        <is>
          <t>www.spotdy.com</t>
        </is>
      </c>
      <c r="K1141" s="19" t="inlineStr">
        <is>
          <t>support@spotdy.com</t>
        </is>
      </c>
      <c r="L1141" s="20" t="inlineStr">
        <is>
          <t>+1 (408) 821-3257</t>
        </is>
      </c>
      <c r="M1141" s="21" t="inlineStr">
        <is>
          <t/>
        </is>
      </c>
      <c r="N1141" s="22" t="inlineStr">
        <is>
          <t/>
        </is>
      </c>
      <c r="O1141" s="23" t="inlineStr">
        <is>
          <t/>
        </is>
      </c>
      <c r="P1141" s="24" t="inlineStr">
        <is>
          <t/>
        </is>
      </c>
      <c r="Q1141" s="25" t="n">
        <v>2014.0</v>
      </c>
      <c r="R1141" s="113">
        <f>HYPERLINK("https://my.pitchbook.com?c=100338-49", "View company online")</f>
      </c>
    </row>
    <row r="1142">
      <c r="A1142" s="27" t="inlineStr">
        <is>
          <t>156486-43</t>
        </is>
      </c>
      <c r="B1142" s="28" t="inlineStr">
        <is>
          <t>Spotbot</t>
        </is>
      </c>
      <c r="C1142" s="29" t="inlineStr">
        <is>
          <t/>
        </is>
      </c>
      <c r="D1142" s="30" t="inlineStr">
        <is>
          <t>Provider of a website monitoring tool. The company offers a tool which monitors website user interface periodically for changes and informs users about the changes using screenshots.</t>
        </is>
      </c>
      <c r="E1142" s="31" t="inlineStr">
        <is>
          <t>Application Software</t>
        </is>
      </c>
      <c r="F1142" s="32" t="inlineStr">
        <is>
          <t>San Francisco, CA</t>
        </is>
      </c>
      <c r="G1142" s="33" t="inlineStr">
        <is>
          <t>Privately Held (backing)</t>
        </is>
      </c>
      <c r="H1142" s="34" t="inlineStr">
        <is>
          <t>Accelerator/Incubator Backed</t>
        </is>
      </c>
      <c r="I1142" s="35" t="inlineStr">
        <is>
          <t>Y Combinator</t>
        </is>
      </c>
      <c r="J1142" s="36" t="inlineStr">
        <is>
          <t>www.spotbot.qa</t>
        </is>
      </c>
      <c r="K1142" s="37" t="inlineStr">
        <is>
          <t>hi@spotbot.qa</t>
        </is>
      </c>
      <c r="L1142" s="38" t="inlineStr">
        <is>
          <t/>
        </is>
      </c>
      <c r="M1142" s="39" t="inlineStr">
        <is>
          <t>Justin Tulloss</t>
        </is>
      </c>
      <c r="N1142" s="40" t="inlineStr">
        <is>
          <t>Co-Founder &amp; Chief Executive Officer</t>
        </is>
      </c>
      <c r="O1142" s="41" t="inlineStr">
        <is>
          <t>justin@spotbot.qa</t>
        </is>
      </c>
      <c r="P1142" s="42" t="inlineStr">
        <is>
          <t/>
        </is>
      </c>
      <c r="Q1142" s="43" t="n">
        <v>2016.0</v>
      </c>
      <c r="R1142" s="114">
        <f>HYPERLINK("https://my.pitchbook.com?c=156486-43", "View company online")</f>
      </c>
    </row>
    <row r="1143">
      <c r="A1143" s="9" t="inlineStr">
        <is>
          <t>65164-87</t>
        </is>
      </c>
      <c r="B1143" s="10" t="inlineStr">
        <is>
          <t>Spot On Networks</t>
        </is>
      </c>
      <c r="C1143" s="11" t="inlineStr">
        <is>
          <t>06510</t>
        </is>
      </c>
      <c r="D1143" s="12" t="inlineStr">
        <is>
          <t>Provider of wireless Internet services. The company offers managed WiFi networks to the multitenant housing market and also provides wireless energy management, building automation and security monitoring services.</t>
        </is>
      </c>
      <c r="E1143" s="13" t="inlineStr">
        <is>
          <t>Internet Service Providers</t>
        </is>
      </c>
      <c r="F1143" s="14" t="inlineStr">
        <is>
          <t>New Haven, CT</t>
        </is>
      </c>
      <c r="G1143" s="15" t="inlineStr">
        <is>
          <t>Privately Held (backing)</t>
        </is>
      </c>
      <c r="H1143" s="16" t="inlineStr">
        <is>
          <t>Angel-Backed</t>
        </is>
      </c>
      <c r="I1143" s="17" t="inlineStr">
        <is>
          <t>RCC Consultants</t>
        </is>
      </c>
      <c r="J1143" s="18" t="inlineStr">
        <is>
          <t>www.spotonnetworks.com</t>
        </is>
      </c>
      <c r="K1143" s="19" t="inlineStr">
        <is>
          <t/>
        </is>
      </c>
      <c r="L1143" s="20" t="inlineStr">
        <is>
          <t>+1 (877) 768-6687</t>
        </is>
      </c>
      <c r="M1143" s="21" t="inlineStr">
        <is>
          <t>Jay Disler</t>
        </is>
      </c>
      <c r="N1143" s="22" t="inlineStr">
        <is>
          <t>Chief Financial Officer</t>
        </is>
      </c>
      <c r="O1143" s="23" t="inlineStr">
        <is>
          <t>jdisler@spotonnetworks.com</t>
        </is>
      </c>
      <c r="P1143" s="24" t="inlineStr">
        <is>
          <t>+1 (877) 768-6687</t>
        </is>
      </c>
      <c r="Q1143" s="25" t="n">
        <v>2004.0</v>
      </c>
      <c r="R1143" s="113">
        <f>HYPERLINK("https://my.pitchbook.com?c=65164-87", "View company online")</f>
      </c>
    </row>
    <row r="1144">
      <c r="A1144" s="27" t="inlineStr">
        <is>
          <t>168669-64</t>
        </is>
      </c>
      <c r="B1144" s="28" t="inlineStr">
        <is>
          <t>Spot Angels</t>
        </is>
      </c>
      <c r="C1144" s="29" t="inlineStr">
        <is>
          <t/>
        </is>
      </c>
      <c r="D1144" s="30" t="inlineStr">
        <is>
          <t>Developer of a mobile application for avoiding parking tickets. The company's application gives reminder about the location and time of the car parked, so that parking ticket can be avoided before the designated time period ends.</t>
        </is>
      </c>
      <c r="E1144" s="31" t="inlineStr">
        <is>
          <t>Application Software</t>
        </is>
      </c>
      <c r="F1144" s="32" t="inlineStr">
        <is>
          <t>San Francisco, CA</t>
        </is>
      </c>
      <c r="G1144" s="33" t="inlineStr">
        <is>
          <t>Privately Held (backing)</t>
        </is>
      </c>
      <c r="H1144" s="34" t="inlineStr">
        <is>
          <t>Accelerator/Incubator Backed</t>
        </is>
      </c>
      <c r="I1144" s="35" t="inlineStr">
        <is>
          <t>Y Combinator</t>
        </is>
      </c>
      <c r="J1144" s="36" t="inlineStr">
        <is>
          <t>www.spotangels.com</t>
        </is>
      </c>
      <c r="K1144" s="37" t="inlineStr">
        <is>
          <t>founders@spotangels.com</t>
        </is>
      </c>
      <c r="L1144" s="38" t="inlineStr">
        <is>
          <t/>
        </is>
      </c>
      <c r="M1144" s="39" t="inlineStr">
        <is>
          <t>Hamza Ouazzani Chahdi</t>
        </is>
      </c>
      <c r="N1144" s="40" t="inlineStr">
        <is>
          <t>Co-Founder &amp; Chief Executive Officer</t>
        </is>
      </c>
      <c r="O1144" s="41" t="inlineStr">
        <is>
          <t>hamza@spotangels.com</t>
        </is>
      </c>
      <c r="P1144" s="42" t="inlineStr">
        <is>
          <t/>
        </is>
      </c>
      <c r="Q1144" s="43" t="n">
        <v>2014.0</v>
      </c>
      <c r="R1144" s="114">
        <f>HYPERLINK("https://my.pitchbook.com?c=168669-64", "View company online")</f>
      </c>
    </row>
    <row r="1145">
      <c r="A1145" s="9" t="inlineStr">
        <is>
          <t>169080-76</t>
        </is>
      </c>
      <c r="B1145" s="10" t="inlineStr">
        <is>
          <t>SportsETFs</t>
        </is>
      </c>
      <c r="C1145" s="11" t="inlineStr">
        <is>
          <t>94583</t>
        </is>
      </c>
      <c r="D1145" s="12" t="inlineStr">
        <is>
          <t>The company is currently operating in Stealth mode.</t>
        </is>
      </c>
      <c r="E1145" s="13" t="inlineStr">
        <is>
          <t>Other Business Products and Services</t>
        </is>
      </c>
      <c r="F1145" s="14" t="inlineStr">
        <is>
          <t>San Ramon, CA</t>
        </is>
      </c>
      <c r="G1145" s="15" t="inlineStr">
        <is>
          <t>Privately Held (backing)</t>
        </is>
      </c>
      <c r="H1145" s="16" t="inlineStr">
        <is>
          <t>Angel-Backed</t>
        </is>
      </c>
      <c r="I1145" s="17" t="inlineStr">
        <is>
          <t/>
        </is>
      </c>
      <c r="J1145" s="18" t="inlineStr">
        <is>
          <t>www.sportsetfs.com</t>
        </is>
      </c>
      <c r="K1145" s="19" t="inlineStr">
        <is>
          <t/>
        </is>
      </c>
      <c r="L1145" s="20" t="inlineStr">
        <is>
          <t>+1 (925) 480-7018</t>
        </is>
      </c>
      <c r="M1145" s="21" t="inlineStr">
        <is>
          <t>Nick Fullerton</t>
        </is>
      </c>
      <c r="N1145" s="22" t="inlineStr">
        <is>
          <t>Co-Founder, Manager &amp; Board Member</t>
        </is>
      </c>
      <c r="O1145" s="23" t="inlineStr">
        <is>
          <t>nick@sportsetfs.com</t>
        </is>
      </c>
      <c r="P1145" s="24" t="inlineStr">
        <is>
          <t>+1 (925) 480-7018</t>
        </is>
      </c>
      <c r="Q1145" s="25" t="n">
        <v>2016.0</v>
      </c>
      <c r="R1145" s="113">
        <f>HYPERLINK("https://my.pitchbook.com?c=169080-76", "View company online")</f>
      </c>
    </row>
    <row r="1146">
      <c r="A1146" s="27" t="inlineStr">
        <is>
          <t>88558-66</t>
        </is>
      </c>
      <c r="B1146" s="28" t="inlineStr">
        <is>
          <t>Sporthold</t>
        </is>
      </c>
      <c r="C1146" s="29" t="inlineStr">
        <is>
          <t>94041</t>
        </is>
      </c>
      <c r="D1146" s="30" t="inlineStr">
        <is>
          <t>Developer of a website and mobile application that collects users' predictions for sporting games. The company allows users to visit the website and predict what they think will happen in sports games.</t>
        </is>
      </c>
      <c r="E1146" s="31" t="inlineStr">
        <is>
          <t>Application Software</t>
        </is>
      </c>
      <c r="F1146" s="32" t="inlineStr">
        <is>
          <t>Mountain View, CA</t>
        </is>
      </c>
      <c r="G1146" s="33" t="inlineStr">
        <is>
          <t>Privately Held (backing)</t>
        </is>
      </c>
      <c r="H1146" s="34" t="inlineStr">
        <is>
          <t>Accelerator/Incubator Backed</t>
        </is>
      </c>
      <c r="I1146" s="35" t="inlineStr">
        <is>
          <t>500 Startups, David McClure, Individual Investor, Startmate</t>
        </is>
      </c>
      <c r="J1146" s="36" t="inlineStr">
        <is>
          <t>www.sporthold.com</t>
        </is>
      </c>
      <c r="K1146" s="37" t="inlineStr">
        <is>
          <t/>
        </is>
      </c>
      <c r="L1146" s="38" t="inlineStr">
        <is>
          <t/>
        </is>
      </c>
      <c r="M1146" s="39" t="inlineStr">
        <is>
          <t>Christian Thurston</t>
        </is>
      </c>
      <c r="N1146" s="40" t="inlineStr">
        <is>
          <t>Co-Founder</t>
        </is>
      </c>
      <c r="O1146" s="41" t="inlineStr">
        <is>
          <t>christian@sporthold.com</t>
        </is>
      </c>
      <c r="P1146" s="42" t="inlineStr">
        <is>
          <t/>
        </is>
      </c>
      <c r="Q1146" s="43" t="n">
        <v>2013.0</v>
      </c>
      <c r="R1146" s="114">
        <f>HYPERLINK("https://my.pitchbook.com?c=88558-66", "View company online")</f>
      </c>
    </row>
    <row r="1147">
      <c r="A1147" s="9" t="inlineStr">
        <is>
          <t>104176-18</t>
        </is>
      </c>
      <c r="B1147" s="10" t="inlineStr">
        <is>
          <t>SportConnect</t>
        </is>
      </c>
      <c r="C1147" s="11" t="inlineStr">
        <is>
          <t/>
        </is>
      </c>
      <c r="D1147" s="12" t="inlineStr">
        <is>
          <t>Provider of a platform for sports. The company provides a platform which enables sports, fitness and wellness influencers to monetize their expertise and content through mobile apps.</t>
        </is>
      </c>
      <c r="E1147" s="13" t="inlineStr">
        <is>
          <t>Information Services (B2C)</t>
        </is>
      </c>
      <c r="F1147" s="14" t="inlineStr">
        <is>
          <t>Palo Alto, CA</t>
        </is>
      </c>
      <c r="G1147" s="15" t="inlineStr">
        <is>
          <t>Privately Held (backing)</t>
        </is>
      </c>
      <c r="H1147" s="16" t="inlineStr">
        <is>
          <t>Accelerator/Incubator Backed</t>
        </is>
      </c>
      <c r="I1147" s="17" t="inlineStr">
        <is>
          <t>Antti Peltonen, Blackbox, Lennu Keinänen, Mikko Kuitunen, Solinor</t>
        </is>
      </c>
      <c r="J1147" s="18" t="inlineStr">
        <is>
          <t>www.sportconnect.com</t>
        </is>
      </c>
      <c r="K1147" s="19" t="inlineStr">
        <is>
          <t/>
        </is>
      </c>
      <c r="L1147" s="20" t="inlineStr">
        <is>
          <t/>
        </is>
      </c>
      <c r="M1147" s="21" t="inlineStr">
        <is>
          <t>Tomi Terentjeff</t>
        </is>
      </c>
      <c r="N1147" s="22" t="inlineStr">
        <is>
          <t>Co-Founder &amp; Chief Executive Officer</t>
        </is>
      </c>
      <c r="O1147" s="23" t="inlineStr">
        <is>
          <t>tomi@sportconnect.com</t>
        </is>
      </c>
      <c r="P1147" s="24" t="inlineStr">
        <is>
          <t/>
        </is>
      </c>
      <c r="Q1147" s="25" t="n">
        <v>2014.0</v>
      </c>
      <c r="R1147" s="113">
        <f>HYPERLINK("https://my.pitchbook.com?c=104176-18", "View company online")</f>
      </c>
    </row>
    <row r="1148">
      <c r="A1148" s="27" t="inlineStr">
        <is>
          <t>167442-04</t>
        </is>
      </c>
      <c r="B1148" s="28" t="inlineStr">
        <is>
          <t>Spoondrift</t>
        </is>
      </c>
      <c r="C1148" s="29" t="inlineStr">
        <is>
          <t>94019</t>
        </is>
      </c>
      <c r="D1148" s="30" t="inlineStr">
        <is>
          <t>Developer of a remote enabled device to monitor ocean waves. The company develops a portable and solar-powered device that measures ocean surface waves and currents and sends the information to users via GPS, satellite communication and solar technologies.</t>
        </is>
      </c>
      <c r="E1148" s="31" t="inlineStr">
        <is>
          <t>Other Hardware</t>
        </is>
      </c>
      <c r="F1148" s="32" t="inlineStr">
        <is>
          <t>Half Moon Bay, CA</t>
        </is>
      </c>
      <c r="G1148" s="33" t="inlineStr">
        <is>
          <t>Privately Held (backing)</t>
        </is>
      </c>
      <c r="H1148" s="34" t="inlineStr">
        <is>
          <t>Angel-Backed</t>
        </is>
      </c>
      <c r="I1148" s="35" t="inlineStr">
        <is>
          <t/>
        </is>
      </c>
      <c r="J1148" s="36" t="inlineStr">
        <is>
          <t>www.spoondrift.co</t>
        </is>
      </c>
      <c r="K1148" s="37" t="inlineStr">
        <is>
          <t>cameron@spoondrift.co</t>
        </is>
      </c>
      <c r="L1148" s="38" t="inlineStr">
        <is>
          <t/>
        </is>
      </c>
      <c r="M1148" s="39" t="inlineStr">
        <is>
          <t>Tim Janssen</t>
        </is>
      </c>
      <c r="N1148" s="40" t="inlineStr">
        <is>
          <t>Co-Founder, Chief Executive Officer, President &amp; Board Member</t>
        </is>
      </c>
      <c r="O1148" s="41" t="inlineStr">
        <is>
          <t>tim@spoondrift.co</t>
        </is>
      </c>
      <c r="P1148" s="42" t="inlineStr">
        <is>
          <t/>
        </is>
      </c>
      <c r="Q1148" s="43" t="n">
        <v>2013.0</v>
      </c>
      <c r="R1148" s="114">
        <f>HYPERLINK("https://my.pitchbook.com?c=167442-04", "View company online")</f>
      </c>
    </row>
    <row r="1149">
      <c r="A1149" s="9" t="inlineStr">
        <is>
          <t>157036-24</t>
        </is>
      </c>
      <c r="B1149" s="10" t="inlineStr">
        <is>
          <t>Spontime</t>
        </is>
      </c>
      <c r="C1149" s="11" t="inlineStr">
        <is>
          <t>94104</t>
        </is>
      </c>
      <c r="D1149" s="12" t="inlineStr">
        <is>
          <t>Developer of a social networking mobile application. The company develops an application which allows meetings with friends and people nearby, already acknowledged by different journals.</t>
        </is>
      </c>
      <c r="E1149" s="13" t="inlineStr">
        <is>
          <t>Social/Platform Software</t>
        </is>
      </c>
      <c r="F1149" s="14" t="inlineStr">
        <is>
          <t>San Francisco, CA</t>
        </is>
      </c>
      <c r="G1149" s="15" t="inlineStr">
        <is>
          <t>Privately Held (backing)</t>
        </is>
      </c>
      <c r="H1149" s="16" t="inlineStr">
        <is>
          <t>Angel-Backed</t>
        </is>
      </c>
      <c r="I1149" s="17" t="inlineStr">
        <is>
          <t/>
        </is>
      </c>
      <c r="J1149" s="18" t="inlineStr">
        <is>
          <t>www.spontime.co</t>
        </is>
      </c>
      <c r="K1149" s="19" t="inlineStr">
        <is>
          <t>info@spontime.co</t>
        </is>
      </c>
      <c r="L1149" s="20" t="inlineStr">
        <is>
          <t>+1 (415) 800-4341</t>
        </is>
      </c>
      <c r="M1149" s="21" t="inlineStr">
        <is>
          <t>Karolina Demianczuk</t>
        </is>
      </c>
      <c r="N1149" s="22" t="inlineStr">
        <is>
          <t>Founder &amp; President</t>
        </is>
      </c>
      <c r="O1149" s="23" t="inlineStr">
        <is>
          <t>karolina@spontime.co</t>
        </is>
      </c>
      <c r="P1149" s="24" t="inlineStr">
        <is>
          <t>+1 (415) 800-4341</t>
        </is>
      </c>
      <c r="Q1149" s="25" t="n">
        <v>2015.0</v>
      </c>
      <c r="R1149" s="113">
        <f>HYPERLINK("https://my.pitchbook.com?c=157036-24", "View company online")</f>
      </c>
    </row>
    <row r="1150">
      <c r="A1150" s="27" t="inlineStr">
        <is>
          <t>104176-00</t>
        </is>
      </c>
      <c r="B1150" s="28" t="inlineStr">
        <is>
          <t>Sponsorbrite</t>
        </is>
      </c>
      <c r="C1150" s="29" t="inlineStr">
        <is>
          <t>94618</t>
        </is>
      </c>
      <c r="D1150" s="30" t="inlineStr">
        <is>
          <t>Provider of a fundraising platform. The company offers a software for marketers who seek to connect emotionally with their customers and delivers leads, brand awareness and goodwill by selling sponsorship-marketing opportunities via its fundraising platform.</t>
        </is>
      </c>
      <c r="E1150" s="31" t="inlineStr">
        <is>
          <t>Social/Platform Software</t>
        </is>
      </c>
      <c r="F1150" s="32" t="inlineStr">
        <is>
          <t>Oakland, CA</t>
        </is>
      </c>
      <c r="G1150" s="33" t="inlineStr">
        <is>
          <t>Privately Held (backing)</t>
        </is>
      </c>
      <c r="H1150" s="34" t="inlineStr">
        <is>
          <t>Angel-Backed</t>
        </is>
      </c>
      <c r="I1150" s="35" t="inlineStr">
        <is>
          <t/>
        </is>
      </c>
      <c r="J1150" s="36" t="inlineStr">
        <is>
          <t>www.sponsorbrite.com</t>
        </is>
      </c>
      <c r="K1150" s="37" t="inlineStr">
        <is>
          <t/>
        </is>
      </c>
      <c r="L1150" s="38" t="inlineStr">
        <is>
          <t>+1 (800) 213-6645</t>
        </is>
      </c>
      <c r="M1150" s="39" t="inlineStr">
        <is>
          <t>Amin Ariana</t>
        </is>
      </c>
      <c r="N1150" s="40" t="inlineStr">
        <is>
          <t>Board Member, Chief Technology Officer &amp; Co-Founder</t>
        </is>
      </c>
      <c r="O1150" s="41" t="inlineStr">
        <is>
          <t>amin@gatelabs.co</t>
        </is>
      </c>
      <c r="P1150" s="42" t="inlineStr">
        <is>
          <t>+1 (425) 221-4401</t>
        </is>
      </c>
      <c r="Q1150" s="43" t="n">
        <v>2014.0</v>
      </c>
      <c r="R1150" s="114">
        <f>HYPERLINK("https://my.pitchbook.com?c=104176-00", "View company online")</f>
      </c>
    </row>
    <row r="1151">
      <c r="A1151" s="9" t="inlineStr">
        <is>
          <t>171353-89</t>
        </is>
      </c>
      <c r="B1151" s="10" t="inlineStr">
        <is>
          <t>Spoke Phone</t>
        </is>
      </c>
      <c r="C1151" s="85">
        <f>HYPERLINK("https://my.pitchbook.com?rrp=171353-89&amp;type=c", "This Company's information is not available to download. Need this Company? Request availability")</f>
      </c>
      <c r="D1151" s="12" t="inlineStr">
        <is>
          <t/>
        </is>
      </c>
      <c r="E1151" s="13" t="inlineStr">
        <is>
          <t/>
        </is>
      </c>
      <c r="F1151" s="14" t="inlineStr">
        <is>
          <t/>
        </is>
      </c>
      <c r="G1151" s="15" t="inlineStr">
        <is>
          <t/>
        </is>
      </c>
      <c r="H1151" s="16" t="inlineStr">
        <is>
          <t/>
        </is>
      </c>
      <c r="I1151" s="17" t="inlineStr">
        <is>
          <t/>
        </is>
      </c>
      <c r="J1151" s="18" t="inlineStr">
        <is>
          <t/>
        </is>
      </c>
      <c r="K1151" s="19" t="inlineStr">
        <is>
          <t/>
        </is>
      </c>
      <c r="L1151" s="20" t="inlineStr">
        <is>
          <t/>
        </is>
      </c>
      <c r="M1151" s="21" t="inlineStr">
        <is>
          <t/>
        </is>
      </c>
      <c r="N1151" s="22" t="inlineStr">
        <is>
          <t/>
        </is>
      </c>
      <c r="O1151" s="23" t="inlineStr">
        <is>
          <t/>
        </is>
      </c>
      <c r="P1151" s="24" t="inlineStr">
        <is>
          <t/>
        </is>
      </c>
      <c r="Q1151" s="25" t="inlineStr">
        <is>
          <t/>
        </is>
      </c>
      <c r="R1151" s="26" t="inlineStr">
        <is>
          <t/>
        </is>
      </c>
    </row>
    <row r="1152">
      <c r="A1152" s="27" t="inlineStr">
        <is>
          <t>102452-68</t>
        </is>
      </c>
      <c r="B1152" s="28" t="inlineStr">
        <is>
          <t>Spoil</t>
        </is>
      </c>
      <c r="C1152" s="29" t="inlineStr">
        <is>
          <t>94710</t>
        </is>
      </c>
      <c r="D1152" s="30" t="inlineStr">
        <is>
          <t>Operator of an online gift store. The company offers a personalized gift concierge service to buy gifts for different type of occasion by using algorithm to identify the type of gift one needs and predicting what makes users happy.</t>
        </is>
      </c>
      <c r="E1152" s="31" t="inlineStr">
        <is>
          <t>Internet Retail</t>
        </is>
      </c>
      <c r="F1152" s="32" t="inlineStr">
        <is>
          <t>Berkeley, CA</t>
        </is>
      </c>
      <c r="G1152" s="33" t="inlineStr">
        <is>
          <t>Privately Held (backing)</t>
        </is>
      </c>
      <c r="H1152" s="34" t="inlineStr">
        <is>
          <t>Accelerator/Incubator Backed</t>
        </is>
      </c>
      <c r="I1152" s="35" t="inlineStr">
        <is>
          <t>Y Combinator</t>
        </is>
      </c>
      <c r="J1152" s="36" t="inlineStr">
        <is>
          <t>www.spoil.co</t>
        </is>
      </c>
      <c r="K1152" s="37" t="inlineStr">
        <is>
          <t>hello@spoil.io</t>
        </is>
      </c>
      <c r="L1152" s="38" t="inlineStr">
        <is>
          <t/>
        </is>
      </c>
      <c r="M1152" s="39" t="inlineStr">
        <is>
          <t>Charles-Eric Gascon</t>
        </is>
      </c>
      <c r="N1152" s="40" t="inlineStr">
        <is>
          <t>Co-Founder &amp; Chief Executive Officer</t>
        </is>
      </c>
      <c r="O1152" s="41" t="inlineStr">
        <is>
          <t/>
        </is>
      </c>
      <c r="P1152" s="42" t="inlineStr">
        <is>
          <t/>
        </is>
      </c>
      <c r="Q1152" s="43" t="n">
        <v>2014.0</v>
      </c>
      <c r="R1152" s="114">
        <f>HYPERLINK("https://my.pitchbook.com?c=102452-68", "View company online")</f>
      </c>
    </row>
    <row r="1153">
      <c r="A1153" s="9" t="inlineStr">
        <is>
          <t>156829-78</t>
        </is>
      </c>
      <c r="B1153" s="10" t="inlineStr">
        <is>
          <t>Splore (Photo Sharing)</t>
        </is>
      </c>
      <c r="C1153" s="11" t="inlineStr">
        <is>
          <t>90066</t>
        </is>
      </c>
      <c r="D1153" s="12" t="inlineStr">
        <is>
          <t>Developer of an image sharing application. The company's platform allows its users to follow hashtags and view photos shared by others from around the world.</t>
        </is>
      </c>
      <c r="E1153" s="13" t="inlineStr">
        <is>
          <t>Information Services (B2C)</t>
        </is>
      </c>
      <c r="F1153" s="14" t="inlineStr">
        <is>
          <t>Los Angeles, CA</t>
        </is>
      </c>
      <c r="G1153" s="15" t="inlineStr">
        <is>
          <t>Privately Held (backing)</t>
        </is>
      </c>
      <c r="H1153" s="16" t="inlineStr">
        <is>
          <t>Angel-Backed</t>
        </is>
      </c>
      <c r="I1153" s="17" t="inlineStr">
        <is>
          <t/>
        </is>
      </c>
      <c r="J1153" s="18" t="inlineStr">
        <is>
          <t>www.splore.co</t>
        </is>
      </c>
      <c r="K1153" s="19" t="inlineStr">
        <is>
          <t/>
        </is>
      </c>
      <c r="L1153" s="20" t="inlineStr">
        <is>
          <t/>
        </is>
      </c>
      <c r="M1153" s="21" t="inlineStr">
        <is>
          <t>Christopher Karimian</t>
        </is>
      </c>
      <c r="N1153" s="22" t="inlineStr">
        <is>
          <t>Co-Founder and Chief Executive Officer</t>
        </is>
      </c>
      <c r="O1153" s="23" t="inlineStr">
        <is>
          <t/>
        </is>
      </c>
      <c r="P1153" s="24" t="inlineStr">
        <is>
          <t/>
        </is>
      </c>
      <c r="Q1153" s="25" t="n">
        <v>2015.0</v>
      </c>
      <c r="R1153" s="113">
        <f>HYPERLINK("https://my.pitchbook.com?c=156829-78", "View company online")</f>
      </c>
    </row>
    <row r="1154">
      <c r="A1154" s="27" t="inlineStr">
        <is>
          <t>89767-72</t>
        </is>
      </c>
      <c r="B1154" s="28" t="inlineStr">
        <is>
          <t>Splenvid</t>
        </is>
      </c>
      <c r="C1154" s="29" t="inlineStr">
        <is>
          <t>94114</t>
        </is>
      </c>
      <c r="D1154" s="30" t="inlineStr">
        <is>
          <t>Provider of a movie creation platform. The company offers a mobile application that automatically combines the captured moments from the users and their friends into a collaborative movie of their shared experience.</t>
        </is>
      </c>
      <c r="E1154" s="31" t="inlineStr">
        <is>
          <t>Entertainment Software</t>
        </is>
      </c>
      <c r="F1154" s="32" t="inlineStr">
        <is>
          <t>San Francisco, CA</t>
        </is>
      </c>
      <c r="G1154" s="33" t="inlineStr">
        <is>
          <t>Privately Held (backing)</t>
        </is>
      </c>
      <c r="H1154" s="34" t="inlineStr">
        <is>
          <t>Accelerator/Incubator Backed</t>
        </is>
      </c>
      <c r="I1154" s="35" t="inlineStr">
        <is>
          <t>FFL Startup Accelerator</t>
        </is>
      </c>
      <c r="J1154" s="36" t="inlineStr">
        <is>
          <t>www.splenvid.com</t>
        </is>
      </c>
      <c r="K1154" s="37" t="inlineStr">
        <is>
          <t>info@splenvid.com</t>
        </is>
      </c>
      <c r="L1154" s="38" t="inlineStr">
        <is>
          <t>+1 (512) 277-5362</t>
        </is>
      </c>
      <c r="M1154" s="39" t="inlineStr">
        <is>
          <t>Jeff Raubitschek</t>
        </is>
      </c>
      <c r="N1154" s="40" t="inlineStr">
        <is>
          <t>Co-Founder &amp; Chief Technology Officer</t>
        </is>
      </c>
      <c r="O1154" s="41" t="inlineStr">
        <is>
          <t>jeff@splenvid.com</t>
        </is>
      </c>
      <c r="P1154" s="42" t="inlineStr">
        <is>
          <t>+1 (512) 277-5362</t>
        </is>
      </c>
      <c r="Q1154" s="43" t="n">
        <v>2012.0</v>
      </c>
      <c r="R1154" s="114">
        <f>HYPERLINK("https://my.pitchbook.com?c=89767-72", "View company online")</f>
      </c>
    </row>
    <row r="1155">
      <c r="A1155" s="9" t="inlineStr">
        <is>
          <t>58131-28</t>
        </is>
      </c>
      <c r="B1155" s="10" t="inlineStr">
        <is>
          <t>Splash Technologies</t>
        </is>
      </c>
      <c r="C1155" s="11" t="inlineStr">
        <is>
          <t/>
        </is>
      </c>
      <c r="D1155" s="12" t="inlineStr">
        <is>
          <t>Provider of social platform focused on following interests, not people. The company is the developer of a mobile application enabling users to create communities based on shared interests. The application is available in multiple languages</t>
        </is>
      </c>
      <c r="E1155" s="13" t="inlineStr">
        <is>
          <t>Social Content</t>
        </is>
      </c>
      <c r="F1155" s="14" t="inlineStr">
        <is>
          <t>Santa Monica, CA</t>
        </is>
      </c>
      <c r="G1155" s="15" t="inlineStr">
        <is>
          <t>Privately Held (backing)</t>
        </is>
      </c>
      <c r="H1155" s="16" t="inlineStr">
        <is>
          <t>Accelerator/Incubator Backed</t>
        </is>
      </c>
      <c r="I1155" s="17" t="inlineStr">
        <is>
          <t>Portland Incubator Experiment</t>
        </is>
      </c>
      <c r="J1155" s="18" t="inlineStr">
        <is>
          <t>www.splash.io</t>
        </is>
      </c>
      <c r="K1155" s="19" t="inlineStr">
        <is>
          <t/>
        </is>
      </c>
      <c r="L1155" s="20" t="inlineStr">
        <is>
          <t/>
        </is>
      </c>
      <c r="M1155" s="21" t="inlineStr">
        <is>
          <t>Rory Reiff</t>
        </is>
      </c>
      <c r="N1155" s="22" t="inlineStr">
        <is>
          <t>Co-Founder</t>
        </is>
      </c>
      <c r="O1155" s="23" t="inlineStr">
        <is>
          <t>rory@splash.io</t>
        </is>
      </c>
      <c r="P1155" s="24" t="inlineStr">
        <is>
          <t/>
        </is>
      </c>
      <c r="Q1155" s="25" t="n">
        <v>2012.0</v>
      </c>
      <c r="R1155" s="113">
        <f>HYPERLINK("https://my.pitchbook.com?c=58131-28", "View company online")</f>
      </c>
    </row>
    <row r="1156">
      <c r="A1156" s="27" t="inlineStr">
        <is>
          <t>171748-45</t>
        </is>
      </c>
      <c r="B1156" s="28" t="inlineStr">
        <is>
          <t>Splash - Online Presence Management</t>
        </is>
      </c>
      <c r="C1156" s="86">
        <f>HYPERLINK("https://my.pitchbook.com?rrp=171748-45&amp;type=c", "This Company's information is not available to download. Need this Company? Request availability")</f>
      </c>
      <c r="D1156" s="30" t="inlineStr">
        <is>
          <t/>
        </is>
      </c>
      <c r="E1156" s="31" t="inlineStr">
        <is>
          <t/>
        </is>
      </c>
      <c r="F1156" s="32" t="inlineStr">
        <is>
          <t/>
        </is>
      </c>
      <c r="G1156" s="33" t="inlineStr">
        <is>
          <t/>
        </is>
      </c>
      <c r="H1156" s="34" t="inlineStr">
        <is>
          <t/>
        </is>
      </c>
      <c r="I1156" s="35" t="inlineStr">
        <is>
          <t/>
        </is>
      </c>
      <c r="J1156" s="36" t="inlineStr">
        <is>
          <t/>
        </is>
      </c>
      <c r="K1156" s="37" t="inlineStr">
        <is>
          <t/>
        </is>
      </c>
      <c r="L1156" s="38" t="inlineStr">
        <is>
          <t/>
        </is>
      </c>
      <c r="M1156" s="39" t="inlineStr">
        <is>
          <t/>
        </is>
      </c>
      <c r="N1156" s="40" t="inlineStr">
        <is>
          <t/>
        </is>
      </c>
      <c r="O1156" s="41" t="inlineStr">
        <is>
          <t/>
        </is>
      </c>
      <c r="P1156" s="42" t="inlineStr">
        <is>
          <t/>
        </is>
      </c>
      <c r="Q1156" s="43" t="inlineStr">
        <is>
          <t/>
        </is>
      </c>
      <c r="R1156" s="44" t="inlineStr">
        <is>
          <t/>
        </is>
      </c>
    </row>
    <row r="1157">
      <c r="A1157" s="9" t="inlineStr">
        <is>
          <t>66037-78</t>
        </is>
      </c>
      <c r="B1157" s="10" t="inlineStr">
        <is>
          <t>Spitfire Athlete</t>
        </is>
      </c>
      <c r="C1157" s="11" t="inlineStr">
        <is>
          <t>94117</t>
        </is>
      </c>
      <c r="D1157" s="12" t="inlineStr">
        <is>
          <t>Provider of a health and fitness application for women. The company's mobile platform provides four-week training plans, with tools for tracking progress and learning exercises. The app is woman-focused, although useable for men.</t>
        </is>
      </c>
      <c r="E1157" s="13" t="inlineStr">
        <is>
          <t>Social/Platform Software</t>
        </is>
      </c>
      <c r="F1157" s="14" t="inlineStr">
        <is>
          <t>San Francisco, CA</t>
        </is>
      </c>
      <c r="G1157" s="15" t="inlineStr">
        <is>
          <t>Privately Held (backing)</t>
        </is>
      </c>
      <c r="H1157" s="16" t="inlineStr">
        <is>
          <t>Accelerator/Incubator Backed</t>
        </is>
      </c>
      <c r="I1157" s="17" t="inlineStr">
        <is>
          <t>Right Side Capital Management, Techstars</t>
        </is>
      </c>
      <c r="J1157" s="18" t="inlineStr">
        <is>
          <t>www.spitfireathlete.com</t>
        </is>
      </c>
      <c r="K1157" s="19" t="inlineStr">
        <is>
          <t>support@spitfireathlete.com</t>
        </is>
      </c>
      <c r="L1157" s="20" t="inlineStr">
        <is>
          <t/>
        </is>
      </c>
      <c r="M1157" s="21" t="inlineStr">
        <is>
          <t>Erin Parker</t>
        </is>
      </c>
      <c r="N1157" s="22" t="inlineStr">
        <is>
          <t>Co-Founder &amp; Chief Executive Officer</t>
        </is>
      </c>
      <c r="O1157" s="23" t="inlineStr">
        <is>
          <t>erin@spitfireathlete.com</t>
        </is>
      </c>
      <c r="P1157" s="24" t="inlineStr">
        <is>
          <t/>
        </is>
      </c>
      <c r="Q1157" s="25" t="n">
        <v>2012.0</v>
      </c>
      <c r="R1157" s="113">
        <f>HYPERLINK("https://my.pitchbook.com?c=66037-78", "View company online")</f>
      </c>
    </row>
    <row r="1158">
      <c r="A1158" s="27" t="inlineStr">
        <is>
          <t>119117-26</t>
        </is>
      </c>
      <c r="B1158" s="28" t="inlineStr">
        <is>
          <t>Spiral Water Technologies</t>
        </is>
      </c>
      <c r="C1158" s="29" t="inlineStr">
        <is>
          <t>94901</t>
        </is>
      </c>
      <c r="D1158" s="30" t="inlineStr">
        <is>
          <t>Developer of a filtration technology for industrial applications. The company offers automatic self-cleaning filters for suspended solid removal.</t>
        </is>
      </c>
      <c r="E1158" s="31" t="inlineStr">
        <is>
          <t>Other Commercial Products</t>
        </is>
      </c>
      <c r="F1158" s="32" t="inlineStr">
        <is>
          <t>San Rafael, CA</t>
        </is>
      </c>
      <c r="G1158" s="33" t="inlineStr">
        <is>
          <t>Privately Held (backing)</t>
        </is>
      </c>
      <c r="H1158" s="34" t="inlineStr">
        <is>
          <t>Accelerator/Incubator Backed</t>
        </is>
      </c>
      <c r="I1158" s="35" t="inlineStr">
        <is>
          <t>Venture Greenhouse</t>
        </is>
      </c>
      <c r="J1158" s="36" t="inlineStr">
        <is>
          <t>www.spiralwater.com</t>
        </is>
      </c>
      <c r="K1158" s="37" t="inlineStr">
        <is>
          <t>info@spiralwater.com</t>
        </is>
      </c>
      <c r="L1158" s="38" t="inlineStr">
        <is>
          <t>+1 (844) 277-4725</t>
        </is>
      </c>
      <c r="M1158" s="39" t="inlineStr">
        <is>
          <t>Dave Dreessen</t>
        </is>
      </c>
      <c r="N1158" s="40" t="inlineStr">
        <is>
          <t>Chief Financial Officer</t>
        </is>
      </c>
      <c r="O1158" s="41" t="inlineStr">
        <is>
          <t>ddreessen@spiralwater.com</t>
        </is>
      </c>
      <c r="P1158" s="42" t="inlineStr">
        <is>
          <t>+1 (844) 277-4725</t>
        </is>
      </c>
      <c r="Q1158" s="43" t="n">
        <v>2012.0</v>
      </c>
      <c r="R1158" s="114">
        <f>HYPERLINK("https://my.pitchbook.com?c=119117-26", "View company online")</f>
      </c>
    </row>
    <row r="1159">
      <c r="A1159" s="9" t="inlineStr">
        <is>
          <t>92500-03</t>
        </is>
      </c>
      <c r="B1159" s="10" t="inlineStr">
        <is>
          <t>Spinnaker Biosciences</t>
        </is>
      </c>
      <c r="C1159" s="11" t="inlineStr">
        <is>
          <t>92075</t>
        </is>
      </c>
      <c r="D1159" s="12" t="inlineStr">
        <is>
          <t>Operator of an ophthalmic drug delivery company. The company develops ophthalmic drug delivery technologies for intraocular use.</t>
        </is>
      </c>
      <c r="E1159" s="13" t="inlineStr">
        <is>
          <t>Biotechnology</t>
        </is>
      </c>
      <c r="F1159" s="14" t="inlineStr">
        <is>
          <t>Solana Beach, CA</t>
        </is>
      </c>
      <c r="G1159" s="15" t="inlineStr">
        <is>
          <t>Privately Held (backing)</t>
        </is>
      </c>
      <c r="H1159" s="16" t="inlineStr">
        <is>
          <t>Angel-Backed</t>
        </is>
      </c>
      <c r="I1159" s="17" t="inlineStr">
        <is>
          <t>U.S. Department of Health and Human Services</t>
        </is>
      </c>
      <c r="J1159" s="18" t="inlineStr">
        <is>
          <t>www.spinnakerbiosciences.com</t>
        </is>
      </c>
      <c r="K1159" s="19" t="inlineStr">
        <is>
          <t/>
        </is>
      </c>
      <c r="L1159" s="20" t="inlineStr">
        <is>
          <t>+1 (858) 414-3961</t>
        </is>
      </c>
      <c r="M1159" s="21" t="inlineStr">
        <is>
          <t>Virgil Thompson</t>
        </is>
      </c>
      <c r="N1159" s="22" t="inlineStr">
        <is>
          <t>Chief Executive Officer, Board Member and President</t>
        </is>
      </c>
      <c r="O1159" s="23" t="inlineStr">
        <is>
          <t>virgil@spinnakerbiosciences.com</t>
        </is>
      </c>
      <c r="P1159" s="24" t="inlineStr">
        <is>
          <t>+1 (858) 414-3961</t>
        </is>
      </c>
      <c r="Q1159" s="25" t="n">
        <v>2009.0</v>
      </c>
      <c r="R1159" s="113">
        <f>HYPERLINK("https://my.pitchbook.com?c=92500-03", "View company online")</f>
      </c>
    </row>
    <row r="1160">
      <c r="A1160" s="27" t="inlineStr">
        <is>
          <t>100022-14</t>
        </is>
      </c>
      <c r="B1160" s="28" t="inlineStr">
        <is>
          <t>Spinn Coffee</t>
        </is>
      </c>
      <c r="C1160" s="29" t="inlineStr">
        <is>
          <t>94107</t>
        </is>
      </c>
      <c r="D1160" s="30" t="inlineStr">
        <is>
          <t>Manufacturer of Internet connected coffee machines. The company builds coffee machines that use centrifugal force to brew coffee and are connected to a marketplace for specialty coffee roasters.</t>
        </is>
      </c>
      <c r="E1160" s="31" t="inlineStr">
        <is>
          <t>Electronics (B2C)</t>
        </is>
      </c>
      <c r="F1160" s="32" t="inlineStr">
        <is>
          <t>San Francisco, CA</t>
        </is>
      </c>
      <c r="G1160" s="33" t="inlineStr">
        <is>
          <t>Privately Held (backing)</t>
        </is>
      </c>
      <c r="H1160" s="34" t="inlineStr">
        <is>
          <t>Accelerator/Incubator Backed</t>
        </is>
      </c>
      <c r="I1160" s="35" t="inlineStr">
        <is>
          <t>Highway1, PCH</t>
        </is>
      </c>
      <c r="J1160" s="36" t="inlineStr">
        <is>
          <t>www.spinn.com</t>
        </is>
      </c>
      <c r="K1160" s="37" t="inlineStr">
        <is>
          <t>info@spinn.coffee</t>
        </is>
      </c>
      <c r="L1160" s="38" t="inlineStr">
        <is>
          <t>+1 (818) 738-9803</t>
        </is>
      </c>
      <c r="M1160" s="39" t="inlineStr">
        <is>
          <t>Roderick de Rode</t>
        </is>
      </c>
      <c r="N1160" s="40" t="inlineStr">
        <is>
          <t>Co-Founder &amp; Chief Executive Officer</t>
        </is>
      </c>
      <c r="O1160" s="41" t="inlineStr">
        <is>
          <t>roderick@spinn.coffee</t>
        </is>
      </c>
      <c r="P1160" s="42" t="inlineStr">
        <is>
          <t>+1 (818) 738-9803</t>
        </is>
      </c>
      <c r="Q1160" s="43" t="n">
        <v>2014.0</v>
      </c>
      <c r="R1160" s="114">
        <f>HYPERLINK("https://my.pitchbook.com?c=100022-14", "View company online")</f>
      </c>
    </row>
    <row r="1161">
      <c r="A1161" s="9" t="inlineStr">
        <is>
          <t>54740-35</t>
        </is>
      </c>
      <c r="B1161" s="10" t="inlineStr">
        <is>
          <t>Spinlister</t>
        </is>
      </c>
      <c r="C1161" s="11" t="inlineStr">
        <is>
          <t>90401</t>
        </is>
      </c>
      <c r="D1161" s="12" t="inlineStr">
        <is>
          <t>Provider of an online marketplace for bikes. The company offers an online platform which enables users to find bikes, skis, and snowboards to rent from individuals or existing rental shops.</t>
        </is>
      </c>
      <c r="E1161" s="13" t="inlineStr">
        <is>
          <t>Internet Retail</t>
        </is>
      </c>
      <c r="F1161" s="14" t="inlineStr">
        <is>
          <t>Santa Monica, CA</t>
        </is>
      </c>
      <c r="G1161" s="15" t="inlineStr">
        <is>
          <t>Privately Held (backing)</t>
        </is>
      </c>
      <c r="H1161" s="16" t="inlineStr">
        <is>
          <t>Angel-Backed</t>
        </is>
      </c>
      <c r="I1161" s="17" t="inlineStr">
        <is>
          <t>Marcelo Loureiro</t>
        </is>
      </c>
      <c r="J1161" s="18" t="inlineStr">
        <is>
          <t>www.spinlister.com</t>
        </is>
      </c>
      <c r="K1161" s="19" t="inlineStr">
        <is>
          <t>info@spinlister.com</t>
        </is>
      </c>
      <c r="L1161" s="20" t="inlineStr">
        <is>
          <t>+1 (619) 537-6427</t>
        </is>
      </c>
      <c r="M1161" s="21" t="inlineStr">
        <is>
          <t>Marcelo Loureiro</t>
        </is>
      </c>
      <c r="N1161" s="22" t="inlineStr">
        <is>
          <t>Co-Founder &amp; Chief Executive Officer</t>
        </is>
      </c>
      <c r="O1161" s="23" t="inlineStr">
        <is>
          <t>marcelo@spinlister.com</t>
        </is>
      </c>
      <c r="P1161" s="24" t="inlineStr">
        <is>
          <t>+1 (619) 537-6427</t>
        </is>
      </c>
      <c r="Q1161" s="25" t="inlineStr">
        <is>
          <t/>
        </is>
      </c>
      <c r="R1161" s="113">
        <f>HYPERLINK("https://my.pitchbook.com?c=54740-35", "View company online")</f>
      </c>
    </row>
    <row r="1162">
      <c r="A1162" s="27" t="inlineStr">
        <is>
          <t>123888-16</t>
        </is>
      </c>
      <c r="B1162" s="28" t="inlineStr">
        <is>
          <t>Spinezone Medical Fitness</t>
        </is>
      </c>
      <c r="C1162" s="29" t="inlineStr">
        <is>
          <t>92108</t>
        </is>
      </c>
      <c r="D1162" s="30" t="inlineStr">
        <is>
          <t>Developer of back and neck rehabilitation therapy. The company specializes in providing rehabilitation exercise therapy program focused on prevention, treatment, and recovery of spinal conditions.</t>
        </is>
      </c>
      <c r="E1162" s="31" t="inlineStr">
        <is>
          <t>Other Healthcare Services</t>
        </is>
      </c>
      <c r="F1162" s="32" t="inlineStr">
        <is>
          <t>San Diego, CA</t>
        </is>
      </c>
      <c r="G1162" s="33" t="inlineStr">
        <is>
          <t>Privately Held (backing)</t>
        </is>
      </c>
      <c r="H1162" s="34" t="inlineStr">
        <is>
          <t>Accelerator/Incubator Backed</t>
        </is>
      </c>
      <c r="I1162" s="35" t="inlineStr">
        <is>
          <t>Combustion Ventures</t>
        </is>
      </c>
      <c r="J1162" s="36" t="inlineStr">
        <is>
          <t>wwwspine-zone.com</t>
        </is>
      </c>
      <c r="K1162" s="37" t="inlineStr">
        <is>
          <t>info@spine-zone.com</t>
        </is>
      </c>
      <c r="L1162" s="38" t="inlineStr">
        <is>
          <t>+1 (619) 574-8770</t>
        </is>
      </c>
      <c r="M1162" s="39" t="inlineStr">
        <is>
          <t>Kian Raiszadeh</t>
        </is>
      </c>
      <c r="N1162" s="40" t="inlineStr">
        <is>
          <t>Co-Founder &amp; Chief Executive Officer</t>
        </is>
      </c>
      <c r="O1162" s="41" t="inlineStr">
        <is>
          <t>kian@spinezone.com</t>
        </is>
      </c>
      <c r="P1162" s="42" t="inlineStr">
        <is>
          <t>+1 (619) 574-8770</t>
        </is>
      </c>
      <c r="Q1162" s="43" t="n">
        <v>2005.0</v>
      </c>
      <c r="R1162" s="114">
        <f>HYPERLINK("https://my.pitchbook.com?c=123888-16", "View company online")</f>
      </c>
    </row>
    <row r="1163">
      <c r="A1163" s="9" t="inlineStr">
        <is>
          <t>155951-02</t>
        </is>
      </c>
      <c r="B1163" s="10" t="inlineStr">
        <is>
          <t>Spinal Singularity</t>
        </is>
      </c>
      <c r="C1163" s="11" t="inlineStr">
        <is>
          <t>92672</t>
        </is>
      </c>
      <c r="D1163" s="12" t="inlineStr">
        <is>
          <t>Developer of a smart catheter device. The company develops a smart catheter device that alerts patients when their bladder is full via their mobile phone and allows them to empty their bladder with an internal valve.</t>
        </is>
      </c>
      <c r="E1163" s="13" t="inlineStr">
        <is>
          <t>Therapeutic Devices</t>
        </is>
      </c>
      <c r="F1163" s="14" t="inlineStr">
        <is>
          <t>San Clemente, CA</t>
        </is>
      </c>
      <c r="G1163" s="15" t="inlineStr">
        <is>
          <t>Privately Held (backing)</t>
        </is>
      </c>
      <c r="H1163" s="16" t="inlineStr">
        <is>
          <t>Accelerator/Incubator Backed</t>
        </is>
      </c>
      <c r="I1163" s="17" t="inlineStr">
        <is>
          <t>Knapp Venture Competition, MedTech Innovator, SV Tech Ventures, University of California, Y Combinator</t>
        </is>
      </c>
      <c r="J1163" s="18" t="inlineStr">
        <is>
          <t>www.spinalsingularity.com</t>
        </is>
      </c>
      <c r="K1163" s="19" t="inlineStr">
        <is>
          <t>info@spinalsingularity.com</t>
        </is>
      </c>
      <c r="L1163" s="20" t="inlineStr">
        <is>
          <t/>
        </is>
      </c>
      <c r="M1163" s="21" t="inlineStr">
        <is>
          <t>Derek Herrera</t>
        </is>
      </c>
      <c r="N1163" s="22" t="inlineStr">
        <is>
          <t>Co-Founder &amp; Chief Executive Officer</t>
        </is>
      </c>
      <c r="O1163" s="23" t="inlineStr">
        <is>
          <t>derek@spinalsingularity.com</t>
        </is>
      </c>
      <c r="P1163" s="24" t="inlineStr">
        <is>
          <t>+1 (470) 222-5323</t>
        </is>
      </c>
      <c r="Q1163" s="25" t="n">
        <v>2015.0</v>
      </c>
      <c r="R1163" s="113">
        <f>HYPERLINK("https://my.pitchbook.com?c=155951-02", "View company online")</f>
      </c>
    </row>
    <row r="1164">
      <c r="A1164" s="27" t="inlineStr">
        <is>
          <t>95307-76</t>
        </is>
      </c>
      <c r="B1164" s="28" t="inlineStr">
        <is>
          <t>Spinal Integration</t>
        </is>
      </c>
      <c r="C1164" s="29" t="inlineStr">
        <is>
          <t>94070</t>
        </is>
      </c>
      <c r="D1164" s="30" t="inlineStr">
        <is>
          <t>Provider of a medical device for anesthetic dose delivery. The company provides an intraoperative epidural catheter kit to provide single dose delivery of local anesthetic and narcotics for spinal surgery.</t>
        </is>
      </c>
      <c r="E1164" s="31" t="inlineStr">
        <is>
          <t>Medical Supplies</t>
        </is>
      </c>
      <c r="F1164" s="32" t="inlineStr">
        <is>
          <t>San Carlos, CA</t>
        </is>
      </c>
      <c r="G1164" s="33" t="inlineStr">
        <is>
          <t>Privately Held (backing)</t>
        </is>
      </c>
      <c r="H1164" s="34" t="inlineStr">
        <is>
          <t>Angel-Backed</t>
        </is>
      </c>
      <c r="I1164" s="35" t="inlineStr">
        <is>
          <t/>
        </is>
      </c>
      <c r="J1164" s="36" t="inlineStr">
        <is>
          <t>spinalintegration.com</t>
        </is>
      </c>
      <c r="K1164" s="37" t="inlineStr">
        <is>
          <t/>
        </is>
      </c>
      <c r="L1164" s="38" t="inlineStr">
        <is>
          <t>+1 (650) 631-4515</t>
        </is>
      </c>
      <c r="M1164" s="39" t="inlineStr">
        <is>
          <t/>
        </is>
      </c>
      <c r="N1164" s="40" t="inlineStr">
        <is>
          <t/>
        </is>
      </c>
      <c r="O1164" s="41" t="inlineStr">
        <is>
          <t/>
        </is>
      </c>
      <c r="P1164" s="42" t="inlineStr">
        <is>
          <t/>
        </is>
      </c>
      <c r="Q1164" s="43" t="n">
        <v>2005.0</v>
      </c>
      <c r="R1164" s="114">
        <f>HYPERLINK("https://my.pitchbook.com?c=95307-76", "View company online")</f>
      </c>
    </row>
    <row r="1165">
      <c r="A1165" s="9" t="inlineStr">
        <is>
          <t>169967-26</t>
        </is>
      </c>
      <c r="B1165" s="10" t="inlineStr">
        <is>
          <t>Spiio</t>
        </is>
      </c>
      <c r="C1165" s="11" t="inlineStr">
        <is>
          <t>94301</t>
        </is>
      </c>
      <c r="D1165" s="12" t="inlineStr">
        <is>
          <t>Developer of sensors designed for high value green plant installations. The company's sensors provides high value green plant installation services for urban vegetation market and offers expertise by combining IoT and horticulture by reducing maintenance cost of irrigation systems and making the whole process digitized, enabling users to accelerate green urban environments.</t>
        </is>
      </c>
      <c r="E1165" s="13" t="inlineStr">
        <is>
          <t>Machinery (B2B)</t>
        </is>
      </c>
      <c r="F1165" s="14" t="inlineStr">
        <is>
          <t>Palo Alto, CA</t>
        </is>
      </c>
      <c r="G1165" s="15" t="inlineStr">
        <is>
          <t>Privately Held (backing)</t>
        </is>
      </c>
      <c r="H1165" s="16" t="inlineStr">
        <is>
          <t>Accelerator/Incubator Backed</t>
        </is>
      </c>
      <c r="I1165" s="17" t="inlineStr">
        <is>
          <t>Danish Tech Challenge, Innovation Fund Denmark</t>
        </is>
      </c>
      <c r="J1165" s="18" t="inlineStr">
        <is>
          <t>www.spiio.com</t>
        </is>
      </c>
      <c r="K1165" s="19" t="inlineStr">
        <is>
          <t>contact@spiio.com</t>
        </is>
      </c>
      <c r="L1165" s="20" t="inlineStr">
        <is>
          <t>+1 (628) 246-5661</t>
        </is>
      </c>
      <c r="M1165" s="21" t="inlineStr">
        <is>
          <t>Christoffer Roed Thorup</t>
        </is>
      </c>
      <c r="N1165" s="22" t="inlineStr">
        <is>
          <t>Co-Founder</t>
        </is>
      </c>
      <c r="O1165" s="23" t="inlineStr">
        <is>
          <t>christoffer@spiio.com</t>
        </is>
      </c>
      <c r="P1165" s="24" t="inlineStr">
        <is>
          <t>+1 (628) 246-5661</t>
        </is>
      </c>
      <c r="Q1165" s="25" t="n">
        <v>2015.0</v>
      </c>
      <c r="R1165" s="113">
        <f>HYPERLINK("https://my.pitchbook.com?c=169967-26", "View company online")</f>
      </c>
    </row>
    <row r="1166">
      <c r="A1166" s="27" t="inlineStr">
        <is>
          <t>58921-21</t>
        </is>
      </c>
      <c r="B1166" s="28" t="inlineStr">
        <is>
          <t>Spice Kit</t>
        </is>
      </c>
      <c r="C1166" s="29" t="inlineStr">
        <is>
          <t>94105</t>
        </is>
      </c>
      <c r="D1166" s="30" t="inlineStr">
        <is>
          <t>Provider of Asian street food using French techniques. The company provides a platform where Asian street food is cooked with organic ingredients and meats that have been naturally raised and are available to public.</t>
        </is>
      </c>
      <c r="E1166" s="31" t="inlineStr">
        <is>
          <t>Food Products</t>
        </is>
      </c>
      <c r="F1166" s="32" t="inlineStr">
        <is>
          <t>San Francisco, CA</t>
        </is>
      </c>
      <c r="G1166" s="33" t="inlineStr">
        <is>
          <t>Privately Held (backing)</t>
        </is>
      </c>
      <c r="H1166" s="34" t="inlineStr">
        <is>
          <t>Angel-Backed</t>
        </is>
      </c>
      <c r="I1166" s="35" t="inlineStr">
        <is>
          <t/>
        </is>
      </c>
      <c r="J1166" s="36" t="inlineStr">
        <is>
          <t>www.spicekit.com</t>
        </is>
      </c>
      <c r="K1166" s="37" t="inlineStr">
        <is>
          <t/>
        </is>
      </c>
      <c r="L1166" s="38" t="inlineStr">
        <is>
          <t>+1 (415) 882-4581</t>
        </is>
      </c>
      <c r="M1166" s="39" t="inlineStr">
        <is>
          <t>Fred Tang</t>
        </is>
      </c>
      <c r="N1166" s="40" t="inlineStr">
        <is>
          <t>Founder, Chief Executive Officer &amp; Executive Chef</t>
        </is>
      </c>
      <c r="O1166" s="41" t="inlineStr">
        <is>
          <t>ftang@spicekit.com</t>
        </is>
      </c>
      <c r="P1166" s="42" t="inlineStr">
        <is>
          <t>+1 (415) 882-4581</t>
        </is>
      </c>
      <c r="Q1166" s="43" t="n">
        <v>2010.0</v>
      </c>
      <c r="R1166" s="114">
        <f>HYPERLINK("https://my.pitchbook.com?c=58921-21", "View company online")</f>
      </c>
    </row>
    <row r="1167">
      <c r="A1167" s="9" t="inlineStr">
        <is>
          <t>169667-20</t>
        </is>
      </c>
      <c r="B1167" s="10" t="inlineStr">
        <is>
          <t>Spherical Defence</t>
        </is>
      </c>
      <c r="C1167" s="11" t="inlineStr">
        <is>
          <t>91789</t>
        </is>
      </c>
      <c r="D1167" s="12" t="inlineStr">
        <is>
          <t>Developer of a banking API intrusion detection system designed to safeguard digital infrastructure of startups from cyber-attacks. The company's banking API intrusion detection system uses deep learning and artificial intelligence technology to detect hacking attempts, perform pen tests on corporate websites and consult them on their cyber security, enabling companies to safeguard their digital infrastructure from cyber-attacks.</t>
        </is>
      </c>
      <c r="E1167" s="13" t="inlineStr">
        <is>
          <t>Other IT Services</t>
        </is>
      </c>
      <c r="F1167" s="14" t="inlineStr">
        <is>
          <t>Walnut, CA</t>
        </is>
      </c>
      <c r="G1167" s="15" t="inlineStr">
        <is>
          <t>Privately Held (backing)</t>
        </is>
      </c>
      <c r="H1167" s="16" t="inlineStr">
        <is>
          <t>Accelerator/Incubator Backed</t>
        </is>
      </c>
      <c r="I1167" s="17" t="inlineStr">
        <is>
          <t>CyLon, GCHQ Cyber Accelerator, Wayra</t>
        </is>
      </c>
      <c r="J1167" s="18" t="inlineStr">
        <is>
          <t>www.sphericaldefence.com</t>
        </is>
      </c>
      <c r="K1167" s="19" t="inlineStr">
        <is>
          <t>contact@sphericaldefence.com</t>
        </is>
      </c>
      <c r="L1167" s="20" t="inlineStr">
        <is>
          <t>+1 (310) 579-2463</t>
        </is>
      </c>
      <c r="M1167" s="21" t="inlineStr">
        <is>
          <t>Dishant Shah</t>
        </is>
      </c>
      <c r="N1167" s="22" t="inlineStr">
        <is>
          <t>Co-Founder &amp; Chief Executive Officer</t>
        </is>
      </c>
      <c r="O1167" s="23" t="inlineStr">
        <is>
          <t>dishant@sphericaldefence.com</t>
        </is>
      </c>
      <c r="P1167" s="24" t="inlineStr">
        <is>
          <t>+1 (310) 579-2463</t>
        </is>
      </c>
      <c r="Q1167" s="25" t="n">
        <v>2016.0</v>
      </c>
      <c r="R1167" s="113">
        <f>HYPERLINK("https://my.pitchbook.com?c=169667-20", "View company online")</f>
      </c>
    </row>
    <row r="1168">
      <c r="A1168" s="27" t="inlineStr">
        <is>
          <t>156597-13</t>
        </is>
      </c>
      <c r="B1168" s="28" t="inlineStr">
        <is>
          <t>Spex Technologies</t>
        </is>
      </c>
      <c r="C1168" s="29" t="inlineStr">
        <is>
          <t>95131</t>
        </is>
      </c>
      <c r="D1168" s="30" t="inlineStr">
        <is>
          <t>The company is currently operating in Stealth mode.</t>
        </is>
      </c>
      <c r="E1168" s="31" t="inlineStr">
        <is>
          <t>Other Business Products and Services</t>
        </is>
      </c>
      <c r="F1168" s="32" t="inlineStr">
        <is>
          <t>San Jose, CA</t>
        </is>
      </c>
      <c r="G1168" s="33" t="inlineStr">
        <is>
          <t>Privately Held (backing)</t>
        </is>
      </c>
      <c r="H1168" s="34" t="inlineStr">
        <is>
          <t>Angel-Backed</t>
        </is>
      </c>
      <c r="I1168" s="35" t="inlineStr">
        <is>
          <t/>
        </is>
      </c>
      <c r="J1168" s="36" t="inlineStr">
        <is>
          <t/>
        </is>
      </c>
      <c r="K1168" s="37" t="inlineStr">
        <is>
          <t/>
        </is>
      </c>
      <c r="L1168" s="38" t="inlineStr">
        <is>
          <t>+1 (707) 843-9909</t>
        </is>
      </c>
      <c r="M1168" s="39" t="inlineStr">
        <is>
          <t>Thomas Hakel</t>
        </is>
      </c>
      <c r="N1168" s="40" t="inlineStr">
        <is>
          <t>President &amp; Board Member</t>
        </is>
      </c>
      <c r="O1168" s="41" t="inlineStr">
        <is>
          <t/>
        </is>
      </c>
      <c r="P1168" s="42" t="inlineStr">
        <is>
          <t>+1 (707) 843-9909</t>
        </is>
      </c>
      <c r="Q1168" s="43" t="n">
        <v>2015.0</v>
      </c>
      <c r="R1168" s="114">
        <f>HYPERLINK("https://my.pitchbook.com?c=156597-13", "View company online")</f>
      </c>
    </row>
    <row r="1169">
      <c r="A1169" s="9" t="inlineStr">
        <is>
          <t>102318-94</t>
        </is>
      </c>
      <c r="B1169" s="10" t="inlineStr">
        <is>
          <t>Spero Energy</t>
        </is>
      </c>
      <c r="C1169" s="11" t="inlineStr">
        <is>
          <t>47906</t>
        </is>
      </c>
      <c r="D1169" s="12" t="inlineStr">
        <is>
          <t>Developer of a lignin conversion technology designed to develop cost-competitive conversion of non-food biomass feedstock to high-value chemicals (HVCs) and renewable fuels. The company's one step lignin catalysis technology produces high selective lignin-free cellulose and xylose from municipal waste wood, enabling manufacturers of high value renewable chemicals from biomass to avoid expensive and environmentally impactful pretreatment step of lignocellulose.</t>
        </is>
      </c>
      <c r="E1169" s="13" t="inlineStr">
        <is>
          <t>Industrial Chemicals</t>
        </is>
      </c>
      <c r="F1169" s="14" t="inlineStr">
        <is>
          <t>West Lafayette, IN</t>
        </is>
      </c>
      <c r="G1169" s="15" t="inlineStr">
        <is>
          <t>Privately Held (backing)</t>
        </is>
      </c>
      <c r="H1169" s="16" t="inlineStr">
        <is>
          <t>Accelerator/Incubator Backed</t>
        </is>
      </c>
      <c r="I1169" s="17" t="inlineStr">
        <is>
          <t>Elevate Ventures, National Science Foundation, Purdue Research Foundation, Purdue University, U.S. Department of Energy</t>
        </is>
      </c>
      <c r="J1169" s="18" t="inlineStr">
        <is>
          <t>www.speroenergy.com</t>
        </is>
      </c>
      <c r="K1169" s="19" t="inlineStr">
        <is>
          <t>info@speroenergy.com</t>
        </is>
      </c>
      <c r="L1169" s="20" t="inlineStr">
        <is>
          <t/>
        </is>
      </c>
      <c r="M1169" s="21" t="inlineStr">
        <is>
          <t>Mahdi Abu-Omar</t>
        </is>
      </c>
      <c r="N1169" s="22" t="inlineStr">
        <is>
          <t>President &amp; Founder</t>
        </is>
      </c>
      <c r="O1169" s="23" t="inlineStr">
        <is>
          <t>mabuomar@speroenergy.com</t>
        </is>
      </c>
      <c r="P1169" s="24" t="inlineStr">
        <is>
          <t>+1 (765) 430-3266</t>
        </is>
      </c>
      <c r="Q1169" s="25" t="n">
        <v>2013.0</v>
      </c>
      <c r="R1169" s="113">
        <f>HYPERLINK("https://my.pitchbook.com?c=102318-94", "View company online")</f>
      </c>
    </row>
    <row r="1170">
      <c r="A1170" s="27" t="inlineStr">
        <is>
          <t>109044-55</t>
        </is>
      </c>
      <c r="B1170" s="28" t="inlineStr">
        <is>
          <t>SPENT</t>
        </is>
      </c>
      <c r="C1170" s="86">
        <f>HYPERLINK("https://my.pitchbook.com?rrp=109044-55&amp;type=c", "This Company's information is not available to download. Need this Company? Request availability")</f>
      </c>
      <c r="D1170" s="30" t="inlineStr">
        <is>
          <t/>
        </is>
      </c>
      <c r="E1170" s="31" t="inlineStr">
        <is>
          <t/>
        </is>
      </c>
      <c r="F1170" s="32" t="inlineStr">
        <is>
          <t/>
        </is>
      </c>
      <c r="G1170" s="33" t="inlineStr">
        <is>
          <t/>
        </is>
      </c>
      <c r="H1170" s="34" t="inlineStr">
        <is>
          <t/>
        </is>
      </c>
      <c r="I1170" s="35" t="inlineStr">
        <is>
          <t/>
        </is>
      </c>
      <c r="J1170" s="36" t="inlineStr">
        <is>
          <t/>
        </is>
      </c>
      <c r="K1170" s="37" t="inlineStr">
        <is>
          <t/>
        </is>
      </c>
      <c r="L1170" s="38" t="inlineStr">
        <is>
          <t/>
        </is>
      </c>
      <c r="M1170" s="39" t="inlineStr">
        <is>
          <t/>
        </is>
      </c>
      <c r="N1170" s="40" t="inlineStr">
        <is>
          <t/>
        </is>
      </c>
      <c r="O1170" s="41" t="inlineStr">
        <is>
          <t/>
        </is>
      </c>
      <c r="P1170" s="42" t="inlineStr">
        <is>
          <t/>
        </is>
      </c>
      <c r="Q1170" s="43" t="inlineStr">
        <is>
          <t/>
        </is>
      </c>
      <c r="R1170" s="44" t="inlineStr">
        <is>
          <t/>
        </is>
      </c>
    </row>
    <row r="1171">
      <c r="A1171" s="9" t="inlineStr">
        <is>
          <t>150720-22</t>
        </is>
      </c>
      <c r="B1171" s="10" t="inlineStr">
        <is>
          <t>SpendLabs</t>
        </is>
      </c>
      <c r="C1171" s="11" t="inlineStr">
        <is>
          <t>94596</t>
        </is>
      </c>
      <c r="D1171" s="12" t="inlineStr">
        <is>
          <t>Provider of a platform for personal expense management. The company provides a platform for users to manage expenses against corporate and departmental budgets by guiding how corporate cards are to be used.</t>
        </is>
      </c>
      <c r="E1171" s="13" t="inlineStr">
        <is>
          <t>Other Financial Services</t>
        </is>
      </c>
      <c r="F1171" s="14" t="inlineStr">
        <is>
          <t>Walnut Creek, CA</t>
        </is>
      </c>
      <c r="G1171" s="15" t="inlineStr">
        <is>
          <t>Privately Held (backing)</t>
        </is>
      </c>
      <c r="H1171" s="16" t="inlineStr">
        <is>
          <t>Accelerator/Incubator Backed</t>
        </is>
      </c>
      <c r="I1171" s="17" t="inlineStr">
        <is>
          <t>Commerce.Innovated</t>
        </is>
      </c>
      <c r="J1171" s="18" t="inlineStr">
        <is>
          <t>www.spendlabs.com</t>
        </is>
      </c>
      <c r="K1171" s="19" t="inlineStr">
        <is>
          <t>contact@spendlabs.com</t>
        </is>
      </c>
      <c r="L1171" s="20" t="inlineStr">
        <is>
          <t>+1 (408) 642-0957</t>
        </is>
      </c>
      <c r="M1171" s="21" t="inlineStr">
        <is>
          <t>Tanuja Shukla</t>
        </is>
      </c>
      <c r="N1171" s="22" t="inlineStr">
        <is>
          <t>Chief Executive Officer</t>
        </is>
      </c>
      <c r="O1171" s="23" t="inlineStr">
        <is>
          <t>tshukla@spendlabs.com</t>
        </is>
      </c>
      <c r="P1171" s="24" t="inlineStr">
        <is>
          <t>+1 (408) 642-0957</t>
        </is>
      </c>
      <c r="Q1171" s="25" t="n">
        <v>2014.0</v>
      </c>
      <c r="R1171" s="113">
        <f>HYPERLINK("https://my.pitchbook.com?c=150720-22", "View company online")</f>
      </c>
    </row>
    <row r="1172">
      <c r="A1172" s="27" t="inlineStr">
        <is>
          <t>109789-12</t>
        </is>
      </c>
      <c r="B1172" s="28" t="inlineStr">
        <is>
          <t>Speeji</t>
        </is>
      </c>
      <c r="C1172" s="29" t="inlineStr">
        <is>
          <t>90210</t>
        </is>
      </c>
      <c r="D1172" s="30" t="inlineStr">
        <is>
          <t>Provider of a translation engine to convert words and messages into emojis. The company's application allows users to record the messages and automatically converts the audio message into emojis.</t>
        </is>
      </c>
      <c r="E1172" s="31" t="inlineStr">
        <is>
          <t>Application Software</t>
        </is>
      </c>
      <c r="F1172" s="32" t="inlineStr">
        <is>
          <t>Beverly Hills, CA</t>
        </is>
      </c>
      <c r="G1172" s="33" t="inlineStr">
        <is>
          <t>Privately Held (backing)</t>
        </is>
      </c>
      <c r="H1172" s="34" t="inlineStr">
        <is>
          <t>Accelerator/Incubator Backed</t>
        </is>
      </c>
      <c r="I1172" s="35" t="inlineStr">
        <is>
          <t>Thunderbolt Studios</t>
        </is>
      </c>
      <c r="J1172" s="36" t="inlineStr">
        <is>
          <t>www.speeji.com</t>
        </is>
      </c>
      <c r="K1172" s="37" t="inlineStr">
        <is>
          <t>gsuchov@thunderbo.lt</t>
        </is>
      </c>
      <c r="L1172" s="38" t="inlineStr">
        <is>
          <t/>
        </is>
      </c>
      <c r="M1172" s="39" t="inlineStr">
        <is>
          <t>Nick Bascue</t>
        </is>
      </c>
      <c r="N1172" s="40" t="inlineStr">
        <is>
          <t>Co-Founder</t>
        </is>
      </c>
      <c r="O1172" s="41" t="inlineStr">
        <is>
          <t/>
        </is>
      </c>
      <c r="P1172" s="42" t="inlineStr">
        <is>
          <t/>
        </is>
      </c>
      <c r="Q1172" s="43" t="inlineStr">
        <is>
          <t/>
        </is>
      </c>
      <c r="R1172" s="114">
        <f>HYPERLINK("https://my.pitchbook.com?c=109789-12", "View company online")</f>
      </c>
    </row>
    <row r="1173">
      <c r="A1173" s="9" t="inlineStr">
        <is>
          <t>115406-92</t>
        </is>
      </c>
      <c r="B1173" s="10" t="inlineStr">
        <is>
          <t>Speedlancer</t>
        </is>
      </c>
      <c r="C1173" s="11" t="inlineStr">
        <is>
          <t>94103</t>
        </is>
      </c>
      <c r="D1173" s="12" t="inlineStr">
        <is>
          <t>Provider of an online freelance marketplace. The company offers a Web-based platform that helps startup founders, digital agencies, SMBs, marketers and enterprises to get tasks done quicker by curated freelancers.</t>
        </is>
      </c>
      <c r="E1173" s="13" t="inlineStr">
        <is>
          <t>Other Commercial Services</t>
        </is>
      </c>
      <c r="F1173" s="14" t="inlineStr">
        <is>
          <t>San Francisco, CA</t>
        </is>
      </c>
      <c r="G1173" s="15" t="inlineStr">
        <is>
          <t>Privately Held (backing)</t>
        </is>
      </c>
      <c r="H1173" s="16" t="inlineStr">
        <is>
          <t>Accelerator/Incubator Backed</t>
        </is>
      </c>
      <c r="I1173" s="17" t="inlineStr">
        <is>
          <t>500 Startups, Adam Krongold, Adebayo Orimoloye, Art Burris, David McClure, Han-Sheong Lai, Macdoch Ventures, Tristan Pollock</t>
        </is>
      </c>
      <c r="J1173" s="18" t="inlineStr">
        <is>
          <t>www.speedlancer.com</t>
        </is>
      </c>
      <c r="K1173" s="19" t="inlineStr">
        <is>
          <t>adam@speedlancer.com</t>
        </is>
      </c>
      <c r="L1173" s="20" t="inlineStr">
        <is>
          <t>+1 (415) 629-0315</t>
        </is>
      </c>
      <c r="M1173" s="21" t="inlineStr">
        <is>
          <t>Adam Stone</t>
        </is>
      </c>
      <c r="N1173" s="22" t="inlineStr">
        <is>
          <t>Founder, Chief Executive Officer &amp; Board Member</t>
        </is>
      </c>
      <c r="O1173" s="23" t="inlineStr">
        <is>
          <t>adam@speedlancer.com</t>
        </is>
      </c>
      <c r="P1173" s="24" t="inlineStr">
        <is>
          <t>+1 (415) 629-0315</t>
        </is>
      </c>
      <c r="Q1173" s="25" t="n">
        <v>2014.0</v>
      </c>
      <c r="R1173" s="113">
        <f>HYPERLINK("https://my.pitchbook.com?c=115406-92", "View company online")</f>
      </c>
    </row>
    <row r="1174">
      <c r="A1174" s="27" t="inlineStr">
        <is>
          <t>115552-00</t>
        </is>
      </c>
      <c r="B1174" s="28" t="inlineStr">
        <is>
          <t>Speech Technology Group</t>
        </is>
      </c>
      <c r="C1174" s="29" t="inlineStr">
        <is>
          <t>92014</t>
        </is>
      </c>
      <c r="D1174" s="30" t="inlineStr">
        <is>
          <t>Developer of 64-bit text-to-speech and speech recognition technology. The company offers eProScore, which provides recording, playback and analysis of spoken words with pronunciation scoring.</t>
        </is>
      </c>
      <c r="E1174" s="31" t="inlineStr">
        <is>
          <t>Social/Platform Software</t>
        </is>
      </c>
      <c r="F1174" s="32" t="inlineStr">
        <is>
          <t>Del Mar, CA</t>
        </is>
      </c>
      <c r="G1174" s="33" t="inlineStr">
        <is>
          <t>Privately Held (backing)</t>
        </is>
      </c>
      <c r="H1174" s="34" t="inlineStr">
        <is>
          <t>Accelerator/Incubator Backed</t>
        </is>
      </c>
      <c r="I1174" s="35" t="inlineStr">
        <is>
          <t>Grants4Apps</t>
        </is>
      </c>
      <c r="J1174" s="36" t="inlineStr">
        <is>
          <t>www.speechtechnologygroup.com</t>
        </is>
      </c>
      <c r="K1174" s="37" t="inlineStr">
        <is>
          <t/>
        </is>
      </c>
      <c r="L1174" s="38" t="inlineStr">
        <is>
          <t/>
        </is>
      </c>
      <c r="M1174" s="39" t="inlineStr">
        <is>
          <t>Gerd Graumann</t>
        </is>
      </c>
      <c r="N1174" s="40" t="inlineStr">
        <is>
          <t>Founder &amp; President</t>
        </is>
      </c>
      <c r="O1174" s="41" t="inlineStr">
        <is>
          <t>gerd@speechtechnologygroup.com</t>
        </is>
      </c>
      <c r="P1174" s="42" t="inlineStr">
        <is>
          <t/>
        </is>
      </c>
      <c r="Q1174" s="43" t="n">
        <v>2011.0</v>
      </c>
      <c r="R1174" s="114">
        <f>HYPERLINK("https://my.pitchbook.com?c=115552-00", "View company online")</f>
      </c>
    </row>
    <row r="1175">
      <c r="A1175" s="9" t="inlineStr">
        <is>
          <t>109155-52</t>
        </is>
      </c>
      <c r="B1175" s="10" t="inlineStr">
        <is>
          <t>Speech Morphing</t>
        </is>
      </c>
      <c r="C1175" s="11" t="inlineStr">
        <is>
          <t>95008</t>
        </is>
      </c>
      <c r="D1175" s="12" t="inlineStr">
        <is>
          <t>Developer of a voice transformations technology. The company develops a voice transformations technology for speech analysis, speech understanding and voice personalization.</t>
        </is>
      </c>
      <c r="E1175" s="13" t="inlineStr">
        <is>
          <t>Other IT Services</t>
        </is>
      </c>
      <c r="F1175" s="14" t="inlineStr">
        <is>
          <t>Campbell, CA</t>
        </is>
      </c>
      <c r="G1175" s="15" t="inlineStr">
        <is>
          <t>Privately Held (backing)</t>
        </is>
      </c>
      <c r="H1175" s="16" t="inlineStr">
        <is>
          <t>Angel-Backed</t>
        </is>
      </c>
      <c r="I1175" s="17" t="inlineStr">
        <is>
          <t/>
        </is>
      </c>
      <c r="J1175" s="18" t="inlineStr">
        <is>
          <t>www.speechmorphing.com</t>
        </is>
      </c>
      <c r="K1175" s="19" t="inlineStr">
        <is>
          <t>info@speechmorphing.com</t>
        </is>
      </c>
      <c r="L1175" s="20" t="inlineStr">
        <is>
          <t>+1 (408) 371-8014</t>
        </is>
      </c>
      <c r="M1175" s="21" t="inlineStr">
        <is>
          <t>Fathy Yassa</t>
        </is>
      </c>
      <c r="N1175" s="22" t="inlineStr">
        <is>
          <t>Chief Executive Officer, Board Member, President and Founder</t>
        </is>
      </c>
      <c r="O1175" s="23" t="inlineStr">
        <is>
          <t>fathy@speechmorphing.com</t>
        </is>
      </c>
      <c r="P1175" s="24" t="inlineStr">
        <is>
          <t>+1 (408) 371-8014</t>
        </is>
      </c>
      <c r="Q1175" s="25" t="n">
        <v>2009.0</v>
      </c>
      <c r="R1175" s="113">
        <f>HYPERLINK("https://my.pitchbook.com?c=109155-52", "View company online")</f>
      </c>
    </row>
    <row r="1176">
      <c r="A1176" s="27" t="inlineStr">
        <is>
          <t>62253-37</t>
        </is>
      </c>
      <c r="B1176" s="28" t="inlineStr">
        <is>
          <t>Speech Kingdom</t>
        </is>
      </c>
      <c r="C1176" s="29" t="inlineStr">
        <is>
          <t>91436</t>
        </is>
      </c>
      <c r="D1176" s="30" t="inlineStr">
        <is>
          <t>Developer of an online software for the treatment of speech disorder. The company develops an online software for individuals with social communication, speech, language and related disorders and disabilities.</t>
        </is>
      </c>
      <c r="E1176" s="31" t="inlineStr">
        <is>
          <t>Other Software</t>
        </is>
      </c>
      <c r="F1176" s="32" t="inlineStr">
        <is>
          <t>Los Angeles, CA</t>
        </is>
      </c>
      <c r="G1176" s="33" t="inlineStr">
        <is>
          <t>Privately Held (backing)</t>
        </is>
      </c>
      <c r="H1176" s="34" t="inlineStr">
        <is>
          <t>Angel-Backed</t>
        </is>
      </c>
      <c r="I1176" s="35" t="inlineStr">
        <is>
          <t/>
        </is>
      </c>
      <c r="J1176" s="36" t="inlineStr">
        <is>
          <t/>
        </is>
      </c>
      <c r="K1176" s="37" t="inlineStr">
        <is>
          <t/>
        </is>
      </c>
      <c r="L1176" s="38" t="inlineStr">
        <is>
          <t>+1 (818) 789-6882</t>
        </is>
      </c>
      <c r="M1176" s="39" t="inlineStr">
        <is>
          <t>David Kalmick</t>
        </is>
      </c>
      <c r="N1176" s="40" t="inlineStr">
        <is>
          <t>President and Board Member</t>
        </is>
      </c>
      <c r="O1176" s="41" t="inlineStr">
        <is>
          <t/>
        </is>
      </c>
      <c r="P1176" s="42" t="inlineStr">
        <is>
          <t>+1 (818) 789-6882</t>
        </is>
      </c>
      <c r="Q1176" s="43" t="n">
        <v>2013.0</v>
      </c>
      <c r="R1176" s="114">
        <f>HYPERLINK("https://my.pitchbook.com?c=62253-37", "View company online")</f>
      </c>
    </row>
    <row r="1177">
      <c r="A1177" s="9" t="inlineStr">
        <is>
          <t>120821-95</t>
        </is>
      </c>
      <c r="B1177" s="10" t="inlineStr">
        <is>
          <t>Spectral Platforms</t>
        </is>
      </c>
      <c r="C1177" s="11" t="inlineStr">
        <is>
          <t>91016</t>
        </is>
      </c>
      <c r="D1177" s="12" t="inlineStr">
        <is>
          <t>Developer of a platform for the diagnosis of infectious diseases in clinical samples. The company develops a technology that detects the presence of any pathogenic microorganism in blood within 1 hour of blood draw.</t>
        </is>
      </c>
      <c r="E1177" s="13" t="inlineStr">
        <is>
          <t>Discovery Tools (Healthcare)</t>
        </is>
      </c>
      <c r="F1177" s="14" t="inlineStr">
        <is>
          <t>Monrovia, CA</t>
        </is>
      </c>
      <c r="G1177" s="15" t="inlineStr">
        <is>
          <t>Privately Held (backing)</t>
        </is>
      </c>
      <c r="H1177" s="16" t="inlineStr">
        <is>
          <t>Angel-Backed</t>
        </is>
      </c>
      <c r="I1177" s="17" t="inlineStr">
        <is>
          <t>United States Army</t>
        </is>
      </c>
      <c r="J1177" s="18" t="inlineStr">
        <is>
          <t>www.spectralplatforms.com</t>
        </is>
      </c>
      <c r="K1177" s="19" t="inlineStr">
        <is>
          <t>russ.craig@spectralplatforms.com</t>
        </is>
      </c>
      <c r="L1177" s="20" t="inlineStr">
        <is>
          <t>+1 (626) 434-9718</t>
        </is>
      </c>
      <c r="M1177" s="21" t="inlineStr">
        <is>
          <t>Ravi Verma</t>
        </is>
      </c>
      <c r="N1177" s="22" t="inlineStr">
        <is>
          <t>Chief Executive Officer and Founder</t>
        </is>
      </c>
      <c r="O1177" s="23" t="inlineStr">
        <is>
          <t>rverma@spectralplatforms.com</t>
        </is>
      </c>
      <c r="P1177" s="24" t="inlineStr">
        <is>
          <t>+1 (626) 434-9718</t>
        </is>
      </c>
      <c r="Q1177" s="25" t="n">
        <v>2011.0</v>
      </c>
      <c r="R1177" s="113">
        <f>HYPERLINK("https://my.pitchbook.com?c=120821-95", "View company online")</f>
      </c>
    </row>
    <row r="1178">
      <c r="A1178" s="27" t="inlineStr">
        <is>
          <t>99048-34</t>
        </is>
      </c>
      <c r="B1178" s="28" t="inlineStr">
        <is>
          <t>Spectracore Technologies</t>
        </is>
      </c>
      <c r="C1178" s="29" t="inlineStr">
        <is>
          <t>92037</t>
        </is>
      </c>
      <c r="D1178" s="30" t="inlineStr">
        <is>
          <t>Developer of software and other technology products. The company offers platforms, tools and professional services including connected home media center appliance, in-vehicle infotainment unit, HDMI adapter which helps original equipment manufacturers.</t>
        </is>
      </c>
      <c r="E1178" s="31" t="inlineStr">
        <is>
          <t>Social/Platform Software</t>
        </is>
      </c>
      <c r="F1178" s="32" t="inlineStr">
        <is>
          <t>San Diego, CA</t>
        </is>
      </c>
      <c r="G1178" s="33" t="inlineStr">
        <is>
          <t>Privately Held (backing)</t>
        </is>
      </c>
      <c r="H1178" s="34" t="inlineStr">
        <is>
          <t>Accelerator/Incubator Backed</t>
        </is>
      </c>
      <c r="I1178" s="35" t="inlineStr">
        <is>
          <t>EvoNexus</t>
        </is>
      </c>
      <c r="J1178" s="36" t="inlineStr">
        <is>
          <t>www.spectracoretech.com</t>
        </is>
      </c>
      <c r="K1178" s="37" t="inlineStr">
        <is>
          <t>bd@spectracoretech.com</t>
        </is>
      </c>
      <c r="L1178" s="38" t="inlineStr">
        <is>
          <t>+1 (858) 200-0800</t>
        </is>
      </c>
      <c r="M1178" s="39" t="inlineStr">
        <is>
          <t>Raj Ganti</t>
        </is>
      </c>
      <c r="N1178" s="40" t="inlineStr">
        <is>
          <t>Chief Executive Officer</t>
        </is>
      </c>
      <c r="O1178" s="41" t="inlineStr">
        <is>
          <t>raj_g@spectracoretech.com</t>
        </is>
      </c>
      <c r="P1178" s="42" t="inlineStr">
        <is>
          <t>+1 (858) 200-0800</t>
        </is>
      </c>
      <c r="Q1178" s="43" t="n">
        <v>2010.0</v>
      </c>
      <c r="R1178" s="114">
        <f>HYPERLINK("https://my.pitchbook.com?c=99048-34", "View company online")</f>
      </c>
    </row>
    <row r="1179">
      <c r="A1179" s="9" t="inlineStr">
        <is>
          <t>151080-49</t>
        </is>
      </c>
      <c r="B1179" s="10" t="inlineStr">
        <is>
          <t>Spective</t>
        </is>
      </c>
      <c r="C1179" s="11" t="inlineStr">
        <is>
          <t>90069</t>
        </is>
      </c>
      <c r="D1179" s="12" t="inlineStr">
        <is>
          <t>Provider of a web-based platform for designing and selling sunglasses. The company offers an online customization and sales platform for eye wear and sunglasses.</t>
        </is>
      </c>
      <c r="E1179" s="13" t="inlineStr">
        <is>
          <t>Social/Platform Software</t>
        </is>
      </c>
      <c r="F1179" s="14" t="inlineStr">
        <is>
          <t>Los Angeles, CA</t>
        </is>
      </c>
      <c r="G1179" s="15" t="inlineStr">
        <is>
          <t>Privately Held (backing)</t>
        </is>
      </c>
      <c r="H1179" s="16" t="inlineStr">
        <is>
          <t>Angel-Backed</t>
        </is>
      </c>
      <c r="I1179" s="17" t="inlineStr">
        <is>
          <t/>
        </is>
      </c>
      <c r="J1179" s="18" t="inlineStr">
        <is>
          <t>www.spective.com</t>
        </is>
      </c>
      <c r="K1179" s="19" t="inlineStr">
        <is>
          <t/>
        </is>
      </c>
      <c r="L1179" s="20" t="inlineStr">
        <is>
          <t>+1 (310) 488-4262</t>
        </is>
      </c>
      <c r="M1179" s="21" t="inlineStr">
        <is>
          <t>Thomas Larkin</t>
        </is>
      </c>
      <c r="N1179" s="22" t="inlineStr">
        <is>
          <t>Co-Founder, Managing Director &amp; President</t>
        </is>
      </c>
      <c r="O1179" s="23" t="inlineStr">
        <is>
          <t>tom@spective.com</t>
        </is>
      </c>
      <c r="P1179" s="24" t="inlineStr">
        <is>
          <t>+1 (310) 488-4262</t>
        </is>
      </c>
      <c r="Q1179" s="25" t="n">
        <v>2015.0</v>
      </c>
      <c r="R1179" s="113">
        <f>HYPERLINK("https://my.pitchbook.com?c=151080-49", "View company online")</f>
      </c>
    </row>
    <row r="1180">
      <c r="A1180" s="27" t="inlineStr">
        <is>
          <t>93873-61</t>
        </is>
      </c>
      <c r="B1180" s="28" t="inlineStr">
        <is>
          <t>Spectafy</t>
        </is>
      </c>
      <c r="C1180" s="29" t="inlineStr">
        <is>
          <t>94117</t>
        </is>
      </c>
      <c r="D1180" s="30" t="inlineStr">
        <is>
          <t>Developer and provider of community powered applications. The company offers an application that enables users to interact with people, receive news on several activities and collect data.</t>
        </is>
      </c>
      <c r="E1180" s="31" t="inlineStr">
        <is>
          <t>Information Services (B2C)</t>
        </is>
      </c>
      <c r="F1180" s="32" t="inlineStr">
        <is>
          <t>San Francisco, CA</t>
        </is>
      </c>
      <c r="G1180" s="33" t="inlineStr">
        <is>
          <t>Privately Held (backing)</t>
        </is>
      </c>
      <c r="H1180" s="34" t="inlineStr">
        <is>
          <t>Angel-Backed</t>
        </is>
      </c>
      <c r="I1180" s="35" t="inlineStr">
        <is>
          <t>Victor Shkulev</t>
        </is>
      </c>
      <c r="J1180" s="36" t="inlineStr">
        <is>
          <t>www.spectafy.com</t>
        </is>
      </c>
      <c r="K1180" s="37" t="inlineStr">
        <is>
          <t>hello@spectafy.com</t>
        </is>
      </c>
      <c r="L1180" s="38" t="inlineStr">
        <is>
          <t/>
        </is>
      </c>
      <c r="M1180" s="39" t="inlineStr">
        <is>
          <t>Eric Watson</t>
        </is>
      </c>
      <c r="N1180" s="40" t="inlineStr">
        <is>
          <t>Co-Founder &amp; Chief Executive Officer</t>
        </is>
      </c>
      <c r="O1180" s="41" t="inlineStr">
        <is>
          <t>eric@spectafy.com</t>
        </is>
      </c>
      <c r="P1180" s="42" t="inlineStr">
        <is>
          <t/>
        </is>
      </c>
      <c r="Q1180" s="43" t="n">
        <v>2013.0</v>
      </c>
      <c r="R1180" s="114">
        <f>HYPERLINK("https://my.pitchbook.com?c=93873-61", "View company online")</f>
      </c>
    </row>
    <row r="1181">
      <c r="A1181" s="9" t="inlineStr">
        <is>
          <t>100584-82</t>
        </is>
      </c>
      <c r="B1181" s="10" t="inlineStr">
        <is>
          <t>Specialty Surgical Center of Encino</t>
        </is>
      </c>
      <c r="C1181" s="11" t="inlineStr">
        <is>
          <t>91436</t>
        </is>
      </c>
      <c r="D1181" s="12" t="inlineStr">
        <is>
          <t>Operator of a outpatient surgery center. The company provides high quality outpatient surgical care in a convenient and comfortable setting.</t>
        </is>
      </c>
      <c r="E1181" s="13" t="inlineStr">
        <is>
          <t>Clinics/Outpatient Services</t>
        </is>
      </c>
      <c r="F1181" s="14" t="inlineStr">
        <is>
          <t>Los Angeles, CA</t>
        </is>
      </c>
      <c r="G1181" s="15" t="inlineStr">
        <is>
          <t>Privately Held (backing)</t>
        </is>
      </c>
      <c r="H1181" s="16" t="inlineStr">
        <is>
          <t>Angel-Backed</t>
        </is>
      </c>
      <c r="I1181" s="17" t="inlineStr">
        <is>
          <t/>
        </is>
      </c>
      <c r="J1181" s="18" t="inlineStr">
        <is>
          <t>www.sscencino.com</t>
        </is>
      </c>
      <c r="K1181" s="19" t="inlineStr">
        <is>
          <t/>
        </is>
      </c>
      <c r="L1181" s="20" t="inlineStr">
        <is>
          <t>+1 (818) 501-1080</t>
        </is>
      </c>
      <c r="M1181" s="21" t="inlineStr">
        <is>
          <t>Teresa Sparks</t>
        </is>
      </c>
      <c r="N1181" s="22" t="inlineStr">
        <is>
          <t>Chief Financial Officer &amp; Executive Vice President</t>
        </is>
      </c>
      <c r="O1181" s="23" t="inlineStr">
        <is>
          <t/>
        </is>
      </c>
      <c r="P1181" s="24" t="inlineStr">
        <is>
          <t>+1 (818) 501-1080</t>
        </is>
      </c>
      <c r="Q1181" s="25" t="n">
        <v>2000.0</v>
      </c>
      <c r="R1181" s="113">
        <f>HYPERLINK("https://my.pitchbook.com?c=100584-82", "View company online")</f>
      </c>
    </row>
    <row r="1182">
      <c r="A1182" s="27" t="inlineStr">
        <is>
          <t>90161-20</t>
        </is>
      </c>
      <c r="B1182" s="28" t="inlineStr">
        <is>
          <t>SpeakUp</t>
        </is>
      </c>
      <c r="C1182" s="29" t="inlineStr">
        <is>
          <t>94104</t>
        </is>
      </c>
      <c r="D1182" s="30" t="inlineStr">
        <is>
          <t>Provider of a human resource platform. The company offers an anonymous platform to the organization and its employees for participating in problem solving with transparent decision making and feedback from the management team.</t>
        </is>
      </c>
      <c r="E1182" s="31" t="inlineStr">
        <is>
          <t>Other Commercial Services</t>
        </is>
      </c>
      <c r="F1182" s="32" t="inlineStr">
        <is>
          <t>San Francisco, CA</t>
        </is>
      </c>
      <c r="G1182" s="33" t="inlineStr">
        <is>
          <t>Privately Held (backing)</t>
        </is>
      </c>
      <c r="H1182" s="34" t="inlineStr">
        <is>
          <t>Angel-Backed</t>
        </is>
      </c>
      <c r="I1182" s="35" t="inlineStr">
        <is>
          <t>Mato Peric</t>
        </is>
      </c>
      <c r="J1182" s="36" t="inlineStr">
        <is>
          <t>www.getspeakup.com</t>
        </is>
      </c>
      <c r="K1182" s="37" t="inlineStr">
        <is>
          <t>info@getspeakup.com</t>
        </is>
      </c>
      <c r="L1182" s="38" t="inlineStr">
        <is>
          <t/>
        </is>
      </c>
      <c r="M1182" s="39" t="inlineStr">
        <is>
          <t>Ray Gillenwater</t>
        </is>
      </c>
      <c r="N1182" s="40" t="inlineStr">
        <is>
          <t>Co-Founder &amp; Chief Executive Officer</t>
        </is>
      </c>
      <c r="O1182" s="41" t="inlineStr">
        <is>
          <t>ray@getspeakup.com</t>
        </is>
      </c>
      <c r="P1182" s="42" t="inlineStr">
        <is>
          <t/>
        </is>
      </c>
      <c r="Q1182" s="43" t="n">
        <v>2012.0</v>
      </c>
      <c r="R1182" s="114">
        <f>HYPERLINK("https://my.pitchbook.com?c=90161-20", "View company online")</f>
      </c>
    </row>
    <row r="1183">
      <c r="A1183" s="9" t="inlineStr">
        <is>
          <t>178888-96</t>
        </is>
      </c>
      <c r="B1183" s="10" t="inlineStr">
        <is>
          <t>Speakeasy Labs</t>
        </is>
      </c>
      <c r="C1183" s="11" t="inlineStr">
        <is>
          <t/>
        </is>
      </c>
      <c r="D1183" s="12" t="inlineStr">
        <is>
          <t>Developer of a language learning mobile application designed to help people to learn English language. The company's language learning mobile application uses speech recognition techniques that helps users to learn and speak English by having conversations about real world scenarios, enabling them to identify English words through thick accents and learn to speak more clearly.</t>
        </is>
      </c>
      <c r="E1183" s="13" t="inlineStr">
        <is>
          <t>Application Software</t>
        </is>
      </c>
      <c r="F1183" s="14" t="inlineStr">
        <is>
          <t>Mountain View, CA</t>
        </is>
      </c>
      <c r="G1183" s="15" t="inlineStr">
        <is>
          <t>Privately Held (backing)</t>
        </is>
      </c>
      <c r="H1183" s="16" t="inlineStr">
        <is>
          <t>Accelerator/Incubator Backed</t>
        </is>
      </c>
      <c r="I1183" s="17" t="inlineStr">
        <is>
          <t>Investo, Y Combinator</t>
        </is>
      </c>
      <c r="J1183" s="18" t="inlineStr">
        <is>
          <t>www.usespeakeasy.com</t>
        </is>
      </c>
      <c r="K1183" s="19" t="inlineStr">
        <is>
          <t/>
        </is>
      </c>
      <c r="L1183" s="20" t="inlineStr">
        <is>
          <t/>
        </is>
      </c>
      <c r="M1183" s="21" t="inlineStr">
        <is>
          <t/>
        </is>
      </c>
      <c r="N1183" s="22" t="inlineStr">
        <is>
          <t/>
        </is>
      </c>
      <c r="O1183" s="23" t="inlineStr">
        <is>
          <t/>
        </is>
      </c>
      <c r="P1183" s="24" t="inlineStr">
        <is>
          <t/>
        </is>
      </c>
      <c r="Q1183" s="25" t="n">
        <v>2016.0</v>
      </c>
      <c r="R1183" s="113">
        <f>HYPERLINK("https://my.pitchbook.com?c=178888-96", "View company online")</f>
      </c>
    </row>
    <row r="1184">
      <c r="A1184" s="27" t="inlineStr">
        <is>
          <t>92369-35</t>
        </is>
      </c>
      <c r="B1184" s="28" t="inlineStr">
        <is>
          <t>Speak With Me</t>
        </is>
      </c>
      <c r="C1184" s="29" t="inlineStr">
        <is>
          <t/>
        </is>
      </c>
      <c r="D1184" s="30" t="inlineStr">
        <is>
          <t>Developer of a client-server voice recognition platform. The company operates a voice-activated technology platform that allows users to interact with electronic devices.</t>
        </is>
      </c>
      <c r="E1184" s="31" t="inlineStr">
        <is>
          <t>Social/Platform Software</t>
        </is>
      </c>
      <c r="F1184" s="32" t="inlineStr">
        <is>
          <t>Mountain View, CA</t>
        </is>
      </c>
      <c r="G1184" s="33" t="inlineStr">
        <is>
          <t>Privately Held (backing)</t>
        </is>
      </c>
      <c r="H1184" s="34" t="inlineStr">
        <is>
          <t>Angel-Backed</t>
        </is>
      </c>
      <c r="I1184" s="35" t="inlineStr">
        <is>
          <t>Amitt Mahajan, Chuck Arendt, Ernesto Onate, Farhad Malek, Jade Wang, John Cheong, Julie Roehm, Justice Reed, Kai Chang, Kaihan Ashtiani, MC Balabanian, Michael Chaves, Mitch Day, Patricia Jimenez, Romy Maxwell, Sizhao Yang, Vik Patel, Virginia Bamford</t>
        </is>
      </c>
      <c r="J1184" s="36" t="inlineStr">
        <is>
          <t>www.speakwithme.com</t>
        </is>
      </c>
      <c r="K1184" s="37" t="inlineStr">
        <is>
          <t>info@speakwithme.com</t>
        </is>
      </c>
      <c r="L1184" s="38" t="inlineStr">
        <is>
          <t/>
        </is>
      </c>
      <c r="M1184" s="39" t="inlineStr">
        <is>
          <t>Ajay Juneja</t>
        </is>
      </c>
      <c r="N1184" s="40" t="inlineStr">
        <is>
          <t>Co-Founder &amp; Chief Executive Officer</t>
        </is>
      </c>
      <c r="O1184" s="41" t="inlineStr">
        <is>
          <t>ajay@speakwithme.com</t>
        </is>
      </c>
      <c r="P1184" s="42" t="inlineStr">
        <is>
          <t/>
        </is>
      </c>
      <c r="Q1184" s="43" t="n">
        <v>2005.0</v>
      </c>
      <c r="R1184" s="114">
        <f>HYPERLINK("https://my.pitchbook.com?c=92369-35", "View company online")</f>
      </c>
    </row>
    <row r="1185">
      <c r="A1185" s="9" t="inlineStr">
        <is>
          <t>98820-28</t>
        </is>
      </c>
      <c r="B1185" s="10" t="inlineStr">
        <is>
          <t>Sparrow (Mobile)</t>
        </is>
      </c>
      <c r="C1185" s="11" t="inlineStr">
        <is>
          <t>94105</t>
        </is>
      </c>
      <c r="D1185" s="12" t="inlineStr">
        <is>
          <t>Provider of telecommunications service. The company offers telecommunications service in the United States and also donates mobile devices to the poor for every new connection sold.</t>
        </is>
      </c>
      <c r="E1185" s="13" t="inlineStr">
        <is>
          <t>Telecommunications Service Providers</t>
        </is>
      </c>
      <c r="F1185" s="14" t="inlineStr">
        <is>
          <t>San Francisco, CA</t>
        </is>
      </c>
      <c r="G1185" s="15" t="inlineStr">
        <is>
          <t>Privately Held (backing)</t>
        </is>
      </c>
      <c r="H1185" s="16" t="inlineStr">
        <is>
          <t>Accelerator/Incubator Backed</t>
        </is>
      </c>
      <c r="I1185" s="17" t="inlineStr">
        <is>
          <t>500 Startups, Runway Incubator</t>
        </is>
      </c>
      <c r="J1185" s="18" t="inlineStr">
        <is>
          <t>www.sparrowmobile.com</t>
        </is>
      </c>
      <c r="K1185" s="19" t="inlineStr">
        <is>
          <t>wecare@sparrowmobile.com</t>
        </is>
      </c>
      <c r="L1185" s="20" t="inlineStr">
        <is>
          <t>+1 (844) 697-7277</t>
        </is>
      </c>
      <c r="M1185" s="21" t="inlineStr">
        <is>
          <t>Matthew Bauer</t>
        </is>
      </c>
      <c r="N1185" s="22" t="inlineStr">
        <is>
          <t>Co-Founder &amp; Co-Chief Executive Officer</t>
        </is>
      </c>
      <c r="O1185" s="23" t="inlineStr">
        <is>
          <t>mbauer@sparrowmobile.com</t>
        </is>
      </c>
      <c r="P1185" s="24" t="inlineStr">
        <is>
          <t>+1 (844) 697-7277</t>
        </is>
      </c>
      <c r="Q1185" s="25" t="n">
        <v>2014.0</v>
      </c>
      <c r="R1185" s="113">
        <f>HYPERLINK("https://my.pitchbook.com?c=98820-28", "View company online")</f>
      </c>
    </row>
    <row r="1186">
      <c r="A1186" s="27" t="inlineStr">
        <is>
          <t>65104-75</t>
        </is>
      </c>
      <c r="B1186" s="28" t="inlineStr">
        <is>
          <t>Sparksfly Technologies</t>
        </is>
      </c>
      <c r="C1186" s="29" t="inlineStr">
        <is>
          <t>94303</t>
        </is>
      </c>
      <c r="D1186" s="30" t="inlineStr">
        <is>
          <t>Developer of mobile productivity applications. The company allows users to filter their feeds by people and keywords and establish routines.</t>
        </is>
      </c>
      <c r="E1186" s="31" t="inlineStr">
        <is>
          <t>Application Software</t>
        </is>
      </c>
      <c r="F1186" s="32" t="inlineStr">
        <is>
          <t>Palo Alto, CA</t>
        </is>
      </c>
      <c r="G1186" s="33" t="inlineStr">
        <is>
          <t>Privately Held (backing)</t>
        </is>
      </c>
      <c r="H1186" s="34" t="inlineStr">
        <is>
          <t>Angel-Backed</t>
        </is>
      </c>
      <c r="I1186" s="35" t="inlineStr">
        <is>
          <t/>
        </is>
      </c>
      <c r="J1186" s="36" t="inlineStr">
        <is>
          <t>www.sparksfly.com</t>
        </is>
      </c>
      <c r="K1186" s="37" t="inlineStr">
        <is>
          <t>david@sparksfly.com</t>
        </is>
      </c>
      <c r="L1186" s="38" t="inlineStr">
        <is>
          <t>+1 (239) 300-3504</t>
        </is>
      </c>
      <c r="M1186" s="39" t="inlineStr">
        <is>
          <t>Courtney Caldwell</t>
        </is>
      </c>
      <c r="N1186" s="40" t="inlineStr">
        <is>
          <t>Chief Marketing Officer &amp; Advisor</t>
        </is>
      </c>
      <c r="O1186" s="41" t="inlineStr">
        <is>
          <t>courtney@sparksfly.com</t>
        </is>
      </c>
      <c r="P1186" s="42" t="inlineStr">
        <is>
          <t>+1 (239) 300-3504</t>
        </is>
      </c>
      <c r="Q1186" s="43" t="n">
        <v>2013.0</v>
      </c>
      <c r="R1186" s="114">
        <f>HYPERLINK("https://my.pitchbook.com?c=65104-75", "View company online")</f>
      </c>
    </row>
    <row r="1187">
      <c r="A1187" s="9" t="inlineStr">
        <is>
          <t>93872-44</t>
        </is>
      </c>
      <c r="B1187" s="10" t="inlineStr">
        <is>
          <t>Sparkroad</t>
        </is>
      </c>
      <c r="C1187" s="11" t="inlineStr">
        <is>
          <t/>
        </is>
      </c>
      <c r="D1187" s="12" t="inlineStr">
        <is>
          <t>Provider of an online platform to connect teachers and parents. The company provides an online platform for connecting teachers and parents for updates and news.</t>
        </is>
      </c>
      <c r="E1187" s="13" t="inlineStr">
        <is>
          <t>Social Content</t>
        </is>
      </c>
      <c r="F1187" s="14" t="inlineStr">
        <is>
          <t>Folsom, CA</t>
        </is>
      </c>
      <c r="G1187" s="15" t="inlineStr">
        <is>
          <t>Privately Held (backing)</t>
        </is>
      </c>
      <c r="H1187" s="16" t="inlineStr">
        <is>
          <t>Accelerator/Incubator Backed</t>
        </is>
      </c>
      <c r="I1187" s="17" t="inlineStr">
        <is>
          <t>NewME</t>
        </is>
      </c>
      <c r="J1187" s="18" t="inlineStr">
        <is>
          <t>www.sparkroad.com</t>
        </is>
      </c>
      <c r="K1187" s="19" t="inlineStr">
        <is>
          <t/>
        </is>
      </c>
      <c r="L1187" s="20" t="inlineStr">
        <is>
          <t>+1 (888) 551-0432</t>
        </is>
      </c>
      <c r="M1187" s="21" t="inlineStr">
        <is>
          <t>Yuri Costa</t>
        </is>
      </c>
      <c r="N1187" s="22" t="inlineStr">
        <is>
          <t>Founder &amp; Chief Executive Officer</t>
        </is>
      </c>
      <c r="O1187" s="23" t="inlineStr">
        <is>
          <t>yuri@sparkroad.com</t>
        </is>
      </c>
      <c r="P1187" s="24" t="inlineStr">
        <is>
          <t>+1 (888) 551-0432</t>
        </is>
      </c>
      <c r="Q1187" s="25" t="n">
        <v>2012.0</v>
      </c>
      <c r="R1187" s="113">
        <f>HYPERLINK("https://my.pitchbook.com?c=93872-44", "View company online")</f>
      </c>
    </row>
    <row r="1188">
      <c r="A1188" s="27" t="inlineStr">
        <is>
          <t>169372-09</t>
        </is>
      </c>
      <c r="B1188" s="28" t="inlineStr">
        <is>
          <t>SparkRaiser</t>
        </is>
      </c>
      <c r="C1188" s="29" t="inlineStr">
        <is>
          <t>91406</t>
        </is>
      </c>
      <c r="D1188" s="30" t="inlineStr">
        <is>
          <t>The company is currently operating in Stealth mode.</t>
        </is>
      </c>
      <c r="E1188" s="31" t="inlineStr">
        <is>
          <t>Other Business Products and Services</t>
        </is>
      </c>
      <c r="F1188" s="32" t="inlineStr">
        <is>
          <t>Van Nuys, CA</t>
        </is>
      </c>
      <c r="G1188" s="33" t="inlineStr">
        <is>
          <t>Privately Held (backing)</t>
        </is>
      </c>
      <c r="H1188" s="34" t="inlineStr">
        <is>
          <t>Angel-Backed</t>
        </is>
      </c>
      <c r="I1188" s="35" t="inlineStr">
        <is>
          <t/>
        </is>
      </c>
      <c r="J1188" s="36" t="inlineStr">
        <is>
          <t>www.sparkraiser.com</t>
        </is>
      </c>
      <c r="K1188" s="37" t="inlineStr">
        <is>
          <t/>
        </is>
      </c>
      <c r="L1188" s="38" t="inlineStr">
        <is>
          <t>+1 (818) 300-2642</t>
        </is>
      </c>
      <c r="M1188" s="39" t="inlineStr">
        <is>
          <t>Bernadine Santistevan</t>
        </is>
      </c>
      <c r="N1188" s="40" t="inlineStr">
        <is>
          <t>Chief Executive Officer &amp; Board Member</t>
        </is>
      </c>
      <c r="O1188" s="41" t="inlineStr">
        <is>
          <t/>
        </is>
      </c>
      <c r="P1188" s="42" t="inlineStr">
        <is>
          <t>+1 (818) 300-2642</t>
        </is>
      </c>
      <c r="Q1188" s="43" t="n">
        <v>2016.0</v>
      </c>
      <c r="R1188" s="114">
        <f>HYPERLINK("https://my.pitchbook.com?c=169372-09", "View company online")</f>
      </c>
    </row>
    <row r="1189">
      <c r="A1189" s="9" t="inlineStr">
        <is>
          <t>163850-77</t>
        </is>
      </c>
      <c r="B1189" s="10" t="inlineStr">
        <is>
          <t>Sparkmesh</t>
        </is>
      </c>
      <c r="C1189" s="11" t="inlineStr">
        <is>
          <t>95616</t>
        </is>
      </c>
      <c r="D1189" s="12" t="inlineStr">
        <is>
          <t>Provider of an online platform to share music updates. The company provides an online platform that enables users to follow their favorite artists and stay updated about recently launched music albums, artists and recordings through automatic scanning of music streaming sites.</t>
        </is>
      </c>
      <c r="E1189" s="13" t="inlineStr">
        <is>
          <t>Social/Platform Software</t>
        </is>
      </c>
      <c r="F1189" s="14" t="inlineStr">
        <is>
          <t>Davis, CA</t>
        </is>
      </c>
      <c r="G1189" s="15" t="inlineStr">
        <is>
          <t>Privately Held (backing)</t>
        </is>
      </c>
      <c r="H1189" s="16" t="inlineStr">
        <is>
          <t>Accelerator/Incubator Backed</t>
        </is>
      </c>
      <c r="I1189" s="17" t="inlineStr">
        <is>
          <t>Runway Incubator</t>
        </is>
      </c>
      <c r="J1189" s="18" t="inlineStr">
        <is>
          <t>www.sparkmesh.com</t>
        </is>
      </c>
      <c r="K1189" s="19" t="inlineStr">
        <is>
          <t>suggestions@sparkmesh.com</t>
        </is>
      </c>
      <c r="L1189" s="20" t="inlineStr">
        <is>
          <t/>
        </is>
      </c>
      <c r="M1189" s="21" t="inlineStr">
        <is>
          <t>John Morgan</t>
        </is>
      </c>
      <c r="N1189" s="22" t="inlineStr">
        <is>
          <t>Founder &amp; Chief Executive Officer</t>
        </is>
      </c>
      <c r="O1189" s="23" t="inlineStr">
        <is>
          <t>john@sparkmesh.com</t>
        </is>
      </c>
      <c r="P1189" s="24" t="inlineStr">
        <is>
          <t/>
        </is>
      </c>
      <c r="Q1189" s="25" t="n">
        <v>2014.0</v>
      </c>
      <c r="R1189" s="113">
        <f>HYPERLINK("https://my.pitchbook.com?c=163850-77", "View company online")</f>
      </c>
    </row>
    <row r="1190">
      <c r="A1190" s="27" t="inlineStr">
        <is>
          <t>104175-19</t>
        </is>
      </c>
      <c r="B1190" s="28" t="inlineStr">
        <is>
          <t>Sparkling Logic</t>
        </is>
      </c>
      <c r="C1190" s="29" t="inlineStr">
        <is>
          <t>94086</t>
        </is>
      </c>
      <c r="D1190" s="30" t="inlineStr">
        <is>
          <t>Provider of an online decision management platform. The company offers a Web-based decision management platform and application for businesses and governments.</t>
        </is>
      </c>
      <c r="E1190" s="31" t="inlineStr">
        <is>
          <t>Business/Productivity Software</t>
        </is>
      </c>
      <c r="F1190" s="32" t="inlineStr">
        <is>
          <t>Sunnyvale, CA</t>
        </is>
      </c>
      <c r="G1190" s="33" t="inlineStr">
        <is>
          <t>Privately Held (backing)</t>
        </is>
      </c>
      <c r="H1190" s="34" t="inlineStr">
        <is>
          <t>Accelerator/Incubator Backed</t>
        </is>
      </c>
      <c r="I1190" s="35" t="inlineStr">
        <is>
          <t>Plug and Play Tech Center</t>
        </is>
      </c>
      <c r="J1190" s="36" t="inlineStr">
        <is>
          <t>www.sparklinglogic.com</t>
        </is>
      </c>
      <c r="K1190" s="37" t="inlineStr">
        <is>
          <t>info@sparklinglogic.com</t>
        </is>
      </c>
      <c r="L1190" s="38" t="inlineStr">
        <is>
          <t>+1 (408) 834-7002</t>
        </is>
      </c>
      <c r="M1190" s="39" t="inlineStr">
        <is>
          <t>Davorin Kuchan</t>
        </is>
      </c>
      <c r="N1190" s="40" t="inlineStr">
        <is>
          <t>Co-Founder &amp; Chief Executive Officer</t>
        </is>
      </c>
      <c r="O1190" s="41" t="inlineStr">
        <is>
          <t>davorin@tipattic.com</t>
        </is>
      </c>
      <c r="P1190" s="42" t="inlineStr">
        <is>
          <t/>
        </is>
      </c>
      <c r="Q1190" s="43" t="n">
        <v>2010.0</v>
      </c>
      <c r="R1190" s="114">
        <f>HYPERLINK("https://my.pitchbook.com?c=104175-19", "View company online")</f>
      </c>
    </row>
    <row r="1191">
      <c r="A1191" s="9" t="inlineStr">
        <is>
          <t>98503-75</t>
        </is>
      </c>
      <c r="B1191" s="10" t="inlineStr">
        <is>
          <t>Sparkia</t>
        </is>
      </c>
      <c r="C1191" s="11" t="inlineStr">
        <is>
          <t>94041</t>
        </is>
      </c>
      <c r="D1191" s="12" t="inlineStr">
        <is>
          <t>Developer of an in-store marketing and customer analytics platform. The company develops a platform, Sparkjoy that connects users to their favorite venues &amp; brands with push notifications and Sparkbox, a mobile device that monitors shopper's behaviour at the point of sale, extracting useful information and knowledge to help brands improve decision making.</t>
        </is>
      </c>
      <c r="E1191" s="13" t="inlineStr">
        <is>
          <t>Social/Platform Software</t>
        </is>
      </c>
      <c r="F1191" s="14" t="inlineStr">
        <is>
          <t>Mountain View, CA</t>
        </is>
      </c>
      <c r="G1191" s="15" t="inlineStr">
        <is>
          <t>Privately Held (backing)</t>
        </is>
      </c>
      <c r="H1191" s="16" t="inlineStr">
        <is>
          <t>Accelerator/Incubator Backed</t>
        </is>
      </c>
      <c r="I1191" s="17" t="inlineStr">
        <is>
          <t>500 Mexico City, 500 Startups</t>
        </is>
      </c>
      <c r="J1191" s="18" t="inlineStr">
        <is>
          <t>www.getsparkjoy.com</t>
        </is>
      </c>
      <c r="K1191" s="19" t="inlineStr">
        <is>
          <t>hello@sparkia.net</t>
        </is>
      </c>
      <c r="L1191" s="20" t="inlineStr">
        <is>
          <t/>
        </is>
      </c>
      <c r="M1191" s="21" t="inlineStr">
        <is>
          <t>Antonio Orozco</t>
        </is>
      </c>
      <c r="N1191" s="22" t="inlineStr">
        <is>
          <t>Co-Founder &amp; Chief Executive Officer</t>
        </is>
      </c>
      <c r="O1191" s="23" t="inlineStr">
        <is>
          <t>antonio.orozco@foodstack.mx</t>
        </is>
      </c>
      <c r="P1191" s="24" t="inlineStr">
        <is>
          <t>+52 (01)33 3809 7220</t>
        </is>
      </c>
      <c r="Q1191" s="25" t="n">
        <v>2013.0</v>
      </c>
      <c r="R1191" s="113">
        <f>HYPERLINK("https://my.pitchbook.com?c=98503-75", "View company online")</f>
      </c>
    </row>
    <row r="1192">
      <c r="A1192" s="27" t="inlineStr">
        <is>
          <t>164410-12</t>
        </is>
      </c>
      <c r="B1192" s="28" t="inlineStr">
        <is>
          <t>Spare CS</t>
        </is>
      </c>
      <c r="C1192" s="29" t="inlineStr">
        <is>
          <t/>
        </is>
      </c>
      <c r="D1192" s="30" t="inlineStr">
        <is>
          <t>Provider of an application for cash transaction. The company's application offers cash management and transfer and consumers can order cash from their mobile.</t>
        </is>
      </c>
      <c r="E1192" s="31" t="inlineStr">
        <is>
          <t>Application Software</t>
        </is>
      </c>
      <c r="F1192" s="32" t="inlineStr">
        <is>
          <t>Santa Monica, CA</t>
        </is>
      </c>
      <c r="G1192" s="33" t="inlineStr">
        <is>
          <t>Privately Held (backing)</t>
        </is>
      </c>
      <c r="H1192" s="34" t="inlineStr">
        <is>
          <t>Accelerator/Incubator Backed</t>
        </is>
      </c>
      <c r="I1192" s="35" t="inlineStr">
        <is>
          <t>CanopyBoulder, Expert DOJO, Vested Ventures</t>
        </is>
      </c>
      <c r="J1192" s="36" t="inlineStr">
        <is>
          <t>www.gotspare.com</t>
        </is>
      </c>
      <c r="K1192" s="37" t="inlineStr">
        <is>
          <t>admin@my-spare.com</t>
        </is>
      </c>
      <c r="L1192" s="38" t="inlineStr">
        <is>
          <t/>
        </is>
      </c>
      <c r="M1192" s="39" t="inlineStr">
        <is>
          <t>D'ontra Hughes</t>
        </is>
      </c>
      <c r="N1192" s="40" t="inlineStr">
        <is>
          <t>Co-Founder &amp; Chief Executive Officer</t>
        </is>
      </c>
      <c r="O1192" s="41" t="inlineStr">
        <is>
          <t/>
        </is>
      </c>
      <c r="P1192" s="42" t="inlineStr">
        <is>
          <t/>
        </is>
      </c>
      <c r="Q1192" s="43" t="n">
        <v>2013.0</v>
      </c>
      <c r="R1192" s="114">
        <f>HYPERLINK("https://my.pitchbook.com?c=164410-12", "View company online")</f>
      </c>
    </row>
    <row r="1193">
      <c r="A1193" s="9" t="inlineStr">
        <is>
          <t>113479-39</t>
        </is>
      </c>
      <c r="B1193" s="10" t="inlineStr">
        <is>
          <t>SparcIt</t>
        </is>
      </c>
      <c r="C1193" s="11" t="inlineStr">
        <is>
          <t>94703</t>
        </is>
      </c>
      <c r="D1193" s="12" t="inlineStr">
        <is>
          <t>Developer of a patent-pending algorithm for creativity assessment. The company specializes in developing a patent-pending algorithm that provides automated psychometric creativity assessment and enhancement.</t>
        </is>
      </c>
      <c r="E1193" s="13" t="inlineStr">
        <is>
          <t>Application Software</t>
        </is>
      </c>
      <c r="F1193" s="14" t="inlineStr">
        <is>
          <t>Berkeley, CA</t>
        </is>
      </c>
      <c r="G1193" s="15" t="inlineStr">
        <is>
          <t>Privately Held (backing)</t>
        </is>
      </c>
      <c r="H1193" s="16" t="inlineStr">
        <is>
          <t>Accelerator/Incubator Backed</t>
        </is>
      </c>
      <c r="I1193" s="17" t="inlineStr">
        <is>
          <t>National Science Foundation, Skydeck | Berkeley</t>
        </is>
      </c>
      <c r="J1193" s="18" t="inlineStr">
        <is>
          <t>www.sparcit.com</t>
        </is>
      </c>
      <c r="K1193" s="19" t="inlineStr">
        <is>
          <t>info@sparcit.com</t>
        </is>
      </c>
      <c r="L1193" s="20" t="inlineStr">
        <is>
          <t/>
        </is>
      </c>
      <c r="M1193" s="21" t="inlineStr">
        <is>
          <t>Farzad Eskafi</t>
        </is>
      </c>
      <c r="N1193" s="22" t="inlineStr">
        <is>
          <t>Co-Founder &amp; Chief Executive Officer</t>
        </is>
      </c>
      <c r="O1193" s="23" t="inlineStr">
        <is>
          <t>farzad@sparcit.com</t>
        </is>
      </c>
      <c r="P1193" s="24" t="inlineStr">
        <is>
          <t/>
        </is>
      </c>
      <c r="Q1193" s="25" t="n">
        <v>2012.0</v>
      </c>
      <c r="R1193" s="113">
        <f>HYPERLINK("https://my.pitchbook.com?c=113479-39", "View company online")</f>
      </c>
    </row>
    <row r="1194">
      <c r="A1194" s="27" t="inlineStr">
        <is>
          <t>117849-61</t>
        </is>
      </c>
      <c r="B1194" s="28" t="inlineStr">
        <is>
          <t>SpaceHQ</t>
        </is>
      </c>
      <c r="C1194" s="29" t="inlineStr">
        <is>
          <t>90036</t>
        </is>
      </c>
      <c r="D1194" s="30" t="inlineStr">
        <is>
          <t>Provider of an online platform for moving and designing office spaces. The company specializes in providing an online platform that enables users to shift, locate and design new or existing office spaces.</t>
        </is>
      </c>
      <c r="E1194" s="31" t="inlineStr">
        <is>
          <t>Logistics</t>
        </is>
      </c>
      <c r="F1194" s="32" t="inlineStr">
        <is>
          <t>Los Angeles, CA</t>
        </is>
      </c>
      <c r="G1194" s="33" t="inlineStr">
        <is>
          <t>Privately Held (backing)</t>
        </is>
      </c>
      <c r="H1194" s="34" t="inlineStr">
        <is>
          <t>Accelerator/Incubator Backed</t>
        </is>
      </c>
      <c r="I1194" s="35" t="inlineStr">
        <is>
          <t>1871 Chicago</t>
        </is>
      </c>
      <c r="J1194" s="36" t="inlineStr">
        <is>
          <t>www.spacehq.co</t>
        </is>
      </c>
      <c r="K1194" s="37" t="inlineStr">
        <is>
          <t/>
        </is>
      </c>
      <c r="L1194" s="38" t="inlineStr">
        <is>
          <t/>
        </is>
      </c>
      <c r="M1194" s="39" t="inlineStr">
        <is>
          <t>Lekan Bashua</t>
        </is>
      </c>
      <c r="N1194" s="40" t="inlineStr">
        <is>
          <t>Co-Founder &amp; Chief Executive Officer</t>
        </is>
      </c>
      <c r="O1194" s="41" t="inlineStr">
        <is>
          <t>lekan.bashua@spacehq.co</t>
        </is>
      </c>
      <c r="P1194" s="42" t="inlineStr">
        <is>
          <t/>
        </is>
      </c>
      <c r="Q1194" s="43" t="n">
        <v>2014.0</v>
      </c>
      <c r="R1194" s="114">
        <f>HYPERLINK("https://my.pitchbook.com?c=117849-61", "View company online")</f>
      </c>
    </row>
    <row r="1197">
      <c r="A1197" s="115" t="inlineStr">
        <is>
          <t>© PitchBook Data, Inc. 2017</t>
        </is>
      </c>
    </row>
  </sheetData>
  <mergeCells count="1">
    <mergeCell ref="B4:D6"/>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dimension ref="A1"/>
  <sheetViews>
    <sheetView workbookViewId="0" showGridLines="false" tabSelected="false">
      <selection activeCell="A100" sqref="A100"/>
    </sheetView>
  </sheetViews>
  <sheetFormatPr defaultRowHeight="15.0"/>
  <cols>
    <col min="1" max="1" width="19.140625" customWidth="true"/>
    <col min="2" max="2" width="23.140625" customWidth="true"/>
    <col min="3" max="3" width="9.140625" customWidth="true"/>
    <col min="4" max="4" width="9.140625" customWidth="true"/>
    <col min="5" max="5" width="9.140625" customWidth="true"/>
    <col min="6" max="6" width="9.140625" customWidth="true"/>
    <col min="7" max="7" width="9.140625" customWidth="true"/>
    <col min="8" max="8" width="2.85546875" customWidth="true"/>
    <col min="9" max="9" width="26.42578125" customWidth="true"/>
  </cols>
  <sheetData>
    <row r="1">
      <c r="A1" t="s" s="116">
        <v>26</v>
      </c>
    </row>
    <row r="3">
      <c r="A3" t="s" s="117">
        <v>27</v>
      </c>
    </row>
    <row r="4">
      <c r="A4" t="s" s="125">
        <f>HYPERLINK("mailto:clientservices@pitchbook.com ", "clientservices@pitchbook.com ")</f>
      </c>
    </row>
    <row r="6">
      <c r="A6" t="s" s="119">
        <v>29</v>
      </c>
      <c r="B6" t="s" s="124">
        <f>HYPERLINK("http://www.pitchbook.com/agreement", "PitchBook User Agreement")</f>
      </c>
      <c r="C6" t="s" s="121">
        <v>31</v>
      </c>
    </row>
    <row r="8">
      <c r="A8" t="s" s="122">
        <v>32</v>
      </c>
      <c r="I8" t="s" s="126">
        <f>HYPERLINK("mailto:clientservices@pitchbook.com", "clientservices@pitchbook.com.")</f>
      </c>
    </row>
    <row r="10">
      <c r="A10" t="s" s="127">
        <v>34</v>
      </c>
    </row>
    <row r="21">
      <c r="A21"/>
    </row>
  </sheetData>
  <sheetProtection password="C9C1" sheet="true" scenarios="true" objects="true"/>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12.0000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2010-12-15T16:54:07Z</dcterms:created>
  <dc:creator>PitchBook</dc:creator>
  <lastModifiedBy>PitchBook</lastModifiedBy>
  <dcterms:modified xsi:type="dcterms:W3CDTF">2012-10-16T07:15:39Z</dcterms:modified>
</coreProperties>
</file>