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28755" windowHeight="13095" activeTab="0"/>
  </bookViews>
  <sheets>
    <sheet name="Data" sheetId="6" r:id="rId1"/>
    <sheet name="Disclaimer" r:id="rId5" sheetId="7"/>
  </sheets>
  <calcPr calcId="125725"/>
</workbook>
</file>

<file path=xl/comments6.xml><?xml version="1.0" encoding="utf-8"?>
<comments xmlns="http://schemas.openxmlformats.org/spreadsheetml/2006/main">
  <authors>
    <author/>
  </authors>
  <commentList>
    <comment ref="M533" authorId="0">
      <text>
        <t>Expected</t>
      </text>
    </comment>
    <comment ref="M599" authorId="0">
      <text>
        <t>Expected</t>
      </text>
    </comment>
  </commentList>
</comments>
</file>

<file path=xl/sharedStrings.xml><?xml version="1.0" encoding="utf-8"?>
<sst xmlns="http://schemas.openxmlformats.org/spreadsheetml/2006/main" count="36" uniqueCount="34">
  <si>
    <t>Search Criteria:</t>
  </si>
  <si>
    <t>Downloaded on:</t>
  </si>
  <si>
    <t xml:space="preserve"> </t>
  </si>
  <si>
    <t>Created for:</t>
  </si>
  <si>
    <t>My Layout: Public Company Financials</t>
  </si>
  <si>
    <t xml:space="preserve">Location: United States &gt; West Coast &gt; California; Backing Status: Accelerator/Incubator-backed, Angel-backed; Ownership Status: Privately held (backing); </t>
  </si>
  <si>
    <t>6/9/2017</t>
  </si>
  <si>
    <t>Dave Kochbeck, Silicon Valley Bank (Parent)</t>
  </si>
  <si>
    <t>Company ID</t>
  </si>
  <si>
    <t>Company Name</t>
  </si>
  <si>
    <t>Exchange</t>
  </si>
  <si>
    <t>Ticker</t>
  </si>
  <si>
    <t>Fiscal Period</t>
  </si>
  <si>
    <t>Revenue</t>
  </si>
  <si>
    <t>Gross Profit</t>
  </si>
  <si>
    <t>EBITDA</t>
  </si>
  <si>
    <t>Net Income</t>
  </si>
  <si>
    <t>Enterprise Value</t>
  </si>
  <si>
    <t>Ownership Status</t>
  </si>
  <si>
    <t>Company Financing Status</t>
  </si>
  <si>
    <t>Last Financing Date</t>
  </si>
  <si>
    <t>Last Financing Deal Type</t>
  </si>
  <si>
    <t>Last Financing Size</t>
  </si>
  <si>
    <t>PitchBook Link</t>
  </si>
  <si>
    <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</si>
  <si>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</si>
  <si>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</si>
  <si>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</si>
  <si>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</si>
  <si>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</si>
  <si>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</si>
  <si>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</si>
  <si>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</si>
  <si>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2017</t>
  </si>
</sst>
</file>

<file path=xl/styles.xml><?xml version="1.0" encoding="utf-8"?>
<styleSheet xmlns="http://schemas.openxmlformats.org/spreadsheetml/2006/main">
  <numFmts count="2">
    <numFmt numFmtId="165" formatCode="#,##0.00;[red](#,##0.00)"/>
    <numFmt numFmtId="166" formatCode="dd-MMM-yyyy"/>
  </numFmts>
  <fonts count="116">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0">
    <fill>
      <patternFill patternType="none"/>
    </fill>
    <fill>
      <patternFill patternType="gray125"/>
    </fill>
    <fill>
      <patternFill patternType="solid">
        <fgColor indexed="9"/>
        <bgColor indexed="64"/>
      </patternFill>
    </fill>
    <fill>
      <patternFill>
        <fgColor rgb="4F81BD"/>
      </patternFill>
    </fill>
    <fill>
      <patternFill patternType="solid">
        <fgColor rgb="4F81BD"/>
      </patternFill>
    </fill>
    <fill>
      <patternFill>
        <fgColor rgb="EEF3F8"/>
      </patternFill>
    </fill>
    <fill>
      <patternFill patternType="solid">
        <fgColor rgb="EEF3F8"/>
      </patternFill>
    </fill>
    <fill>
      <patternFill>
        <fgColor rgb="FFFFFF"/>
      </patternFill>
    </fill>
    <fill>
      <patternFill patternType="solid">
        <fgColor rgb="FFFFFF"/>
      </patternFill>
    </fill>
    <fill>
      <patternFill patternType="solid">
        <fgColor rgb="FFFFFF"/>
        <bgColor indexed="64"/>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116">
    <xf numFmtId="0" fontId="0" fillId="0" borderId="0" xfId="0"/>
    <xf numFmtId="0" fontId="3" fillId="2" borderId="0" xfId="0" applyFont="1" applyFill="1" applyAlignment="1">
      <alignment horizontal="right"/>
    </xf>
    <xf numFmtId="0" fontId="2" fillId="0" borderId="0" xfId="0" applyFont="1" applyAlignment="1">
      <alignment horizontal="center" vertical="top"/>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4" fillId="2" borderId="0" xfId="0" applyFont="1" applyFill="1" applyAlignment="1">
      <alignment horizontal="left" vertical="top" wrapText="true"/>
    </xf>
    <xf numFmtId="0" fontId="7" fillId="4" borderId="2" xfId="0" applyFill="true" applyFont="true" applyBorder="true">
      <alignment horizontal="center" vertical="center" wrapText="true"/>
    </xf>
    <xf numFmtId="0" fontId="8" fillId="4" borderId="4" xfId="0" applyFill="true" applyFont="true" applyBorder="true">
      <alignment horizontal="center" vertical="center" wrapText="true"/>
    </xf>
    <xf numFmtId="0" fontId="9" fillId="6" borderId="6" xfId="0" applyFill="true" applyFont="true" applyBorder="true">
      <alignment horizontal="general" vertical="top" indent="1" wrapText="false"/>
    </xf>
    <xf numFmtId="0" fontId="10" fillId="6" borderId="6" xfId="0" applyFill="true" applyFont="true" applyBorder="true">
      <alignment horizontal="left" vertical="top" indent="1" wrapText="false"/>
    </xf>
    <xf numFmtId="0" fontId="11" fillId="6" borderId="6" xfId="0" applyFill="true" applyFont="true" applyBorder="true">
      <alignment horizontal="left" vertical="top" indent="1" wrapText="false"/>
    </xf>
    <xf numFmtId="0" fontId="12" fillId="6" borderId="6" xfId="0" applyFill="true" applyFont="true" applyBorder="true">
      <alignment horizontal="left" vertical="top" indent="1" wrapText="false"/>
    </xf>
    <xf numFmtId="0" fontId="13" fillId="6" borderId="6" xfId="0" applyFill="true" applyFont="true" applyBorder="true">
      <alignment horizontal="right" vertical="top" indent="1" wrapText="false"/>
    </xf>
    <xf numFmtId="165" fontId="14" fillId="6" borderId="6" xfId="0" applyFill="true" applyFont="true" applyBorder="true" applyNumberFormat="true">
      <alignment horizontal="right" vertical="top" indent="1" wrapText="false"/>
    </xf>
    <xf numFmtId="165" fontId="15" fillId="6" borderId="6" xfId="0" applyFill="true" applyFont="true" applyBorder="true" applyNumberFormat="true">
      <alignment horizontal="right" vertical="top" indent="1" wrapText="false"/>
    </xf>
    <xf numFmtId="165" fontId="16" fillId="6" borderId="6" xfId="0" applyFill="true" applyFont="true" applyBorder="true" applyNumberFormat="true">
      <alignment horizontal="right" vertical="top" indent="1" wrapText="false"/>
    </xf>
    <xf numFmtId="165" fontId="17" fillId="6" borderId="6" xfId="0" applyFill="true" applyFont="true" applyBorder="true" applyNumberFormat="true">
      <alignment horizontal="right" vertical="top" indent="1" wrapText="false"/>
    </xf>
    <xf numFmtId="165" fontId="18" fillId="6" borderId="6" xfId="0" applyFill="true" applyFont="true" applyBorder="true" applyNumberFormat="true">
      <alignment horizontal="right" vertical="top" indent="1" wrapText="false"/>
    </xf>
    <xf numFmtId="0" fontId="19" fillId="6" borderId="6" xfId="0" applyFill="true" applyFont="true" applyBorder="true">
      <alignment horizontal="left" vertical="top" indent="1" wrapText="false"/>
    </xf>
    <xf numFmtId="0" fontId="20" fillId="6" borderId="6" xfId="0" applyFill="true" applyFont="true" applyBorder="true">
      <alignment horizontal="left" vertical="top" indent="1" wrapText="false"/>
    </xf>
    <xf numFmtId="166" fontId="21" fillId="6" borderId="6" xfId="0" applyFill="true" applyFont="true" applyBorder="true" applyNumberFormat="true">
      <alignment horizontal="right" vertical="top" indent="1" wrapText="false"/>
    </xf>
    <xf numFmtId="0" fontId="22" fillId="6" borderId="6" xfId="0" applyFill="true" applyFont="true" applyBorder="true">
      <alignment horizontal="left" vertical="top" indent="1" wrapText="false"/>
    </xf>
    <xf numFmtId="165" fontId="23" fillId="6" borderId="6" xfId="0" applyFill="true" applyFont="true" applyBorder="true" applyNumberFormat="true">
      <alignment horizontal="right" vertical="top" indent="1" wrapText="false"/>
    </xf>
    <xf numFmtId="0" fontId="24" fillId="6" borderId="6" xfId="0" applyFill="true" applyFont="true" applyBorder="true">
      <alignment horizontal="general" vertical="top" indent="1" wrapText="false"/>
    </xf>
    <xf numFmtId="0" fontId="25" fillId="8" borderId="6" xfId="0" applyFill="true" applyFont="true" applyBorder="true">
      <alignment horizontal="general" vertical="top" indent="1" wrapText="false"/>
    </xf>
    <xf numFmtId="0" fontId="26" fillId="8" borderId="6" xfId="0" applyFill="true" applyFont="true" applyBorder="true">
      <alignment horizontal="left" vertical="top" indent="1" wrapText="false"/>
    </xf>
    <xf numFmtId="0" fontId="27" fillId="8" borderId="6" xfId="0" applyFill="true" applyFont="true" applyBorder="true">
      <alignment horizontal="left" vertical="top" indent="1" wrapText="false"/>
    </xf>
    <xf numFmtId="0" fontId="28" fillId="8" borderId="6" xfId="0" applyFill="true" applyFont="true" applyBorder="true">
      <alignment horizontal="left" vertical="top" indent="1" wrapText="false"/>
    </xf>
    <xf numFmtId="0" fontId="29" fillId="8" borderId="6" xfId="0" applyFill="true" applyFont="true" applyBorder="true">
      <alignment horizontal="right" vertical="top" indent="1" wrapText="false"/>
    </xf>
    <xf numFmtId="165" fontId="30" fillId="8" borderId="6" xfId="0" applyFill="true" applyFont="true" applyBorder="true" applyNumberFormat="true">
      <alignment horizontal="right" vertical="top" indent="1" wrapText="false"/>
    </xf>
    <xf numFmtId="165" fontId="31" fillId="8" borderId="6" xfId="0" applyFill="true" applyFont="true" applyBorder="true" applyNumberFormat="true">
      <alignment horizontal="right" vertical="top" indent="1" wrapText="false"/>
    </xf>
    <xf numFmtId="165" fontId="32" fillId="8" borderId="6" xfId="0" applyFill="true" applyFont="true" applyBorder="true" applyNumberFormat="true">
      <alignment horizontal="right" vertical="top" indent="1" wrapText="false"/>
    </xf>
    <xf numFmtId="165" fontId="33" fillId="8" borderId="6" xfId="0" applyFill="true" applyFont="true" applyBorder="true" applyNumberFormat="true">
      <alignment horizontal="right" vertical="top" indent="1" wrapText="false"/>
    </xf>
    <xf numFmtId="165" fontId="34" fillId="8" borderId="6" xfId="0" applyFill="true" applyFont="true" applyBorder="true" applyNumberFormat="true">
      <alignment horizontal="right" vertical="top" indent="1" wrapText="false"/>
    </xf>
    <xf numFmtId="0" fontId="35" fillId="8" borderId="6" xfId="0" applyFill="true" applyFont="true" applyBorder="true">
      <alignment horizontal="left" vertical="top" indent="1" wrapText="false"/>
    </xf>
    <xf numFmtId="0" fontId="36" fillId="8" borderId="6" xfId="0" applyFill="true" applyFont="true" applyBorder="true">
      <alignment horizontal="left" vertical="top" indent="1" wrapText="false"/>
    </xf>
    <xf numFmtId="166" fontId="37" fillId="8" borderId="6" xfId="0" applyFill="true" applyFont="true" applyBorder="true" applyNumberFormat="true">
      <alignment horizontal="right" vertical="top" indent="1" wrapText="false"/>
    </xf>
    <xf numFmtId="0" fontId="38" fillId="8" borderId="6" xfId="0" applyFill="true" applyFont="true" applyBorder="true">
      <alignment horizontal="left" vertical="top" indent="1" wrapText="false"/>
    </xf>
    <xf numFmtId="165" fontId="39" fillId="8" borderId="6" xfId="0" applyFill="true" applyFont="true" applyBorder="true" applyNumberFormat="true">
      <alignment horizontal="right" vertical="top" indent="1" wrapText="false"/>
    </xf>
    <xf numFmtId="0" fontId="40" fillId="8" borderId="6" xfId="0" applyFill="true" applyFont="true" applyBorder="true">
      <alignment horizontal="general" vertical="top" indent="1" wrapText="false"/>
    </xf>
    <xf numFmtId="0" fontId="41" fillId="6" borderId="6" xfId="0" applyFill="true" applyFont="true" applyBorder="true">
      <alignment horizontal="general" vertical="top" indent="1" wrapText="false"/>
    </xf>
    <xf numFmtId="0" fontId="42" fillId="6" borderId="6" xfId="0" applyFill="true" applyFont="true" applyBorder="true">
      <alignment horizontal="left" vertical="top" indent="1" wrapText="false"/>
    </xf>
    <xf numFmtId="0" fontId="43" fillId="6" borderId="6" xfId="0" applyFill="true" applyFont="true" applyBorder="true">
      <alignment horizontal="left" vertical="top" indent="1" wrapText="false"/>
    </xf>
    <xf numFmtId="0" fontId="44" fillId="6" borderId="6" xfId="0" applyFill="true" applyFont="true" applyBorder="true">
      <alignment horizontal="left" vertical="top" indent="1" wrapText="false"/>
    </xf>
    <xf numFmtId="0" fontId="45" fillId="6" borderId="6" xfId="0" applyFill="true" applyFont="true" applyBorder="true">
      <alignment horizontal="right" vertical="top" indent="1" wrapText="false"/>
    </xf>
    <xf numFmtId="165" fontId="46" fillId="6" borderId="6" xfId="0" applyFill="true" applyFont="true" applyBorder="true" applyNumberFormat="true">
      <alignment horizontal="right" vertical="top" indent="1" wrapText="false"/>
    </xf>
    <xf numFmtId="165" fontId="47" fillId="6" borderId="6" xfId="0" applyFill="true" applyFont="true" applyBorder="true" applyNumberFormat="true">
      <alignment horizontal="right" vertical="top" indent="1" wrapText="false"/>
    </xf>
    <xf numFmtId="165" fontId="48" fillId="6" borderId="6" xfId="0" applyFill="true" applyFont="true" applyBorder="true" applyNumberFormat="true">
      <alignment horizontal="right" vertical="top" indent="1" wrapText="false"/>
    </xf>
    <xf numFmtId="165" fontId="49" fillId="6" borderId="6" xfId="0" applyFill="true" applyFont="true" applyBorder="true" applyNumberFormat="true">
      <alignment horizontal="right" vertical="top" indent="1" wrapText="false"/>
    </xf>
    <xf numFmtId="165" fontId="50" fillId="6" borderId="6" xfId="0" applyFill="true" applyFont="true" applyBorder="true" applyNumberFormat="true">
      <alignment horizontal="right" vertical="top" indent="1" wrapText="false"/>
    </xf>
    <xf numFmtId="0" fontId="51" fillId="6" borderId="6" xfId="0" applyFill="true" applyFont="true" applyBorder="true">
      <alignment horizontal="left" vertical="top" indent="1" wrapText="false"/>
    </xf>
    <xf numFmtId="0" fontId="52" fillId="6" borderId="6" xfId="0" applyFill="true" applyFont="true" applyBorder="true">
      <alignment horizontal="left" vertical="top" indent="1" wrapText="false"/>
    </xf>
    <xf numFmtId="166" fontId="53" fillId="6" borderId="6" xfId="0" applyFill="true" applyFont="true" applyBorder="true" applyNumberFormat="true">
      <alignment horizontal="right" vertical="top" indent="1" wrapText="false"/>
    </xf>
    <xf numFmtId="0" fontId="54" fillId="6" borderId="6" xfId="0" applyFill="true" applyFont="true" applyBorder="true">
      <alignment horizontal="left" vertical="top" indent="1" wrapText="false"/>
    </xf>
    <xf numFmtId="165" fontId="55" fillId="6" borderId="6" xfId="0" applyFill="true" applyFont="true" applyBorder="true" applyNumberFormat="true">
      <alignment horizontal="right" vertical="top" indent="1" wrapText="false"/>
    </xf>
    <xf numFmtId="0" fontId="56" fillId="6" borderId="6" xfId="0" applyFill="true" applyFont="true" applyBorder="true">
      <alignment horizontal="general" vertical="top" indent="1" wrapText="false"/>
    </xf>
    <xf numFmtId="0" fontId="57" fillId="8" borderId="6" xfId="0" applyFill="true" applyFont="true" applyBorder="true">
      <alignment horizontal="general" vertical="top" indent="1" wrapText="false"/>
    </xf>
    <xf numFmtId="0" fontId="58" fillId="8" borderId="6" xfId="0" applyFill="true" applyFont="true" applyBorder="true">
      <alignment horizontal="left" vertical="top" indent="1" wrapText="false"/>
    </xf>
    <xf numFmtId="0" fontId="59" fillId="8" borderId="6" xfId="0" applyFill="true" applyFont="true" applyBorder="true">
      <alignment horizontal="left" vertical="top" indent="1" wrapText="false"/>
    </xf>
    <xf numFmtId="0" fontId="60" fillId="8" borderId="6" xfId="0" applyFill="true" applyFont="true" applyBorder="true">
      <alignment horizontal="left" vertical="top" indent="1" wrapText="false"/>
    </xf>
    <xf numFmtId="0" fontId="61" fillId="8" borderId="6" xfId="0" applyFill="true" applyFont="true" applyBorder="true">
      <alignment horizontal="right" vertical="top" indent="1" wrapText="false"/>
    </xf>
    <xf numFmtId="165" fontId="62" fillId="8" borderId="6" xfId="0" applyFill="true" applyFont="true" applyBorder="true" applyNumberFormat="true">
      <alignment horizontal="right" vertical="top" indent="1" wrapText="false"/>
    </xf>
    <xf numFmtId="165" fontId="63" fillId="8" borderId="6" xfId="0" applyFill="true" applyFont="true" applyBorder="true" applyNumberFormat="true">
      <alignment horizontal="right" vertical="top" indent="1" wrapText="false"/>
    </xf>
    <xf numFmtId="165" fontId="64" fillId="8" borderId="6" xfId="0" applyFill="true" applyFont="true" applyBorder="true" applyNumberFormat="true">
      <alignment horizontal="right" vertical="top" indent="1" wrapText="false"/>
    </xf>
    <xf numFmtId="165" fontId="65" fillId="8" borderId="6" xfId="0" applyFill="true" applyFont="true" applyBorder="true" applyNumberFormat="true">
      <alignment horizontal="right" vertical="top" indent="1" wrapText="false"/>
    </xf>
    <xf numFmtId="165" fontId="66" fillId="8" borderId="6" xfId="0" applyFill="true" applyFont="true" applyBorder="true" applyNumberFormat="true">
      <alignment horizontal="right" vertical="top" indent="1" wrapText="false"/>
    </xf>
    <xf numFmtId="0" fontId="67" fillId="8" borderId="6" xfId="0" applyFill="true" applyFont="true" applyBorder="true">
      <alignment horizontal="left" vertical="top" indent="1" wrapText="false"/>
    </xf>
    <xf numFmtId="0" fontId="68" fillId="8" borderId="6" xfId="0" applyFill="true" applyFont="true" applyBorder="true">
      <alignment horizontal="left" vertical="top" indent="1" wrapText="false"/>
    </xf>
    <xf numFmtId="166" fontId="69" fillId="8" borderId="6" xfId="0" applyFill="true" applyFont="true" applyBorder="true" applyNumberFormat="true">
      <alignment horizontal="right" vertical="top" indent="1" wrapText="false"/>
    </xf>
    <xf numFmtId="0" fontId="70" fillId="8" borderId="6" xfId="0" applyFill="true" applyFont="true" applyBorder="true">
      <alignment horizontal="left" vertical="top" indent="1" wrapText="false"/>
    </xf>
    <xf numFmtId="165" fontId="71" fillId="8" borderId="6" xfId="0" applyFill="true" applyFont="true" applyBorder="true" applyNumberFormat="true">
      <alignment horizontal="right" vertical="top" indent="1" wrapText="false"/>
    </xf>
    <xf numFmtId="0" fontId="72" fillId="8" borderId="6" xfId="0" applyFill="true" applyFont="true" applyBorder="true">
      <alignment horizontal="general" vertical="top" indent="1" wrapText="false"/>
    </xf>
    <xf numFmtId="0" fontId="73" fillId="6" borderId="6" xfId="0" applyFill="true" applyFont="true" applyBorder="true">
      <alignment horizontal="left" vertical="top" indent="1" wrapText="false"/>
    </xf>
    <xf numFmtId="0" fontId="74" fillId="8" borderId="6" xfId="0" applyFill="true" applyFont="true" applyBorder="true">
      <alignment horizontal="left" vertical="top" indent="1" wrapText="false"/>
    </xf>
    <xf numFmtId="0" fontId="75" fillId="6" borderId="6" xfId="0" applyFill="true" applyFont="true" applyBorder="true">
      <alignment horizontal="left" vertical="top" indent="1" wrapText="false"/>
    </xf>
    <xf numFmtId="0" fontId="76" fillId="8" borderId="6" xfId="0" applyFill="true" applyFont="true" applyBorder="true">
      <alignment horizontal="left" vertical="top" indent="1" wrapText="false"/>
    </xf>
    <xf numFmtId="0" fontId="77" fillId="6" borderId="6" xfId="0" applyFill="true" applyFont="true" applyBorder="true">
      <alignment horizontal="left" vertical="top" indent="1" wrapText="false"/>
    </xf>
    <xf numFmtId="0" fontId="78" fillId="8" borderId="6" xfId="0" applyFill="true" applyFont="true" applyBorder="true">
      <alignment horizontal="left" vertical="top" indent="1" wrapText="false"/>
    </xf>
    <xf numFmtId="0" fontId="79" fillId="6" borderId="6" xfId="0" applyFill="true" applyFont="true" applyBorder="true">
      <alignment horizontal="left" vertical="top" indent="1" wrapText="false"/>
    </xf>
    <xf numFmtId="0" fontId="80" fillId="8" borderId="6" xfId="0" applyFill="true" applyFont="true" applyBorder="true">
      <alignment horizontal="left" vertical="top" indent="1" wrapText="false"/>
    </xf>
    <xf numFmtId="0" fontId="81" fillId="6" borderId="6" xfId="0" applyFill="true" applyFont="true" applyBorder="true">
      <alignment horizontal="left" vertical="top" indent="1" wrapText="false"/>
    </xf>
    <xf numFmtId="0" fontId="82" fillId="8" borderId="6" xfId="0" applyFill="true" applyFont="true" applyBorder="true">
      <alignment horizontal="left" vertical="top" indent="1" wrapText="false"/>
    </xf>
    <xf numFmtId="165" fontId="83" fillId="6" borderId="6" xfId="0" applyFill="true" applyFont="true" applyBorder="true" applyNumberFormat="true">
      <alignment horizontal="left" vertical="top" indent="1" wrapText="false"/>
    </xf>
    <xf numFmtId="165" fontId="84" fillId="8" borderId="6" xfId="0" applyFill="true" applyFont="true" applyBorder="true" applyNumberFormat="true">
      <alignment horizontal="left" vertical="top" indent="1" wrapText="false"/>
    </xf>
    <xf numFmtId="165" fontId="85" fillId="6" borderId="6" xfId="0" applyFill="true" applyFont="true" applyBorder="true" applyNumberFormat="true">
      <alignment horizontal="left" vertical="top" indent="1" wrapText="false"/>
    </xf>
    <xf numFmtId="165" fontId="86" fillId="8" borderId="6" xfId="0" applyFill="true" applyFont="true" applyBorder="true" applyNumberFormat="true">
      <alignment horizontal="left" vertical="top" indent="1" wrapText="false"/>
    </xf>
    <xf numFmtId="165" fontId="87" fillId="6" borderId="6" xfId="0" applyFill="true" applyFont="true" applyBorder="true" applyNumberFormat="true">
      <alignment horizontal="left" vertical="top" indent="1" wrapText="false"/>
    </xf>
    <xf numFmtId="165" fontId="88" fillId="8" borderId="6" xfId="0" applyFill="true" applyFont="true" applyBorder="true" applyNumberFormat="true">
      <alignment horizontal="left" vertical="top" indent="1" wrapText="false"/>
    </xf>
    <xf numFmtId="165" fontId="89" fillId="6" borderId="6" xfId="0" applyFill="true" applyFont="true" applyBorder="true" applyNumberFormat="true">
      <alignment horizontal="left" vertical="top" indent="1" wrapText="false"/>
    </xf>
    <xf numFmtId="165" fontId="90" fillId="8" borderId="6" xfId="0" applyFill="true" applyFont="true" applyBorder="true" applyNumberFormat="true">
      <alignment horizontal="left" vertical="top" indent="1" wrapText="false"/>
    </xf>
    <xf numFmtId="165" fontId="91" fillId="6" borderId="6" xfId="0" applyFill="true" applyFont="true" applyBorder="true" applyNumberFormat="true">
      <alignment horizontal="left" vertical="top" indent="1" wrapText="false"/>
    </xf>
    <xf numFmtId="165" fontId="92" fillId="8" borderId="6" xfId="0" applyFill="true" applyFont="true" applyBorder="true" applyNumberFormat="true">
      <alignment horizontal="left" vertical="top" indent="1" wrapText="false"/>
    </xf>
    <xf numFmtId="0" fontId="93" fillId="6" borderId="6" xfId="0" applyFill="true" applyFont="true" applyBorder="true">
      <alignment horizontal="left" vertical="top" indent="1" wrapText="false"/>
    </xf>
    <xf numFmtId="0" fontId="94" fillId="8" borderId="6" xfId="0" applyFill="true" applyFont="true" applyBorder="true">
      <alignment horizontal="left" vertical="top" indent="1" wrapText="false"/>
    </xf>
    <xf numFmtId="0" fontId="95" fillId="6" borderId="6" xfId="0" applyFill="true" applyFont="true" applyBorder="true">
      <alignment horizontal="left" vertical="top" indent="1" wrapText="false"/>
    </xf>
    <xf numFmtId="0" fontId="96" fillId="8" borderId="6" xfId="0" applyFill="true" applyFont="true" applyBorder="true">
      <alignment horizontal="left" vertical="top" indent="1" wrapText="false"/>
    </xf>
    <xf numFmtId="166" fontId="97" fillId="6" borderId="6" xfId="0" applyFill="true" applyFont="true" applyBorder="true" applyNumberFormat="true">
      <alignment horizontal="left" vertical="top" indent="1" wrapText="false"/>
    </xf>
    <xf numFmtId="166" fontId="98" fillId="8" borderId="6" xfId="0" applyFill="true" applyFont="true" applyBorder="true" applyNumberFormat="true">
      <alignment horizontal="left" vertical="top" indent="1" wrapText="false"/>
    </xf>
    <xf numFmtId="0" fontId="99" fillId="6" borderId="6" xfId="0" applyFill="true" applyFont="true" applyBorder="true">
      <alignment horizontal="left" vertical="top" indent="1" wrapText="false"/>
    </xf>
    <xf numFmtId="0" fontId="100" fillId="8" borderId="6" xfId="0" applyFill="true" applyFont="true" applyBorder="true">
      <alignment horizontal="left" vertical="top" indent="1" wrapText="false"/>
    </xf>
    <xf numFmtId="165" fontId="101" fillId="6" borderId="6" xfId="0" applyFill="true" applyFont="true" applyBorder="true" applyNumberFormat="true">
      <alignment horizontal="left" vertical="top" indent="1" wrapText="false"/>
    </xf>
    <xf numFmtId="165" fontId="102" fillId="8" borderId="6" xfId="0" applyFill="true" applyFont="true" applyBorder="true" applyNumberFormat="true">
      <alignment horizontal="left" vertical="top" indent="1" wrapText="false"/>
    </xf>
    <xf numFmtId="0" fontId="103" fillId="0" borderId="0" xfId="0" applyFont="true">
      <alignment horizontal="general" vertical="bottom"/>
    </xf>
    <xf numFmtId="0" fontId="104" fillId="9" borderId="0" xfId="0" applyFont="true" applyFill="true" applyNumberFormat="true"/>
    <xf numFmtId="0" fontId="105" fillId="9" borderId="0" xfId="0" applyFont="true" applyFill="true" applyNumberFormat="true"/>
    <xf numFmtId="0" fontId="106" fillId="9" borderId="0" xfId="1" applyFont="true" applyFill="true" applyAlignment="1" applyProtection="1" applyNumberFormat="true"/>
    <xf numFmtId="0" fontId="107" fillId="9" borderId="0" xfId="0" applyFont="true" applyFill="true" applyNumberFormat="true"/>
    <xf numFmtId="0" fontId="108" fillId="9" borderId="0" xfId="2" applyFont="true" applyFill="true" applyAlignment="1" applyProtection="1" applyNumberFormat="true"/>
    <xf numFmtId="0" fontId="109" fillId="9" borderId="0" xfId="0" applyFont="true" applyFill="true" applyNumberFormat="true"/>
    <xf numFmtId="0" fontId="110" fillId="9" borderId="0" xfId="0" applyFont="true" applyFill="true" applyNumberFormat="true"/>
    <xf numFmtId="0" fontId="111" fillId="9" borderId="0" xfId="2" applyFont="true" applyFill="true" applyAlignment="1" applyProtection="1" applyNumberFormat="true"/>
    <xf numFmtId="0" fontId="112" fillId="9" borderId="0" xfId="2" applyFont="true" applyFill="true" applyAlignment="1" applyProtection="1" applyNumberFormat="true"/>
    <xf numFmtId="0" fontId="113" fillId="9" borderId="0" xfId="1" applyFont="true" applyFill="true" applyAlignment="1" applyProtection="1" applyNumberFormat="true"/>
    <xf numFmtId="0" fontId="114" fillId="9" borderId="0" xfId="2" applyFont="true" applyFill="true" applyAlignment="1" applyProtection="1" applyNumberFormat="true"/>
    <xf numFmtId="0" fontId="115" fillId="0" borderId="0" xfId="0" applyFont="true">
      <alignment horizontal="general" vertical="bottom"/>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worksheet" Target="worksheets/sheet7.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1353527</xdr:colOff>
      <xdr:row>1</xdr:row>
      <xdr:rowOff>76200</xdr:rowOff>
    </xdr:to>
    <xdr:pic>
      <xdr:nvPicPr>
        <xdr:cNvPr id="1" name="Picture 1" descr="Picture"/>
        <xdr:cNvPicPr>
          <a:picLocks noChangeAspect="true"/>
        </xdr:cNvPicPr>
      </xdr:nvPicPr>
      <xdr:blipFill>
        <a:blip r:embed="rId1"/>
        <a:stretch>
          <a:fillRect/>
        </a:stretch>
      </xdr:blipFill>
      <xdr:spPr>
        <a:xfrm>
          <a:off x="0" y="0"/>
          <a:ext cx="2076450" cy="409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 Id="rId3" Type="http://schemas.openxmlformats.org/officeDocument/2006/relationships/comments" Target="../comments6.xml"/>
  <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dimension ref="A1:G8"/>
  <sheetViews>
    <sheetView showGridLines="0" tabSelected="false" workbookViewId="0">
      <selection activeCell="A1" sqref="A1"/>
    </sheetView>
  </sheetViews>
  <sheetFormatPr defaultRowHeight="15"/>
  <cols>
    <col min="4" max="4" customWidth="true" width="6.50390625" collapsed="true"/>
    <col min="3" max="3" customWidth="true" width="8.671875" collapsed="true"/>
    <col min="1" max="1" customWidth="true" width="10.83984375" collapsed="true"/>
    <col min="2" max="2" customWidth="true" width="33.2421875" collapsed="true"/>
    <col min="7" max="7" customWidth="true" width="6.50390625" collapsed="true"/>
    <col min="5" max="5" width="6.6484375" customWidth="true"/>
    <col min="6" max="6" width="8.52734375" customWidth="true"/>
    <col min="8" max="8" width="7.515625" customWidth="true"/>
    <col min="9" max="9" width="7.37109375" customWidth="true"/>
    <col min="10" max="10" width="9.39453125" customWidth="true"/>
    <col min="11" max="11" width="11.5625" customWidth="true"/>
    <col min="12" max="12" width="18.7890625" customWidth="true"/>
    <col min="13" max="13" width="13.0078125" customWidth="true"/>
    <col min="14" max="14" width="17.77734375" customWidth="true"/>
    <col min="15" max="15" width="12.140625" customWidth="true"/>
    <col min="16" max="16" width="19.80078125" customWidth="true"/>
  </cols>
  <sheetData>
    <row r="1" spans="1:7" ht="26.25" customHeight="1">
      <c r="E1" s="5" t="s">
        <v>4</v>
      </c>
      <c r="F1" s="5"/>
      <c r="G1" s="5"/>
    </row>
    <row r="2" spans="1:7" ht="12" customHeight="1"/>
    <row r="3" spans="1:7" ht="9.75" customHeight="1"/>
    <row r="4" spans="1:7">
      <c r="A4" s="2" t="s">
        <v>0</v>
      </c>
      <c r="B4" s="6" t="s">
        <v>5</v>
      </c>
      <c r="C4" s="6"/>
      <c r="D4" s="6"/>
    </row>
    <row r="5" spans="1:7">
      <c r="B5" s="6"/>
      <c r="C5" s="6"/>
      <c r="D5" s="6"/>
      <c r="F5" s="1" t="s">
        <v>1</v>
      </c>
      <c r="G5" s="3" t="s">
        <v>6</v>
      </c>
    </row>
    <row r="6" spans="1:7">
      <c r="B6" s="6"/>
      <c r="C6" s="6"/>
      <c r="D6" s="6"/>
      <c r="F6" s="1" t="s">
        <v>3</v>
      </c>
      <c r="G6" s="4" t="s">
        <v>7</v>
      </c>
    </row>
    <row r="8" spans="1:7" ht="35.0" customHeight="true">
      <c r="A8" t="s" s="7">
        <v>8</v>
      </c>
      <c r="B8" t="s" s="7">
        <v>9</v>
      </c>
      <c r="C8" t="s" s="7">
        <v>10</v>
      </c>
      <c r="D8" t="s" s="7">
        <v>11</v>
      </c>
      <c r="E8" t="s" s="7">
        <v>12</v>
      </c>
      <c r="F8" t="s" s="7">
        <v>13</v>
      </c>
      <c r="G8" t="s" s="7">
        <v>14</v>
      </c>
      <c r="H8" t="s" s="7">
        <v>15</v>
      </c>
      <c r="I8" t="s" s="7">
        <v>16</v>
      </c>
      <c r="J8" t="s" s="7">
        <v>17</v>
      </c>
      <c r="K8" t="s" s="7">
        <v>18</v>
      </c>
      <c r="L8" t="s" s="7">
        <v>19</v>
      </c>
      <c r="M8" t="s" s="7">
        <v>20</v>
      </c>
      <c r="N8" t="s" s="7">
        <v>21</v>
      </c>
      <c r="O8" t="s" s="7">
        <v>22</v>
      </c>
      <c r="P8" t="s" s="8">
        <v>23</v>
      </c>
    </row>
    <row r="9">
      <c r="A9" s="9" t="inlineStr">
        <is>
          <t>170123-59</t>
        </is>
      </c>
      <c r="B9" s="10" t="inlineStr">
        <is>
          <t>Zyudly Labs</t>
        </is>
      </c>
      <c r="C9" s="11" t="inlineStr">
        <is>
          <t/>
        </is>
      </c>
      <c r="D9" s="12" t="inlineStr">
        <is>
          <t/>
        </is>
      </c>
      <c r="E9" s="13" t="inlineStr">
        <is>
          <t/>
        </is>
      </c>
      <c r="F9" s="14" t="inlineStr">
        <is>
          <t/>
        </is>
      </c>
      <c r="G9" s="15" t="inlineStr">
        <is>
          <t/>
        </is>
      </c>
      <c r="H9" s="16" t="inlineStr">
        <is>
          <t/>
        </is>
      </c>
      <c r="I9" s="17" t="inlineStr">
        <is>
          <t/>
        </is>
      </c>
      <c r="J9" s="18" t="inlineStr">
        <is>
          <t/>
        </is>
      </c>
      <c r="K9" s="19" t="inlineStr">
        <is>
          <t>Privately Held (backing)</t>
        </is>
      </c>
      <c r="L9" s="20" t="inlineStr">
        <is>
          <t>Accelerator/Incubator Backed</t>
        </is>
      </c>
      <c r="M9" s="21" t="n">
        <v>42774.0</v>
      </c>
      <c r="N9" s="22" t="inlineStr">
        <is>
          <t>Accelerator/Incubator</t>
        </is>
      </c>
      <c r="O9" s="23" t="n">
        <v>0.15</v>
      </c>
      <c r="P9" s="101">
        <f>HYPERLINK("https://my.pitchbook.com?c=170123-59", "View company online")</f>
      </c>
    </row>
    <row r="10">
      <c r="A10" s="25" t="inlineStr">
        <is>
          <t>103815-46</t>
        </is>
      </c>
      <c r="B10" s="26" t="inlineStr">
        <is>
          <t>Zymr</t>
        </is>
      </c>
      <c r="C10" s="78">
        <f>HYPERLINK("https://my.pitchbook.com?rrp=103815-46&amp;type=c", "This Company's information is not available to download. Need this Company? Request availability")</f>
      </c>
      <c r="D10" s="28" t="inlineStr">
        <is>
          <t/>
        </is>
      </c>
      <c r="E10" s="29" t="inlineStr">
        <is>
          <t/>
        </is>
      </c>
      <c r="F10" s="30" t="inlineStr">
        <is>
          <t/>
        </is>
      </c>
      <c r="G10" s="31" t="inlineStr">
        <is>
          <t/>
        </is>
      </c>
      <c r="H10" s="32" t="inlineStr">
        <is>
          <t/>
        </is>
      </c>
      <c r="I10" s="33" t="inlineStr">
        <is>
          <t/>
        </is>
      </c>
      <c r="J10" s="34" t="inlineStr">
        <is>
          <t/>
        </is>
      </c>
      <c r="K10" s="35" t="inlineStr">
        <is>
          <t/>
        </is>
      </c>
      <c r="L10" s="36" t="inlineStr">
        <is>
          <t/>
        </is>
      </c>
      <c r="M10" s="37" t="inlineStr">
        <is>
          <t/>
        </is>
      </c>
      <c r="N10" s="38" t="inlineStr">
        <is>
          <t/>
        </is>
      </c>
      <c r="O10" s="39" t="inlineStr">
        <is>
          <t/>
        </is>
      </c>
      <c r="P10" s="40" t="inlineStr">
        <is>
          <t/>
        </is>
      </c>
    </row>
    <row r="11">
      <c r="A11" s="9" t="inlineStr">
        <is>
          <t>115308-37</t>
        </is>
      </c>
      <c r="B11" s="10" t="inlineStr">
        <is>
          <t>Zymochem</t>
        </is>
      </c>
      <c r="C11" s="11" t="inlineStr">
        <is>
          <t/>
        </is>
      </c>
      <c r="D11" s="12" t="inlineStr">
        <is>
          <t/>
        </is>
      </c>
      <c r="E11" s="13" t="inlineStr">
        <is>
          <t/>
        </is>
      </c>
      <c r="F11" s="14" t="inlineStr">
        <is>
          <t/>
        </is>
      </c>
      <c r="G11" s="15" t="inlineStr">
        <is>
          <t/>
        </is>
      </c>
      <c r="H11" s="16" t="inlineStr">
        <is>
          <t/>
        </is>
      </c>
      <c r="I11" s="17" t="inlineStr">
        <is>
          <t/>
        </is>
      </c>
      <c r="J11" s="18" t="inlineStr">
        <is>
          <t/>
        </is>
      </c>
      <c r="K11" s="19" t="inlineStr">
        <is>
          <t>Privately Held (backing)</t>
        </is>
      </c>
      <c r="L11" s="20" t="inlineStr">
        <is>
          <t>Accelerator/Incubator Backed</t>
        </is>
      </c>
      <c r="M11" s="21" t="n">
        <v>42655.0</v>
      </c>
      <c r="N11" s="22" t="inlineStr">
        <is>
          <t>Accelerator/Incubator</t>
        </is>
      </c>
      <c r="O11" s="23" t="n">
        <v>0.35</v>
      </c>
      <c r="P11" s="101">
        <f>HYPERLINK("https://my.pitchbook.com?c=115308-37", "View company online")</f>
      </c>
    </row>
    <row r="12">
      <c r="A12" s="25" t="inlineStr">
        <is>
          <t>114984-46</t>
        </is>
      </c>
      <c r="B12" s="26" t="inlineStr">
        <is>
          <t>Zymbit</t>
        </is>
      </c>
      <c r="C12" s="27" t="inlineStr">
        <is>
          <t/>
        </is>
      </c>
      <c r="D12" s="28" t="inlineStr">
        <is>
          <t/>
        </is>
      </c>
      <c r="E12" s="29" t="inlineStr">
        <is>
          <t/>
        </is>
      </c>
      <c r="F12" s="30" t="inlineStr">
        <is>
          <t/>
        </is>
      </c>
      <c r="G12" s="31" t="inlineStr">
        <is>
          <t/>
        </is>
      </c>
      <c r="H12" s="32" t="inlineStr">
        <is>
          <t/>
        </is>
      </c>
      <c r="I12" s="33" t="inlineStr">
        <is>
          <t/>
        </is>
      </c>
      <c r="J12" s="34" t="inlineStr">
        <is>
          <t/>
        </is>
      </c>
      <c r="K12" s="35" t="inlineStr">
        <is>
          <t>Privately Held (backing)</t>
        </is>
      </c>
      <c r="L12" s="36" t="inlineStr">
        <is>
          <t>Angel-Backed</t>
        </is>
      </c>
      <c r="M12" s="37" t="n">
        <v>42145.0</v>
      </c>
      <c r="N12" s="38" t="inlineStr">
        <is>
          <t>Angel (individual)</t>
        </is>
      </c>
      <c r="O12" s="39" t="n">
        <v>0.2</v>
      </c>
      <c r="P12" s="102">
        <f>HYPERLINK("https://my.pitchbook.com?c=114984-46", "View company online")</f>
      </c>
    </row>
    <row r="13">
      <c r="A13" s="9" t="inlineStr">
        <is>
          <t>170032-96</t>
        </is>
      </c>
      <c r="B13" s="10" t="inlineStr">
        <is>
          <t>Zupa Noma</t>
        </is>
      </c>
      <c r="C13" s="11" t="inlineStr">
        <is>
          <t/>
        </is>
      </c>
      <c r="D13" s="12" t="inlineStr">
        <is>
          <t/>
        </is>
      </c>
      <c r="E13" s="13" t="inlineStr">
        <is>
          <t/>
        </is>
      </c>
      <c r="F13" s="14" t="inlineStr">
        <is>
          <t/>
        </is>
      </c>
      <c r="G13" s="15" t="inlineStr">
        <is>
          <t/>
        </is>
      </c>
      <c r="H13" s="16" t="inlineStr">
        <is>
          <t/>
        </is>
      </c>
      <c r="I13" s="17" t="inlineStr">
        <is>
          <t/>
        </is>
      </c>
      <c r="J13" s="18" t="inlineStr">
        <is>
          <t/>
        </is>
      </c>
      <c r="K13" s="19" t="inlineStr">
        <is>
          <t>Privately Held (backing)</t>
        </is>
      </c>
      <c r="L13" s="20" t="inlineStr">
        <is>
          <t>Accelerator/Incubator Backed</t>
        </is>
      </c>
      <c r="M13" s="21" t="n">
        <v>42544.0</v>
      </c>
      <c r="N13" s="22" t="inlineStr">
        <is>
          <t>Accelerator/Incubator</t>
        </is>
      </c>
      <c r="O13" s="23" t="inlineStr">
        <is>
          <t/>
        </is>
      </c>
      <c r="P13" s="101">
        <f>HYPERLINK("https://my.pitchbook.com?c=170032-96", "View company online")</f>
      </c>
    </row>
    <row r="14">
      <c r="A14" s="25" t="inlineStr">
        <is>
          <t>123484-96</t>
        </is>
      </c>
      <c r="B14" s="26" t="inlineStr">
        <is>
          <t>Zunn Labs</t>
        </is>
      </c>
      <c r="C14" s="27" t="inlineStr">
        <is>
          <t/>
        </is>
      </c>
      <c r="D14" s="28" t="inlineStr">
        <is>
          <t/>
        </is>
      </c>
      <c r="E14" s="29" t="inlineStr">
        <is>
          <t/>
        </is>
      </c>
      <c r="F14" s="30" t="inlineStr">
        <is>
          <t/>
        </is>
      </c>
      <c r="G14" s="31" t="inlineStr">
        <is>
          <t/>
        </is>
      </c>
      <c r="H14" s="32" t="inlineStr">
        <is>
          <t/>
        </is>
      </c>
      <c r="I14" s="33" t="inlineStr">
        <is>
          <t/>
        </is>
      </c>
      <c r="J14" s="34" t="inlineStr">
        <is>
          <t/>
        </is>
      </c>
      <c r="K14" s="35" t="inlineStr">
        <is>
          <t>Privately Held (backing)</t>
        </is>
      </c>
      <c r="L14" s="36" t="inlineStr">
        <is>
          <t>Accelerator/Incubator Backed</t>
        </is>
      </c>
      <c r="M14" s="37" t="n">
        <v>41993.0</v>
      </c>
      <c r="N14" s="38" t="inlineStr">
        <is>
          <t>Product Crowdfunding</t>
        </is>
      </c>
      <c r="O14" s="39" t="n">
        <v>0.12</v>
      </c>
      <c r="P14" s="102">
        <f>HYPERLINK("https://my.pitchbook.com?c=123484-96", "View company online")</f>
      </c>
    </row>
    <row r="15">
      <c r="A15" s="9" t="inlineStr">
        <is>
          <t>162373-69</t>
        </is>
      </c>
      <c r="B15" s="10" t="inlineStr">
        <is>
          <t>Zungle Panther</t>
        </is>
      </c>
      <c r="C15" s="11" t="inlineStr">
        <is>
          <t/>
        </is>
      </c>
      <c r="D15" s="12" t="inlineStr">
        <is>
          <t/>
        </is>
      </c>
      <c r="E15" s="13" t="inlineStr">
        <is>
          <t/>
        </is>
      </c>
      <c r="F15" s="14" t="inlineStr">
        <is>
          <t/>
        </is>
      </c>
      <c r="G15" s="15" t="inlineStr">
        <is>
          <t/>
        </is>
      </c>
      <c r="H15" s="16" t="inlineStr">
        <is>
          <t/>
        </is>
      </c>
      <c r="I15" s="17" t="inlineStr">
        <is>
          <t/>
        </is>
      </c>
      <c r="J15" s="18" t="inlineStr">
        <is>
          <t/>
        </is>
      </c>
      <c r="K15" s="19" t="inlineStr">
        <is>
          <t>Privately Held (backing)</t>
        </is>
      </c>
      <c r="L15" s="20" t="inlineStr">
        <is>
          <t>Angel-Backed</t>
        </is>
      </c>
      <c r="M15" s="21" t="n">
        <v>42580.0</v>
      </c>
      <c r="N15" s="22" t="inlineStr">
        <is>
          <t>Product Crowdfunding</t>
        </is>
      </c>
      <c r="O15" s="23" t="n">
        <v>2.36</v>
      </c>
      <c r="P15" s="101">
        <f>HYPERLINK("https://my.pitchbook.com?c=162373-69", "View company online")</f>
      </c>
    </row>
    <row r="16">
      <c r="A16" s="25" t="inlineStr">
        <is>
          <t>103179-70</t>
        </is>
      </c>
      <c r="B16" s="26" t="inlineStr">
        <is>
          <t>Zumeo</t>
        </is>
      </c>
      <c r="C16" s="27" t="inlineStr">
        <is>
          <t/>
        </is>
      </c>
      <c r="D16" s="28" t="inlineStr">
        <is>
          <t/>
        </is>
      </c>
      <c r="E16" s="29" t="inlineStr">
        <is>
          <t/>
        </is>
      </c>
      <c r="F16" s="30" t="inlineStr">
        <is>
          <t/>
        </is>
      </c>
      <c r="G16" s="31" t="inlineStr">
        <is>
          <t/>
        </is>
      </c>
      <c r="H16" s="32" t="inlineStr">
        <is>
          <t/>
        </is>
      </c>
      <c r="I16" s="33" t="inlineStr">
        <is>
          <t/>
        </is>
      </c>
      <c r="J16" s="34" t="inlineStr">
        <is>
          <t/>
        </is>
      </c>
      <c r="K16" s="35" t="inlineStr">
        <is>
          <t>Privately Held (backing)</t>
        </is>
      </c>
      <c r="L16" s="36" t="inlineStr">
        <is>
          <t>Angel-Backed</t>
        </is>
      </c>
      <c r="M16" s="37" t="n">
        <v>39842.0</v>
      </c>
      <c r="N16" s="38" t="inlineStr">
        <is>
          <t>Seed Round</t>
        </is>
      </c>
      <c r="O16" s="39" t="n">
        <v>0.1</v>
      </c>
      <c r="P16" s="102">
        <f>HYPERLINK("https://my.pitchbook.com?c=103179-70", "View company online")</f>
      </c>
    </row>
    <row r="17">
      <c r="A17" s="9" t="inlineStr">
        <is>
          <t>170046-01</t>
        </is>
      </c>
      <c r="B17" s="10" t="inlineStr">
        <is>
          <t>Zuma 4 Productions</t>
        </is>
      </c>
      <c r="C17" s="11" t="inlineStr">
        <is>
          <t/>
        </is>
      </c>
      <c r="D17" s="12" t="inlineStr">
        <is>
          <t/>
        </is>
      </c>
      <c r="E17" s="13" t="inlineStr">
        <is>
          <t/>
        </is>
      </c>
      <c r="F17" s="14" t="inlineStr">
        <is>
          <t/>
        </is>
      </c>
      <c r="G17" s="15" t="inlineStr">
        <is>
          <t/>
        </is>
      </c>
      <c r="H17" s="16" t="inlineStr">
        <is>
          <t/>
        </is>
      </c>
      <c r="I17" s="17" t="inlineStr">
        <is>
          <t/>
        </is>
      </c>
      <c r="J17" s="18" t="inlineStr">
        <is>
          <t/>
        </is>
      </c>
      <c r="K17" s="19" t="inlineStr">
        <is>
          <t>Privately Held (backing)</t>
        </is>
      </c>
      <c r="L17" s="20" t="inlineStr">
        <is>
          <t>Angel-Backed</t>
        </is>
      </c>
      <c r="M17" s="21" t="n">
        <v>42761.0</v>
      </c>
      <c r="N17" s="22" t="inlineStr">
        <is>
          <t>Angel (individual)</t>
        </is>
      </c>
      <c r="O17" s="23" t="n">
        <v>0.1</v>
      </c>
      <c r="P17" s="101">
        <f>HYPERLINK("https://my.pitchbook.com?c=170046-01", "View company online")</f>
      </c>
    </row>
    <row r="18">
      <c r="A18" s="25" t="inlineStr">
        <is>
          <t>102923-56</t>
        </is>
      </c>
      <c r="B18" s="26" t="inlineStr">
        <is>
          <t>Zulu</t>
        </is>
      </c>
      <c r="C18" s="27" t="inlineStr">
        <is>
          <t/>
        </is>
      </c>
      <c r="D18" s="28" t="inlineStr">
        <is>
          <t/>
        </is>
      </c>
      <c r="E18" s="29" t="inlineStr">
        <is>
          <t/>
        </is>
      </c>
      <c r="F18" s="30" t="inlineStr">
        <is>
          <t/>
        </is>
      </c>
      <c r="G18" s="31" t="inlineStr">
        <is>
          <t/>
        </is>
      </c>
      <c r="H18" s="32" t="inlineStr">
        <is>
          <t/>
        </is>
      </c>
      <c r="I18" s="33" t="inlineStr">
        <is>
          <t/>
        </is>
      </c>
      <c r="J18" s="34" t="inlineStr">
        <is>
          <t/>
        </is>
      </c>
      <c r="K18" s="35" t="inlineStr">
        <is>
          <t>Privately Held (backing)</t>
        </is>
      </c>
      <c r="L18" s="36" t="inlineStr">
        <is>
          <t>Angel-Backed</t>
        </is>
      </c>
      <c r="M18" s="37" t="n">
        <v>41791.0</v>
      </c>
      <c r="N18" s="38" t="inlineStr">
        <is>
          <t>Convertible Debt</t>
        </is>
      </c>
      <c r="O18" s="39" t="n">
        <v>0.75</v>
      </c>
      <c r="P18" s="102">
        <f>HYPERLINK("https://my.pitchbook.com?c=102923-56", "View company online")</f>
      </c>
    </row>
    <row r="19">
      <c r="A19" s="9" t="inlineStr">
        <is>
          <t>125688-43</t>
        </is>
      </c>
      <c r="B19" s="10" t="inlineStr">
        <is>
          <t>Zugphonics</t>
        </is>
      </c>
      <c r="C19" s="11" t="inlineStr">
        <is>
          <t/>
        </is>
      </c>
      <c r="D19" s="12" t="inlineStr">
        <is>
          <t/>
        </is>
      </c>
      <c r="E19" s="13" t="inlineStr">
        <is>
          <t/>
        </is>
      </c>
      <c r="F19" s="14" t="inlineStr">
        <is>
          <t/>
        </is>
      </c>
      <c r="G19" s="15" t="inlineStr">
        <is>
          <t/>
        </is>
      </c>
      <c r="H19" s="16" t="inlineStr">
        <is>
          <t/>
        </is>
      </c>
      <c r="I19" s="17" t="inlineStr">
        <is>
          <t/>
        </is>
      </c>
      <c r="J19" s="18" t="inlineStr">
        <is>
          <t/>
        </is>
      </c>
      <c r="K19" s="19" t="inlineStr">
        <is>
          <t>Privately Held (backing)</t>
        </is>
      </c>
      <c r="L19" s="20" t="inlineStr">
        <is>
          <t>Angel-Backed</t>
        </is>
      </c>
      <c r="M19" s="21" t="n">
        <v>42375.0</v>
      </c>
      <c r="N19" s="22" t="inlineStr">
        <is>
          <t>Angel (individual)</t>
        </is>
      </c>
      <c r="O19" s="23" t="inlineStr">
        <is>
          <t/>
        </is>
      </c>
      <c r="P19" s="101">
        <f>HYPERLINK("https://my.pitchbook.com?c=125688-43", "View company online")</f>
      </c>
    </row>
    <row r="20">
      <c r="A20" s="25" t="inlineStr">
        <is>
          <t>178186-33</t>
        </is>
      </c>
      <c r="B20" s="26" t="inlineStr">
        <is>
          <t>ZPREDICTA (formerly Ixchel Scientific)</t>
        </is>
      </c>
      <c r="C20" s="78">
        <f>HYPERLINK("https://my.pitchbook.com?rrp=178186-33&amp;type=c", "This Company's information is not available to download. Need this Company? Request availability")</f>
      </c>
      <c r="D20" s="28" t="inlineStr">
        <is>
          <t/>
        </is>
      </c>
      <c r="E20" s="29" t="inlineStr">
        <is>
          <t/>
        </is>
      </c>
      <c r="F20" s="30" t="inlineStr">
        <is>
          <t/>
        </is>
      </c>
      <c r="G20" s="31" t="inlineStr">
        <is>
          <t/>
        </is>
      </c>
      <c r="H20" s="32" t="inlineStr">
        <is>
          <t/>
        </is>
      </c>
      <c r="I20" s="33" t="inlineStr">
        <is>
          <t/>
        </is>
      </c>
      <c r="J20" s="34" t="inlineStr">
        <is>
          <t/>
        </is>
      </c>
      <c r="K20" s="35" t="inlineStr">
        <is>
          <t/>
        </is>
      </c>
      <c r="L20" s="36" t="inlineStr">
        <is>
          <t/>
        </is>
      </c>
      <c r="M20" s="37" t="inlineStr">
        <is>
          <t/>
        </is>
      </c>
      <c r="N20" s="38" t="inlineStr">
        <is>
          <t/>
        </is>
      </c>
      <c r="O20" s="39" t="inlineStr">
        <is>
          <t/>
        </is>
      </c>
      <c r="P20" s="40" t="inlineStr">
        <is>
          <t/>
        </is>
      </c>
    </row>
    <row r="21">
      <c r="A21" s="9" t="inlineStr">
        <is>
          <t>103524-58</t>
        </is>
      </c>
      <c r="B21" s="10" t="inlineStr">
        <is>
          <t>Z-Plane</t>
        </is>
      </c>
      <c r="C21" s="11" t="inlineStr">
        <is>
          <t/>
        </is>
      </c>
      <c r="D21" s="12" t="inlineStr">
        <is>
          <t/>
        </is>
      </c>
      <c r="E21" s="13" t="inlineStr">
        <is>
          <t/>
        </is>
      </c>
      <c r="F21" s="14" t="inlineStr">
        <is>
          <t/>
        </is>
      </c>
      <c r="G21" s="15" t="inlineStr">
        <is>
          <t/>
        </is>
      </c>
      <c r="H21" s="16" t="inlineStr">
        <is>
          <t/>
        </is>
      </c>
      <c r="I21" s="17" t="inlineStr">
        <is>
          <t/>
        </is>
      </c>
      <c r="J21" s="18" t="inlineStr">
        <is>
          <t/>
        </is>
      </c>
      <c r="K21" s="19" t="inlineStr">
        <is>
          <t>Privately Held (backing)</t>
        </is>
      </c>
      <c r="L21" s="20" t="inlineStr">
        <is>
          <t>Angel-Backed</t>
        </is>
      </c>
      <c r="M21" s="21" t="n">
        <v>41382.0</v>
      </c>
      <c r="N21" s="22" t="inlineStr">
        <is>
          <t>Convertible Debt</t>
        </is>
      </c>
      <c r="O21" s="23" t="n">
        <v>0.17</v>
      </c>
      <c r="P21" s="101">
        <f>HYPERLINK("https://my.pitchbook.com?c=103524-58", "View company online")</f>
      </c>
    </row>
    <row r="22">
      <c r="A22" s="25" t="inlineStr">
        <is>
          <t>150247-72</t>
        </is>
      </c>
      <c r="B22" s="26" t="inlineStr">
        <is>
          <t>ZPillow</t>
        </is>
      </c>
      <c r="C22" s="27" t="inlineStr">
        <is>
          <t/>
        </is>
      </c>
      <c r="D22" s="28" t="inlineStr">
        <is>
          <t/>
        </is>
      </c>
      <c r="E22" s="29" t="inlineStr">
        <is>
          <t/>
        </is>
      </c>
      <c r="F22" s="30" t="inlineStr">
        <is>
          <t/>
        </is>
      </c>
      <c r="G22" s="31" t="inlineStr">
        <is>
          <t/>
        </is>
      </c>
      <c r="H22" s="32" t="inlineStr">
        <is>
          <t/>
        </is>
      </c>
      <c r="I22" s="33" t="inlineStr">
        <is>
          <t/>
        </is>
      </c>
      <c r="J22" s="34" t="inlineStr">
        <is>
          <t/>
        </is>
      </c>
      <c r="K22" s="35" t="inlineStr">
        <is>
          <t>Privately Held (backing)</t>
        </is>
      </c>
      <c r="L22" s="36" t="inlineStr">
        <is>
          <t>Accelerator/Incubator Backed</t>
        </is>
      </c>
      <c r="M22" s="37" t="n">
        <v>42122.0</v>
      </c>
      <c r="N22" s="38" t="inlineStr">
        <is>
          <t>Accelerator/Incubator</t>
        </is>
      </c>
      <c r="O22" s="39" t="inlineStr">
        <is>
          <t/>
        </is>
      </c>
      <c r="P22" s="102">
        <f>HYPERLINK("https://my.pitchbook.com?c=150247-72", "View company online")</f>
      </c>
    </row>
    <row r="23">
      <c r="A23" s="9" t="inlineStr">
        <is>
          <t>103592-62</t>
        </is>
      </c>
      <c r="B23" s="10" t="inlineStr">
        <is>
          <t>Zoupons</t>
        </is>
      </c>
      <c r="C23" s="11" t="inlineStr">
        <is>
          <t/>
        </is>
      </c>
      <c r="D23" s="12" t="inlineStr">
        <is>
          <t/>
        </is>
      </c>
      <c r="E23" s="13" t="inlineStr">
        <is>
          <t/>
        </is>
      </c>
      <c r="F23" s="14" t="inlineStr">
        <is>
          <t/>
        </is>
      </c>
      <c r="G23" s="15" t="inlineStr">
        <is>
          <t/>
        </is>
      </c>
      <c r="H23" s="16" t="inlineStr">
        <is>
          <t/>
        </is>
      </c>
      <c r="I23" s="17" t="inlineStr">
        <is>
          <t/>
        </is>
      </c>
      <c r="J23" s="18" t="inlineStr">
        <is>
          <t/>
        </is>
      </c>
      <c r="K23" s="19" t="inlineStr">
        <is>
          <t>Privately Held (backing)</t>
        </is>
      </c>
      <c r="L23" s="20" t="inlineStr">
        <is>
          <t>Angel-Backed</t>
        </is>
      </c>
      <c r="M23" s="21" t="n">
        <v>41061.0</v>
      </c>
      <c r="N23" s="22" t="inlineStr">
        <is>
          <t>Seed Round</t>
        </is>
      </c>
      <c r="O23" s="23" t="n">
        <v>0.3</v>
      </c>
      <c r="P23" s="101">
        <f>HYPERLINK("https://my.pitchbook.com?c=103592-62", "View company online")</f>
      </c>
    </row>
    <row r="24">
      <c r="A24" s="25" t="inlineStr">
        <is>
          <t>172066-15</t>
        </is>
      </c>
      <c r="B24" s="26" t="inlineStr">
        <is>
          <t>Zorroa</t>
        </is>
      </c>
      <c r="C24" s="78">
        <f>HYPERLINK("https://my.pitchbook.com?rrp=172066-15&amp;type=c", "This Company's information is not available to download. Need this Company? Request availability")</f>
      </c>
      <c r="D24" s="28" t="inlineStr">
        <is>
          <t/>
        </is>
      </c>
      <c r="E24" s="29" t="inlineStr">
        <is>
          <t/>
        </is>
      </c>
      <c r="F24" s="30" t="inlineStr">
        <is>
          <t/>
        </is>
      </c>
      <c r="G24" s="31" t="inlineStr">
        <is>
          <t/>
        </is>
      </c>
      <c r="H24" s="32" t="inlineStr">
        <is>
          <t/>
        </is>
      </c>
      <c r="I24" s="33" t="inlineStr">
        <is>
          <t/>
        </is>
      </c>
      <c r="J24" s="34" t="inlineStr">
        <is>
          <t/>
        </is>
      </c>
      <c r="K24" s="35" t="inlineStr">
        <is>
          <t/>
        </is>
      </c>
      <c r="L24" s="36" t="inlineStr">
        <is>
          <t/>
        </is>
      </c>
      <c r="M24" s="37" t="inlineStr">
        <is>
          <t/>
        </is>
      </c>
      <c r="N24" s="38" t="inlineStr">
        <is>
          <t/>
        </is>
      </c>
      <c r="O24" s="39" t="inlineStr">
        <is>
          <t/>
        </is>
      </c>
      <c r="P24" s="40" t="inlineStr">
        <is>
          <t/>
        </is>
      </c>
    </row>
    <row r="25">
      <c r="A25" s="9" t="inlineStr">
        <is>
          <t>103576-87</t>
        </is>
      </c>
      <c r="B25" s="10" t="inlineStr">
        <is>
          <t>Zoondy</t>
        </is>
      </c>
      <c r="C25" s="11" t="inlineStr">
        <is>
          <t/>
        </is>
      </c>
      <c r="D25" s="12" t="inlineStr">
        <is>
          <t/>
        </is>
      </c>
      <c r="E25" s="13" t="inlineStr">
        <is>
          <t/>
        </is>
      </c>
      <c r="F25" s="14" t="inlineStr">
        <is>
          <t/>
        </is>
      </c>
      <c r="G25" s="15" t="inlineStr">
        <is>
          <t/>
        </is>
      </c>
      <c r="H25" s="16" t="inlineStr">
        <is>
          <t/>
        </is>
      </c>
      <c r="I25" s="17" t="inlineStr">
        <is>
          <t/>
        </is>
      </c>
      <c r="J25" s="18" t="inlineStr">
        <is>
          <t/>
        </is>
      </c>
      <c r="K25" s="19" t="inlineStr">
        <is>
          <t>Privately Held (backing)</t>
        </is>
      </c>
      <c r="L25" s="20" t="inlineStr">
        <is>
          <t>Angel-Backed</t>
        </is>
      </c>
      <c r="M25" s="21" t="n">
        <v>42549.0</v>
      </c>
      <c r="N25" s="22" t="inlineStr">
        <is>
          <t>Product Crowdfunding</t>
        </is>
      </c>
      <c r="O25" s="23" t="n">
        <v>2.5</v>
      </c>
      <c r="P25" s="101">
        <f>HYPERLINK("https://my.pitchbook.com?c=103576-87", "View company online")</f>
      </c>
    </row>
    <row r="26">
      <c r="A26" s="25" t="inlineStr">
        <is>
          <t>103744-81</t>
        </is>
      </c>
      <c r="B26" s="26" t="inlineStr">
        <is>
          <t>Zoomvy</t>
        </is>
      </c>
      <c r="C26" s="27" t="inlineStr">
        <is>
          <t/>
        </is>
      </c>
      <c r="D26" s="28" t="inlineStr">
        <is>
          <t/>
        </is>
      </c>
      <c r="E26" s="29" t="inlineStr">
        <is>
          <t/>
        </is>
      </c>
      <c r="F26" s="30" t="inlineStr">
        <is>
          <t/>
        </is>
      </c>
      <c r="G26" s="31" t="inlineStr">
        <is>
          <t/>
        </is>
      </c>
      <c r="H26" s="32" t="inlineStr">
        <is>
          <t/>
        </is>
      </c>
      <c r="I26" s="33" t="inlineStr">
        <is>
          <t/>
        </is>
      </c>
      <c r="J26" s="34" t="inlineStr">
        <is>
          <t/>
        </is>
      </c>
      <c r="K26" s="35" t="inlineStr">
        <is>
          <t>Privately Held (backing)</t>
        </is>
      </c>
      <c r="L26" s="36" t="inlineStr">
        <is>
          <t>Accelerator/Incubator Backed</t>
        </is>
      </c>
      <c r="M26" s="37" t="n">
        <v>41275.0</v>
      </c>
      <c r="N26" s="38" t="inlineStr">
        <is>
          <t>Accelerator/Incubator</t>
        </is>
      </c>
      <c r="O26" s="39" t="inlineStr">
        <is>
          <t/>
        </is>
      </c>
      <c r="P26" s="102">
        <f>HYPERLINK("https://my.pitchbook.com?c=103744-81", "View company online")</f>
      </c>
    </row>
    <row r="27">
      <c r="A27" s="9" t="inlineStr">
        <is>
          <t>124046-02</t>
        </is>
      </c>
      <c r="B27" s="10" t="inlineStr">
        <is>
          <t>Zonetail</t>
        </is>
      </c>
      <c r="C27" s="11" t="inlineStr">
        <is>
          <t/>
        </is>
      </c>
      <c r="D27" s="12" t="inlineStr">
        <is>
          <t/>
        </is>
      </c>
      <c r="E27" s="13" t="inlineStr">
        <is>
          <t/>
        </is>
      </c>
      <c r="F27" s="14" t="inlineStr">
        <is>
          <t/>
        </is>
      </c>
      <c r="G27" s="15" t="inlineStr">
        <is>
          <t/>
        </is>
      </c>
      <c r="H27" s="16" t="inlineStr">
        <is>
          <t/>
        </is>
      </c>
      <c r="I27" s="17" t="inlineStr">
        <is>
          <t/>
        </is>
      </c>
      <c r="J27" s="18" t="inlineStr">
        <is>
          <t/>
        </is>
      </c>
      <c r="K27" s="19" t="inlineStr">
        <is>
          <t>Privately Held (backing)</t>
        </is>
      </c>
      <c r="L27" s="20" t="inlineStr">
        <is>
          <t>Angel-Backed</t>
        </is>
      </c>
      <c r="M27" s="21" t="n">
        <v>42262.0</v>
      </c>
      <c r="N27" s="22" t="inlineStr">
        <is>
          <t>Angel (individual)</t>
        </is>
      </c>
      <c r="O27" s="23" t="n">
        <v>1.73</v>
      </c>
      <c r="P27" s="101">
        <f>HYPERLINK("https://my.pitchbook.com?c=124046-02", "View company online")</f>
      </c>
    </row>
    <row r="28">
      <c r="A28" s="25" t="inlineStr">
        <is>
          <t>123222-43</t>
        </is>
      </c>
      <c r="B28" s="26" t="inlineStr">
        <is>
          <t>ZoneOne Pharma</t>
        </is>
      </c>
      <c r="C28" s="27" t="inlineStr">
        <is>
          <t/>
        </is>
      </c>
      <c r="D28" s="28" t="inlineStr">
        <is>
          <t/>
        </is>
      </c>
      <c r="E28" s="29" t="inlineStr">
        <is>
          <t/>
        </is>
      </c>
      <c r="F28" s="30" t="inlineStr">
        <is>
          <t/>
        </is>
      </c>
      <c r="G28" s="31" t="inlineStr">
        <is>
          <t/>
        </is>
      </c>
      <c r="H28" s="32" t="inlineStr">
        <is>
          <t/>
        </is>
      </c>
      <c r="I28" s="33" t="inlineStr">
        <is>
          <t/>
        </is>
      </c>
      <c r="J28" s="34" t="inlineStr">
        <is>
          <t/>
        </is>
      </c>
      <c r="K28" s="35" t="inlineStr">
        <is>
          <t>Privately Held (backing)</t>
        </is>
      </c>
      <c r="L28" s="36" t="inlineStr">
        <is>
          <t>Accelerator/Incubator Backed</t>
        </is>
      </c>
      <c r="M28" s="37" t="n">
        <v>42125.0</v>
      </c>
      <c r="N28" s="38" t="inlineStr">
        <is>
          <t>Grant</t>
        </is>
      </c>
      <c r="O28" s="39" t="n">
        <v>0.99</v>
      </c>
      <c r="P28" s="102">
        <f>HYPERLINK("https://my.pitchbook.com?c=123222-43", "View company online")</f>
      </c>
    </row>
    <row r="29">
      <c r="A29" s="9" t="inlineStr">
        <is>
          <t>106852-06</t>
        </is>
      </c>
      <c r="B29" s="10" t="inlineStr">
        <is>
          <t>ZON</t>
        </is>
      </c>
      <c r="C29" s="11" t="inlineStr">
        <is>
          <t/>
        </is>
      </c>
      <c r="D29" s="12" t="inlineStr">
        <is>
          <t/>
        </is>
      </c>
      <c r="E29" s="13" t="inlineStr">
        <is>
          <t/>
        </is>
      </c>
      <c r="F29" s="14" t="inlineStr">
        <is>
          <t/>
        </is>
      </c>
      <c r="G29" s="15" t="inlineStr">
        <is>
          <t/>
        </is>
      </c>
      <c r="H29" s="16" t="inlineStr">
        <is>
          <t/>
        </is>
      </c>
      <c r="I29" s="17" t="inlineStr">
        <is>
          <t/>
        </is>
      </c>
      <c r="J29" s="18" t="inlineStr">
        <is>
          <t/>
        </is>
      </c>
      <c r="K29" s="19" t="inlineStr">
        <is>
          <t>Privately Held (backing)</t>
        </is>
      </c>
      <c r="L29" s="20" t="inlineStr">
        <is>
          <t>Angel-Backed</t>
        </is>
      </c>
      <c r="M29" s="21" t="n">
        <v>42178.0</v>
      </c>
      <c r="N29" s="22" t="inlineStr">
        <is>
          <t>Seed Round</t>
        </is>
      </c>
      <c r="O29" s="23" t="n">
        <v>2.5</v>
      </c>
      <c r="P29" s="101">
        <f>HYPERLINK("https://my.pitchbook.com?c=106852-06", "View company online")</f>
      </c>
    </row>
    <row r="30">
      <c r="A30" s="25" t="inlineStr">
        <is>
          <t>103726-63</t>
        </is>
      </c>
      <c r="B30" s="26" t="inlineStr">
        <is>
          <t>Zomazz</t>
        </is>
      </c>
      <c r="C30" s="27" t="inlineStr">
        <is>
          <t/>
        </is>
      </c>
      <c r="D30" s="28" t="inlineStr">
        <is>
          <t/>
        </is>
      </c>
      <c r="E30" s="29" t="inlineStr">
        <is>
          <t/>
        </is>
      </c>
      <c r="F30" s="30" t="inlineStr">
        <is>
          <t/>
        </is>
      </c>
      <c r="G30" s="31" t="inlineStr">
        <is>
          <t/>
        </is>
      </c>
      <c r="H30" s="32" t="inlineStr">
        <is>
          <t/>
        </is>
      </c>
      <c r="I30" s="33" t="inlineStr">
        <is>
          <t/>
        </is>
      </c>
      <c r="J30" s="34" t="inlineStr">
        <is>
          <t/>
        </is>
      </c>
      <c r="K30" s="35" t="inlineStr">
        <is>
          <t>Privately Held (backing)</t>
        </is>
      </c>
      <c r="L30" s="36" t="inlineStr">
        <is>
          <t>Angel-Backed</t>
        </is>
      </c>
      <c r="M30" s="37" t="n">
        <v>41079.0</v>
      </c>
      <c r="N30" s="38" t="inlineStr">
        <is>
          <t>Angel (individual)</t>
        </is>
      </c>
      <c r="O30" s="39" t="n">
        <v>2.04</v>
      </c>
      <c r="P30" s="102">
        <f>HYPERLINK("https://my.pitchbook.com?c=103726-63", "View company online")</f>
      </c>
    </row>
    <row r="31">
      <c r="A31" s="9" t="inlineStr">
        <is>
          <t>154883-26</t>
        </is>
      </c>
      <c r="B31" s="10" t="inlineStr">
        <is>
          <t>Zokets</t>
        </is>
      </c>
      <c r="C31" s="11" t="inlineStr">
        <is>
          <t/>
        </is>
      </c>
      <c r="D31" s="12" t="inlineStr">
        <is>
          <t/>
        </is>
      </c>
      <c r="E31" s="13" t="inlineStr">
        <is>
          <t/>
        </is>
      </c>
      <c r="F31" s="14" t="inlineStr">
        <is>
          <t/>
        </is>
      </c>
      <c r="G31" s="15" t="inlineStr">
        <is>
          <t/>
        </is>
      </c>
      <c r="H31" s="16" t="inlineStr">
        <is>
          <t/>
        </is>
      </c>
      <c r="I31" s="17" t="inlineStr">
        <is>
          <t/>
        </is>
      </c>
      <c r="J31" s="18" t="inlineStr">
        <is>
          <t/>
        </is>
      </c>
      <c r="K31" s="19" t="inlineStr">
        <is>
          <t>Privately Held (backing)</t>
        </is>
      </c>
      <c r="L31" s="20" t="inlineStr">
        <is>
          <t>Angel-Backed</t>
        </is>
      </c>
      <c r="M31" s="21" t="inlineStr">
        <is>
          <t/>
        </is>
      </c>
      <c r="N31" s="22" t="inlineStr">
        <is>
          <t>Angel (individual)</t>
        </is>
      </c>
      <c r="O31" s="23" t="inlineStr">
        <is>
          <t/>
        </is>
      </c>
      <c r="P31" s="101">
        <f>HYPERLINK("https://my.pitchbook.com?c=154883-26", "View company online")</f>
      </c>
    </row>
    <row r="32">
      <c r="A32" s="25" t="inlineStr">
        <is>
          <t>125747-02</t>
        </is>
      </c>
      <c r="B32" s="26" t="inlineStr">
        <is>
          <t>Zoheny</t>
        </is>
      </c>
      <c r="C32" s="27" t="inlineStr">
        <is>
          <t/>
        </is>
      </c>
      <c r="D32" s="28" t="inlineStr">
        <is>
          <t/>
        </is>
      </c>
      <c r="E32" s="29" t="inlineStr">
        <is>
          <t/>
        </is>
      </c>
      <c r="F32" s="30" t="inlineStr">
        <is>
          <t/>
        </is>
      </c>
      <c r="G32" s="31" t="inlineStr">
        <is>
          <t/>
        </is>
      </c>
      <c r="H32" s="32" t="inlineStr">
        <is>
          <t/>
        </is>
      </c>
      <c r="I32" s="33" t="inlineStr">
        <is>
          <t/>
        </is>
      </c>
      <c r="J32" s="34" t="inlineStr">
        <is>
          <t/>
        </is>
      </c>
      <c r="K32" s="35" t="inlineStr">
        <is>
          <t>Privately Held (backing)</t>
        </is>
      </c>
      <c r="L32" s="36" t="inlineStr">
        <is>
          <t>Accelerator/Incubator Backed</t>
        </is>
      </c>
      <c r="M32" s="37" t="inlineStr">
        <is>
          <t/>
        </is>
      </c>
      <c r="N32" s="38" t="inlineStr">
        <is>
          <t>Accelerator/Incubator</t>
        </is>
      </c>
      <c r="O32" s="39" t="inlineStr">
        <is>
          <t/>
        </is>
      </c>
      <c r="P32" s="102">
        <f>HYPERLINK("https://my.pitchbook.com?c=125747-02", "View company online")</f>
      </c>
    </row>
    <row r="33">
      <c r="A33" s="9" t="inlineStr">
        <is>
          <t>102917-98</t>
        </is>
      </c>
      <c r="B33" s="10" t="inlineStr">
        <is>
          <t>Zoeticx</t>
        </is>
      </c>
      <c r="C33" s="11" t="inlineStr">
        <is>
          <t/>
        </is>
      </c>
      <c r="D33" s="12" t="inlineStr">
        <is>
          <t/>
        </is>
      </c>
      <c r="E33" s="13" t="inlineStr">
        <is>
          <t/>
        </is>
      </c>
      <c r="F33" s="14" t="inlineStr">
        <is>
          <t/>
        </is>
      </c>
      <c r="G33" s="15" t="inlineStr">
        <is>
          <t/>
        </is>
      </c>
      <c r="H33" s="16" t="inlineStr">
        <is>
          <t/>
        </is>
      </c>
      <c r="I33" s="17" t="inlineStr">
        <is>
          <t/>
        </is>
      </c>
      <c r="J33" s="18" t="inlineStr">
        <is>
          <t/>
        </is>
      </c>
      <c r="K33" s="19" t="inlineStr">
        <is>
          <t>Privately Held (backing)</t>
        </is>
      </c>
      <c r="L33" s="20" t="inlineStr">
        <is>
          <t>Angel-Backed</t>
        </is>
      </c>
      <c r="M33" s="21" t="n">
        <v>42210.0</v>
      </c>
      <c r="N33" s="22" t="inlineStr">
        <is>
          <t>Product Crowdfunding</t>
        </is>
      </c>
      <c r="O33" s="23" t="inlineStr">
        <is>
          <t/>
        </is>
      </c>
      <c r="P33" s="101">
        <f>HYPERLINK("https://my.pitchbook.com?c=102917-98", "View company online")</f>
      </c>
    </row>
    <row r="34">
      <c r="A34" s="25" t="inlineStr">
        <is>
          <t>126195-76</t>
        </is>
      </c>
      <c r="B34" s="26" t="inlineStr">
        <is>
          <t>Zoe Media Group</t>
        </is>
      </c>
      <c r="C34" s="27" t="inlineStr">
        <is>
          <t/>
        </is>
      </c>
      <c r="D34" s="28" t="inlineStr">
        <is>
          <t/>
        </is>
      </c>
      <c r="E34" s="29" t="inlineStr">
        <is>
          <t/>
        </is>
      </c>
      <c r="F34" s="30" t="inlineStr">
        <is>
          <t/>
        </is>
      </c>
      <c r="G34" s="31" t="inlineStr">
        <is>
          <t/>
        </is>
      </c>
      <c r="H34" s="32" t="inlineStr">
        <is>
          <t/>
        </is>
      </c>
      <c r="I34" s="33" t="inlineStr">
        <is>
          <t/>
        </is>
      </c>
      <c r="J34" s="34" t="inlineStr">
        <is>
          <t/>
        </is>
      </c>
      <c r="K34" s="35" t="inlineStr">
        <is>
          <t>Privately Held (backing)</t>
        </is>
      </c>
      <c r="L34" s="36" t="inlineStr">
        <is>
          <t>Angel-Backed</t>
        </is>
      </c>
      <c r="M34" s="37" t="inlineStr">
        <is>
          <t/>
        </is>
      </c>
      <c r="N34" s="38" t="inlineStr">
        <is>
          <t>Angel (individual)</t>
        </is>
      </c>
      <c r="O34" s="39" t="inlineStr">
        <is>
          <t/>
        </is>
      </c>
      <c r="P34" s="102">
        <f>HYPERLINK("https://my.pitchbook.com?c=126195-76", "View company online")</f>
      </c>
    </row>
    <row r="35">
      <c r="A35" s="9" t="inlineStr">
        <is>
          <t>117128-62</t>
        </is>
      </c>
      <c r="B35" s="10" t="inlineStr">
        <is>
          <t>Zobreus Medical</t>
        </is>
      </c>
      <c r="C35" s="11" t="inlineStr">
        <is>
          <t/>
        </is>
      </c>
      <c r="D35" s="12" t="inlineStr">
        <is>
          <t/>
        </is>
      </c>
      <c r="E35" s="13" t="inlineStr">
        <is>
          <t/>
        </is>
      </c>
      <c r="F35" s="14" t="inlineStr">
        <is>
          <t/>
        </is>
      </c>
      <c r="G35" s="15" t="inlineStr">
        <is>
          <t/>
        </is>
      </c>
      <c r="H35" s="16" t="inlineStr">
        <is>
          <t/>
        </is>
      </c>
      <c r="I35" s="17" t="inlineStr">
        <is>
          <t/>
        </is>
      </c>
      <c r="J35" s="18" t="inlineStr">
        <is>
          <t/>
        </is>
      </c>
      <c r="K35" s="19" t="inlineStr">
        <is>
          <t>Privately Held (backing)</t>
        </is>
      </c>
      <c r="L35" s="20" t="inlineStr">
        <is>
          <t>Accelerator/Incubator Backed</t>
        </is>
      </c>
      <c r="M35" s="21" t="n">
        <v>42370.0</v>
      </c>
      <c r="N35" s="22" t="inlineStr">
        <is>
          <t>Accelerator/Incubator</t>
        </is>
      </c>
      <c r="O35" s="23" t="inlineStr">
        <is>
          <t/>
        </is>
      </c>
      <c r="P35" s="101">
        <f>HYPERLINK("https://my.pitchbook.com?c=117128-62", "View company online")</f>
      </c>
    </row>
    <row r="36">
      <c r="A36" s="25" t="inlineStr">
        <is>
          <t>108380-80</t>
        </is>
      </c>
      <c r="B36" s="26" t="inlineStr">
        <is>
          <t>ZO Skin Health</t>
        </is>
      </c>
      <c r="C36" s="27" t="inlineStr">
        <is>
          <t/>
        </is>
      </c>
      <c r="D36" s="28" t="inlineStr">
        <is>
          <t/>
        </is>
      </c>
      <c r="E36" s="29" t="inlineStr">
        <is>
          <t/>
        </is>
      </c>
      <c r="F36" s="30" t="inlineStr">
        <is>
          <t/>
        </is>
      </c>
      <c r="G36" s="31" t="inlineStr">
        <is>
          <t/>
        </is>
      </c>
      <c r="H36" s="32" t="inlineStr">
        <is>
          <t/>
        </is>
      </c>
      <c r="I36" s="33" t="inlineStr">
        <is>
          <t/>
        </is>
      </c>
      <c r="J36" s="34" t="inlineStr">
        <is>
          <t/>
        </is>
      </c>
      <c r="K36" s="35" t="inlineStr">
        <is>
          <t>Privately Held (backing)</t>
        </is>
      </c>
      <c r="L36" s="36" t="inlineStr">
        <is>
          <t>Angel-Backed</t>
        </is>
      </c>
      <c r="M36" s="37" t="n">
        <v>42780.0</v>
      </c>
      <c r="N36" s="38" t="inlineStr">
        <is>
          <t>Angel (individual)</t>
        </is>
      </c>
      <c r="O36" s="39" t="n">
        <v>6.0</v>
      </c>
      <c r="P36" s="102">
        <f>HYPERLINK("https://my.pitchbook.com?c=108380-80", "View company online")</f>
      </c>
    </row>
    <row r="37">
      <c r="A37" s="9" t="inlineStr">
        <is>
          <t>97680-25</t>
        </is>
      </c>
      <c r="B37" s="10" t="inlineStr">
        <is>
          <t>ZMenu</t>
        </is>
      </c>
      <c r="C37" s="11" t="inlineStr">
        <is>
          <t/>
        </is>
      </c>
      <c r="D37" s="12" t="inlineStr">
        <is>
          <t/>
        </is>
      </c>
      <c r="E37" s="13" t="inlineStr">
        <is>
          <t/>
        </is>
      </c>
      <c r="F37" s="14" t="inlineStr">
        <is>
          <t/>
        </is>
      </c>
      <c r="G37" s="15" t="inlineStr">
        <is>
          <t/>
        </is>
      </c>
      <c r="H37" s="16" t="inlineStr">
        <is>
          <t/>
        </is>
      </c>
      <c r="I37" s="17" t="inlineStr">
        <is>
          <t/>
        </is>
      </c>
      <c r="J37" s="18" t="inlineStr">
        <is>
          <t/>
        </is>
      </c>
      <c r="K37" s="19" t="inlineStr">
        <is>
          <t>Privately Held (backing)</t>
        </is>
      </c>
      <c r="L37" s="20" t="inlineStr">
        <is>
          <t>Accelerator/Incubator Backed</t>
        </is>
      </c>
      <c r="M37" s="21" t="n">
        <v>41579.0</v>
      </c>
      <c r="N37" s="22" t="inlineStr">
        <is>
          <t>Seed Round</t>
        </is>
      </c>
      <c r="O37" s="23" t="n">
        <v>0.2</v>
      </c>
      <c r="P37" s="101">
        <f>HYPERLINK("https://my.pitchbook.com?c=97680-25", "View company online")</f>
      </c>
    </row>
    <row r="38">
      <c r="A38" s="25" t="inlineStr">
        <is>
          <t>171864-19</t>
        </is>
      </c>
      <c r="B38" s="26" t="inlineStr">
        <is>
          <t>Zizmos</t>
        </is>
      </c>
      <c r="C38" s="27" t="inlineStr">
        <is>
          <t/>
        </is>
      </c>
      <c r="D38" s="28" t="inlineStr">
        <is>
          <t/>
        </is>
      </c>
      <c r="E38" s="29" t="inlineStr">
        <is>
          <t/>
        </is>
      </c>
      <c r="F38" s="30" t="inlineStr">
        <is>
          <t/>
        </is>
      </c>
      <c r="G38" s="31" t="inlineStr">
        <is>
          <t/>
        </is>
      </c>
      <c r="H38" s="32" t="inlineStr">
        <is>
          <t/>
        </is>
      </c>
      <c r="I38" s="33" t="inlineStr">
        <is>
          <t/>
        </is>
      </c>
      <c r="J38" s="34" t="inlineStr">
        <is>
          <t/>
        </is>
      </c>
      <c r="K38" s="35" t="inlineStr">
        <is>
          <t>Privately Held (backing)</t>
        </is>
      </c>
      <c r="L38" s="36" t="inlineStr">
        <is>
          <t>Angel-Backed</t>
        </is>
      </c>
      <c r="M38" s="37" t="n">
        <v>42276.0</v>
      </c>
      <c r="N38" s="38" t="inlineStr">
        <is>
          <t>Grant</t>
        </is>
      </c>
      <c r="O38" s="39" t="n">
        <v>1.0</v>
      </c>
      <c r="P38" s="102">
        <f>HYPERLINK("https://my.pitchbook.com?c=171864-19", "View company online")</f>
      </c>
    </row>
    <row r="39">
      <c r="A39" s="9" t="inlineStr">
        <is>
          <t>165948-94</t>
        </is>
      </c>
      <c r="B39" s="10" t="inlineStr">
        <is>
          <t>Ziyen</t>
        </is>
      </c>
      <c r="C39" s="11" t="inlineStr">
        <is>
          <t/>
        </is>
      </c>
      <c r="D39" s="12" t="inlineStr">
        <is>
          <t/>
        </is>
      </c>
      <c r="E39" s="13" t="inlineStr">
        <is>
          <t/>
        </is>
      </c>
      <c r="F39" s="14" t="inlineStr">
        <is>
          <t/>
        </is>
      </c>
      <c r="G39" s="15" t="inlineStr">
        <is>
          <t/>
        </is>
      </c>
      <c r="H39" s="16" t="inlineStr">
        <is>
          <t/>
        </is>
      </c>
      <c r="I39" s="17" t="inlineStr">
        <is>
          <t/>
        </is>
      </c>
      <c r="J39" s="18" t="inlineStr">
        <is>
          <t/>
        </is>
      </c>
      <c r="K39" s="19" t="inlineStr">
        <is>
          <t>Privately Held (backing)</t>
        </is>
      </c>
      <c r="L39" s="20" t="inlineStr">
        <is>
          <t>Accelerator/Incubator Backed</t>
        </is>
      </c>
      <c r="M39" s="21" t="n">
        <v>42608.0</v>
      </c>
      <c r="N39" s="22" t="inlineStr">
        <is>
          <t>Angel (individual)</t>
        </is>
      </c>
      <c r="O39" s="23" t="inlineStr">
        <is>
          <t/>
        </is>
      </c>
      <c r="P39" s="101">
        <f>HYPERLINK("https://my.pitchbook.com?c=165948-94", "View company online")</f>
      </c>
    </row>
    <row r="40">
      <c r="A40" s="25" t="inlineStr">
        <is>
          <t>115488-01</t>
        </is>
      </c>
      <c r="B40" s="26" t="inlineStr">
        <is>
          <t>Ziva Medical</t>
        </is>
      </c>
      <c r="C40" s="27" t="inlineStr">
        <is>
          <t/>
        </is>
      </c>
      <c r="D40" s="28" t="inlineStr">
        <is>
          <t/>
        </is>
      </c>
      <c r="E40" s="29" t="inlineStr">
        <is>
          <t/>
        </is>
      </c>
      <c r="F40" s="30" t="inlineStr">
        <is>
          <t/>
        </is>
      </c>
      <c r="G40" s="31" t="inlineStr">
        <is>
          <t/>
        </is>
      </c>
      <c r="H40" s="32" t="inlineStr">
        <is>
          <t/>
        </is>
      </c>
      <c r="I40" s="33" t="inlineStr">
        <is>
          <t/>
        </is>
      </c>
      <c r="J40" s="34" t="inlineStr">
        <is>
          <t/>
        </is>
      </c>
      <c r="K40" s="35" t="inlineStr">
        <is>
          <t>Privately Held (backing)</t>
        </is>
      </c>
      <c r="L40" s="36" t="inlineStr">
        <is>
          <t>Accelerator/Incubator Backed</t>
        </is>
      </c>
      <c r="M40" s="37" t="n">
        <v>42184.0</v>
      </c>
      <c r="N40" s="38" t="inlineStr">
        <is>
          <t>Grant</t>
        </is>
      </c>
      <c r="O40" s="39" t="n">
        <v>0.15</v>
      </c>
      <c r="P40" s="102">
        <f>HYPERLINK("https://my.pitchbook.com?c=115488-01", "View company online")</f>
      </c>
    </row>
    <row r="41">
      <c r="A41" s="9" t="inlineStr">
        <is>
          <t>180844-75</t>
        </is>
      </c>
      <c r="B41" s="10" t="inlineStr">
        <is>
          <t>Zippy.ai</t>
        </is>
      </c>
      <c r="C41" s="11" t="inlineStr">
        <is>
          <t/>
        </is>
      </c>
      <c r="D41" s="12" t="inlineStr">
        <is>
          <t/>
        </is>
      </c>
      <c r="E41" s="13" t="inlineStr">
        <is>
          <t/>
        </is>
      </c>
      <c r="F41" s="14" t="inlineStr">
        <is>
          <t/>
        </is>
      </c>
      <c r="G41" s="15" t="inlineStr">
        <is>
          <t/>
        </is>
      </c>
      <c r="H41" s="16" t="inlineStr">
        <is>
          <t/>
        </is>
      </c>
      <c r="I41" s="17" t="inlineStr">
        <is>
          <t/>
        </is>
      </c>
      <c r="J41" s="18" t="inlineStr">
        <is>
          <t/>
        </is>
      </c>
      <c r="K41" s="19" t="inlineStr">
        <is>
          <t>Privately Held (backing)</t>
        </is>
      </c>
      <c r="L41" s="20" t="inlineStr">
        <is>
          <t>Angel-Backed</t>
        </is>
      </c>
      <c r="M41" s="21" t="n">
        <v>42864.0</v>
      </c>
      <c r="N41" s="22" t="inlineStr">
        <is>
          <t>Angel (individual)</t>
        </is>
      </c>
      <c r="O41" s="23" t="n">
        <v>3.58</v>
      </c>
      <c r="P41" s="101">
        <f>HYPERLINK("https://my.pitchbook.com?c=180844-75", "View company online")</f>
      </c>
    </row>
    <row r="42">
      <c r="A42" s="25" t="inlineStr">
        <is>
          <t>154894-96</t>
        </is>
      </c>
      <c r="B42" s="26" t="inlineStr">
        <is>
          <t>Zippia</t>
        </is>
      </c>
      <c r="C42" s="27" t="inlineStr">
        <is>
          <t/>
        </is>
      </c>
      <c r="D42" s="28" t="inlineStr">
        <is>
          <t/>
        </is>
      </c>
      <c r="E42" s="29" t="inlineStr">
        <is>
          <t/>
        </is>
      </c>
      <c r="F42" s="30" t="inlineStr">
        <is>
          <t/>
        </is>
      </c>
      <c r="G42" s="31" t="inlineStr">
        <is>
          <t/>
        </is>
      </c>
      <c r="H42" s="32" t="inlineStr">
        <is>
          <t/>
        </is>
      </c>
      <c r="I42" s="33" t="inlineStr">
        <is>
          <t/>
        </is>
      </c>
      <c r="J42" s="34" t="inlineStr">
        <is>
          <t/>
        </is>
      </c>
      <c r="K42" s="35" t="inlineStr">
        <is>
          <t>Privately Held (backing)</t>
        </is>
      </c>
      <c r="L42" s="36" t="inlineStr">
        <is>
          <t>Accelerator/Incubator Backed</t>
        </is>
      </c>
      <c r="M42" s="37" t="n">
        <v>42817.0</v>
      </c>
      <c r="N42" s="38" t="inlineStr">
        <is>
          <t>Seed Round</t>
        </is>
      </c>
      <c r="O42" s="39" t="n">
        <v>2.5</v>
      </c>
      <c r="P42" s="102">
        <f>HYPERLINK("https://my.pitchbook.com?c=154894-96", "View company online")</f>
      </c>
    </row>
    <row r="43">
      <c r="A43" s="9" t="inlineStr">
        <is>
          <t>171150-31</t>
        </is>
      </c>
      <c r="B43" s="10" t="inlineStr">
        <is>
          <t>Zink (Stealth)</t>
        </is>
      </c>
      <c r="C43" s="11" t="inlineStr">
        <is>
          <t/>
        </is>
      </c>
      <c r="D43" s="12" t="inlineStr">
        <is>
          <t/>
        </is>
      </c>
      <c r="E43" s="13" t="inlineStr">
        <is>
          <t/>
        </is>
      </c>
      <c r="F43" s="14" t="inlineStr">
        <is>
          <t/>
        </is>
      </c>
      <c r="G43" s="15" t="inlineStr">
        <is>
          <t/>
        </is>
      </c>
      <c r="H43" s="16" t="inlineStr">
        <is>
          <t/>
        </is>
      </c>
      <c r="I43" s="17" t="inlineStr">
        <is>
          <t/>
        </is>
      </c>
      <c r="J43" s="18" t="inlineStr">
        <is>
          <t/>
        </is>
      </c>
      <c r="K43" s="19" t="inlineStr">
        <is>
          <t>Privately Held (backing)</t>
        </is>
      </c>
      <c r="L43" s="20" t="inlineStr">
        <is>
          <t>Angel-Backed</t>
        </is>
      </c>
      <c r="M43" s="21" t="n">
        <v>42822.0</v>
      </c>
      <c r="N43" s="22" t="inlineStr">
        <is>
          <t>Angel (individual)</t>
        </is>
      </c>
      <c r="O43" s="23" t="n">
        <v>0.09</v>
      </c>
      <c r="P43" s="101">
        <f>HYPERLINK("https://my.pitchbook.com?c=171150-31", "View company online")</f>
      </c>
    </row>
    <row r="44">
      <c r="A44" s="25" t="inlineStr">
        <is>
          <t>55613-53</t>
        </is>
      </c>
      <c r="B44" s="26" t="inlineStr">
        <is>
          <t>Zingaya</t>
        </is>
      </c>
      <c r="C44" s="27" t="inlineStr">
        <is>
          <t/>
        </is>
      </c>
      <c r="D44" s="28" t="inlineStr">
        <is>
          <t/>
        </is>
      </c>
      <c r="E44" s="29" t="inlineStr">
        <is>
          <t/>
        </is>
      </c>
      <c r="F44" s="30" t="inlineStr">
        <is>
          <t/>
        </is>
      </c>
      <c r="G44" s="31" t="inlineStr">
        <is>
          <t/>
        </is>
      </c>
      <c r="H44" s="32" t="inlineStr">
        <is>
          <t/>
        </is>
      </c>
      <c r="I44" s="33" t="inlineStr">
        <is>
          <t/>
        </is>
      </c>
      <c r="J44" s="34" t="inlineStr">
        <is>
          <t/>
        </is>
      </c>
      <c r="K44" s="35" t="inlineStr">
        <is>
          <t>Privately Held (backing)</t>
        </is>
      </c>
      <c r="L44" s="36" t="inlineStr">
        <is>
          <t>Angel-Backed</t>
        </is>
      </c>
      <c r="M44" s="37" t="n">
        <v>40842.0</v>
      </c>
      <c r="N44" s="38" t="inlineStr">
        <is>
          <t>Early Stage VC</t>
        </is>
      </c>
      <c r="O44" s="39" t="n">
        <v>1.15</v>
      </c>
      <c r="P44" s="102">
        <f>HYPERLINK("https://my.pitchbook.com?c=55613-53", "View company online")</f>
      </c>
    </row>
    <row r="45">
      <c r="A45" s="9" t="inlineStr">
        <is>
          <t>53486-29</t>
        </is>
      </c>
      <c r="B45" s="10" t="inlineStr">
        <is>
          <t>ZimpleMoney</t>
        </is>
      </c>
      <c r="C45" s="11" t="inlineStr">
        <is>
          <t/>
        </is>
      </c>
      <c r="D45" s="12" t="inlineStr">
        <is>
          <t/>
        </is>
      </c>
      <c r="E45" s="13" t="inlineStr">
        <is>
          <t/>
        </is>
      </c>
      <c r="F45" s="14" t="inlineStr">
        <is>
          <t/>
        </is>
      </c>
      <c r="G45" s="15" t="inlineStr">
        <is>
          <t/>
        </is>
      </c>
      <c r="H45" s="16" t="inlineStr">
        <is>
          <t/>
        </is>
      </c>
      <c r="I45" s="17" t="inlineStr">
        <is>
          <t/>
        </is>
      </c>
      <c r="J45" s="18" t="inlineStr">
        <is>
          <t/>
        </is>
      </c>
      <c r="K45" s="19" t="inlineStr">
        <is>
          <t>Privately Held (backing)</t>
        </is>
      </c>
      <c r="L45" s="20" t="inlineStr">
        <is>
          <t>Angel-Backed</t>
        </is>
      </c>
      <c r="M45" s="21" t="n">
        <v>39448.0</v>
      </c>
      <c r="N45" s="22" t="inlineStr">
        <is>
          <t>Seed Round</t>
        </is>
      </c>
      <c r="O45" s="23" t="inlineStr">
        <is>
          <t/>
        </is>
      </c>
      <c r="P45" s="101">
        <f>HYPERLINK("https://my.pitchbook.com?c=53486-29", "View company online")</f>
      </c>
    </row>
    <row r="46">
      <c r="A46" s="25" t="inlineStr">
        <is>
          <t>103725-10</t>
        </is>
      </c>
      <c r="B46" s="26" t="inlineStr">
        <is>
          <t>Zikto</t>
        </is>
      </c>
      <c r="C46" s="27" t="inlineStr">
        <is>
          <t/>
        </is>
      </c>
      <c r="D46" s="28" t="inlineStr">
        <is>
          <t/>
        </is>
      </c>
      <c r="E46" s="29" t="inlineStr">
        <is>
          <t/>
        </is>
      </c>
      <c r="F46" s="30" t="inlineStr">
        <is>
          <t/>
        </is>
      </c>
      <c r="G46" s="31" t="inlineStr">
        <is>
          <t/>
        </is>
      </c>
      <c r="H46" s="32" t="inlineStr">
        <is>
          <t/>
        </is>
      </c>
      <c r="I46" s="33" t="inlineStr">
        <is>
          <t/>
        </is>
      </c>
      <c r="J46" s="34" t="inlineStr">
        <is>
          <t/>
        </is>
      </c>
      <c r="K46" s="35" t="inlineStr">
        <is>
          <t>Privately Held (backing)</t>
        </is>
      </c>
      <c r="L46" s="36" t="inlineStr">
        <is>
          <t>Angel-Backed</t>
        </is>
      </c>
      <c r="M46" s="37" t="n">
        <v>41995.0</v>
      </c>
      <c r="N46" s="38" t="inlineStr">
        <is>
          <t>Product Crowdfunding</t>
        </is>
      </c>
      <c r="O46" s="39" t="n">
        <v>0.16</v>
      </c>
      <c r="P46" s="102">
        <f>HYPERLINK("https://my.pitchbook.com?c=103725-10", "View company online")</f>
      </c>
    </row>
    <row r="47">
      <c r="A47" s="9" t="inlineStr">
        <is>
          <t>111875-86</t>
        </is>
      </c>
      <c r="B47" s="10" t="inlineStr">
        <is>
          <t>Zikher</t>
        </is>
      </c>
      <c r="C47" s="11" t="inlineStr">
        <is>
          <t/>
        </is>
      </c>
      <c r="D47" s="12" t="inlineStr">
        <is>
          <t/>
        </is>
      </c>
      <c r="E47" s="13" t="inlineStr">
        <is>
          <t/>
        </is>
      </c>
      <c r="F47" s="14" t="inlineStr">
        <is>
          <t/>
        </is>
      </c>
      <c r="G47" s="15" t="inlineStr">
        <is>
          <t/>
        </is>
      </c>
      <c r="H47" s="16" t="inlineStr">
        <is>
          <t/>
        </is>
      </c>
      <c r="I47" s="17" t="inlineStr">
        <is>
          <t/>
        </is>
      </c>
      <c r="J47" s="18" t="inlineStr">
        <is>
          <t/>
        </is>
      </c>
      <c r="K47" s="19" t="inlineStr">
        <is>
          <t>Privately Held (backing)</t>
        </is>
      </c>
      <c r="L47" s="20" t="inlineStr">
        <is>
          <t>Angel-Backed</t>
        </is>
      </c>
      <c r="M47" s="21" t="n">
        <v>42109.0</v>
      </c>
      <c r="N47" s="22" t="inlineStr">
        <is>
          <t>Seed Round</t>
        </is>
      </c>
      <c r="O47" s="23" t="inlineStr">
        <is>
          <t/>
        </is>
      </c>
      <c r="P47" s="101">
        <f>HYPERLINK("https://my.pitchbook.com?c=111875-86", "View company online")</f>
      </c>
    </row>
    <row r="48">
      <c r="A48" s="25" t="inlineStr">
        <is>
          <t>175735-72</t>
        </is>
      </c>
      <c r="B48" s="26" t="inlineStr">
        <is>
          <t>ziggedy</t>
        </is>
      </c>
      <c r="C48" s="78">
        <f>HYPERLINK("https://my.pitchbook.com?rrp=175735-72&amp;type=c", "This Company's information is not available to download. Need this Company? Request availability")</f>
      </c>
      <c r="D48" s="28" t="inlineStr">
        <is>
          <t/>
        </is>
      </c>
      <c r="E48" s="29" t="inlineStr">
        <is>
          <t/>
        </is>
      </c>
      <c r="F48" s="30" t="inlineStr">
        <is>
          <t/>
        </is>
      </c>
      <c r="G48" s="31" t="inlineStr">
        <is>
          <t/>
        </is>
      </c>
      <c r="H48" s="32" t="inlineStr">
        <is>
          <t/>
        </is>
      </c>
      <c r="I48" s="33" t="inlineStr">
        <is>
          <t/>
        </is>
      </c>
      <c r="J48" s="34" t="inlineStr">
        <is>
          <t/>
        </is>
      </c>
      <c r="K48" s="35" t="inlineStr">
        <is>
          <t/>
        </is>
      </c>
      <c r="L48" s="36" t="inlineStr">
        <is>
          <t/>
        </is>
      </c>
      <c r="M48" s="37" t="inlineStr">
        <is>
          <t/>
        </is>
      </c>
      <c r="N48" s="38" t="inlineStr">
        <is>
          <t/>
        </is>
      </c>
      <c r="O48" s="39" t="inlineStr">
        <is>
          <t/>
        </is>
      </c>
      <c r="P48" s="40" t="inlineStr">
        <is>
          <t/>
        </is>
      </c>
    </row>
    <row r="49">
      <c r="A49" s="9" t="inlineStr">
        <is>
          <t>102916-18</t>
        </is>
      </c>
      <c r="B49" s="10" t="inlineStr">
        <is>
          <t>Zigabid</t>
        </is>
      </c>
      <c r="C49" s="11" t="inlineStr">
        <is>
          <t/>
        </is>
      </c>
      <c r="D49" s="12" t="inlineStr">
        <is>
          <t/>
        </is>
      </c>
      <c r="E49" s="13" t="inlineStr">
        <is>
          <t/>
        </is>
      </c>
      <c r="F49" s="14" t="inlineStr">
        <is>
          <t/>
        </is>
      </c>
      <c r="G49" s="15" t="inlineStr">
        <is>
          <t/>
        </is>
      </c>
      <c r="H49" s="16" t="inlineStr">
        <is>
          <t/>
        </is>
      </c>
      <c r="I49" s="17" t="inlineStr">
        <is>
          <t/>
        </is>
      </c>
      <c r="J49" s="18" t="inlineStr">
        <is>
          <t/>
        </is>
      </c>
      <c r="K49" s="19" t="inlineStr">
        <is>
          <t>Privately Held (backing)</t>
        </is>
      </c>
      <c r="L49" s="20" t="inlineStr">
        <is>
          <t>Angel-Backed</t>
        </is>
      </c>
      <c r="M49" s="21" t="n">
        <v>39479.0</v>
      </c>
      <c r="N49" s="22" t="inlineStr">
        <is>
          <t>Seed Round</t>
        </is>
      </c>
      <c r="O49" s="23" t="n">
        <v>0.5</v>
      </c>
      <c r="P49" s="101">
        <f>HYPERLINK("https://my.pitchbook.com?c=102916-18", "View company online")</f>
      </c>
    </row>
    <row r="50">
      <c r="A50" s="25" t="inlineStr">
        <is>
          <t>120097-54</t>
        </is>
      </c>
      <c r="B50" s="26" t="inlineStr">
        <is>
          <t>Zeyos</t>
        </is>
      </c>
      <c r="C50" s="27" t="inlineStr">
        <is>
          <t/>
        </is>
      </c>
      <c r="D50" s="28" t="inlineStr">
        <is>
          <t/>
        </is>
      </c>
      <c r="E50" s="29" t="inlineStr">
        <is>
          <t/>
        </is>
      </c>
      <c r="F50" s="30" t="inlineStr">
        <is>
          <t/>
        </is>
      </c>
      <c r="G50" s="31" t="inlineStr">
        <is>
          <t/>
        </is>
      </c>
      <c r="H50" s="32" t="inlineStr">
        <is>
          <t/>
        </is>
      </c>
      <c r="I50" s="33" t="inlineStr">
        <is>
          <t/>
        </is>
      </c>
      <c r="J50" s="34" t="inlineStr">
        <is>
          <t/>
        </is>
      </c>
      <c r="K50" s="35" t="inlineStr">
        <is>
          <t>Privately Held (backing)</t>
        </is>
      </c>
      <c r="L50" s="36" t="inlineStr">
        <is>
          <t>Accelerator/Incubator Backed</t>
        </is>
      </c>
      <c r="M50" s="37" t="n">
        <v>41932.0</v>
      </c>
      <c r="N50" s="38" t="inlineStr">
        <is>
          <t>Accelerator/Incubator</t>
        </is>
      </c>
      <c r="O50" s="39" t="inlineStr">
        <is>
          <t/>
        </is>
      </c>
      <c r="P50" s="102">
        <f>HYPERLINK("https://my.pitchbook.com?c=120097-54", "View company online")</f>
      </c>
    </row>
    <row r="51">
      <c r="A51" s="9" t="inlineStr">
        <is>
          <t>103844-08</t>
        </is>
      </c>
      <c r="B51" s="10" t="inlineStr">
        <is>
          <t>ZexSports.com</t>
        </is>
      </c>
      <c r="C51" s="11" t="inlineStr">
        <is>
          <t/>
        </is>
      </c>
      <c r="D51" s="12" t="inlineStr">
        <is>
          <t/>
        </is>
      </c>
      <c r="E51" s="13" t="inlineStr">
        <is>
          <t/>
        </is>
      </c>
      <c r="F51" s="14" t="inlineStr">
        <is>
          <t/>
        </is>
      </c>
      <c r="G51" s="15" t="inlineStr">
        <is>
          <t/>
        </is>
      </c>
      <c r="H51" s="16" t="inlineStr">
        <is>
          <t/>
        </is>
      </c>
      <c r="I51" s="17" t="inlineStr">
        <is>
          <t/>
        </is>
      </c>
      <c r="J51" s="18" t="inlineStr">
        <is>
          <t/>
        </is>
      </c>
      <c r="K51" s="19" t="inlineStr">
        <is>
          <t>Privately Held (backing)</t>
        </is>
      </c>
      <c r="L51" s="20" t="inlineStr">
        <is>
          <t>Angel-Backed</t>
        </is>
      </c>
      <c r="M51" s="21" t="n">
        <v>39566.0</v>
      </c>
      <c r="N51" s="22" t="inlineStr">
        <is>
          <t>Seed Round</t>
        </is>
      </c>
      <c r="O51" s="23" t="inlineStr">
        <is>
          <t/>
        </is>
      </c>
      <c r="P51" s="101">
        <f>HYPERLINK("https://my.pitchbook.com?c=103844-08", "View company online")</f>
      </c>
    </row>
    <row r="52">
      <c r="A52" s="25" t="inlineStr">
        <is>
          <t>128877-58</t>
        </is>
      </c>
      <c r="B52" s="26" t="inlineStr">
        <is>
          <t>Zev Technologies</t>
        </is>
      </c>
      <c r="C52" s="27" t="inlineStr">
        <is>
          <t/>
        </is>
      </c>
      <c r="D52" s="28" t="inlineStr">
        <is>
          <t/>
        </is>
      </c>
      <c r="E52" s="29" t="inlineStr">
        <is>
          <t>FY 2015</t>
        </is>
      </c>
      <c r="F52" s="30" t="n">
        <v>6.71</v>
      </c>
      <c r="G52" s="31" t="inlineStr">
        <is>
          <t/>
        </is>
      </c>
      <c r="H52" s="32" t="inlineStr">
        <is>
          <t/>
        </is>
      </c>
      <c r="I52" s="33" t="inlineStr">
        <is>
          <t/>
        </is>
      </c>
      <c r="J52" s="34" t="inlineStr">
        <is>
          <t/>
        </is>
      </c>
      <c r="K52" s="35" t="inlineStr">
        <is>
          <t>Privately Held (backing)</t>
        </is>
      </c>
      <c r="L52" s="36" t="inlineStr">
        <is>
          <t>Angel-Backed</t>
        </is>
      </c>
      <c r="M52" s="37" t="n">
        <v>42817.0</v>
      </c>
      <c r="N52" s="38" t="inlineStr">
        <is>
          <t>Angel (individual)</t>
        </is>
      </c>
      <c r="O52" s="39" t="n">
        <v>1.35</v>
      </c>
      <c r="P52" s="102">
        <f>HYPERLINK("https://my.pitchbook.com?c=128877-58", "View company online")</f>
      </c>
    </row>
    <row r="53">
      <c r="A53" s="9" t="inlineStr">
        <is>
          <t>120351-97</t>
        </is>
      </c>
      <c r="B53" s="10" t="inlineStr">
        <is>
          <t>Zesty.io</t>
        </is>
      </c>
      <c r="C53" s="11" t="inlineStr">
        <is>
          <t/>
        </is>
      </c>
      <c r="D53" s="12" t="inlineStr">
        <is>
          <t/>
        </is>
      </c>
      <c r="E53" s="13" t="inlineStr">
        <is>
          <t/>
        </is>
      </c>
      <c r="F53" s="14" t="inlineStr">
        <is>
          <t/>
        </is>
      </c>
      <c r="G53" s="15" t="inlineStr">
        <is>
          <t/>
        </is>
      </c>
      <c r="H53" s="16" t="inlineStr">
        <is>
          <t/>
        </is>
      </c>
      <c r="I53" s="17" t="inlineStr">
        <is>
          <t/>
        </is>
      </c>
      <c r="J53" s="18" t="inlineStr">
        <is>
          <t/>
        </is>
      </c>
      <c r="K53" s="19" t="inlineStr">
        <is>
          <t>Privately Held (backing)</t>
        </is>
      </c>
      <c r="L53" s="20" t="inlineStr">
        <is>
          <t>Angel-Backed</t>
        </is>
      </c>
      <c r="M53" s="21" t="n">
        <v>42886.0</v>
      </c>
      <c r="N53" s="22" t="inlineStr">
        <is>
          <t>Angel (individual)</t>
        </is>
      </c>
      <c r="O53" s="23" t="n">
        <v>1.3</v>
      </c>
      <c r="P53" s="101">
        <f>HYPERLINK("https://my.pitchbook.com?c=120351-97", "View company online")</f>
      </c>
    </row>
    <row r="54">
      <c r="A54" s="25" t="inlineStr">
        <is>
          <t>82753-93</t>
        </is>
      </c>
      <c r="B54" s="26" t="inlineStr">
        <is>
          <t>Zertica</t>
        </is>
      </c>
      <c r="C54" s="27" t="inlineStr">
        <is>
          <t/>
        </is>
      </c>
      <c r="D54" s="28" t="inlineStr">
        <is>
          <t/>
        </is>
      </c>
      <c r="E54" s="29" t="inlineStr">
        <is>
          <t/>
        </is>
      </c>
      <c r="F54" s="30" t="inlineStr">
        <is>
          <t/>
        </is>
      </c>
      <c r="G54" s="31" t="inlineStr">
        <is>
          <t/>
        </is>
      </c>
      <c r="H54" s="32" t="inlineStr">
        <is>
          <t/>
        </is>
      </c>
      <c r="I54" s="33" t="inlineStr">
        <is>
          <t/>
        </is>
      </c>
      <c r="J54" s="34" t="inlineStr">
        <is>
          <t/>
        </is>
      </c>
      <c r="K54" s="35" t="inlineStr">
        <is>
          <t>Privately Held (backing)</t>
        </is>
      </c>
      <c r="L54" s="36" t="inlineStr">
        <is>
          <t>Accelerator/Incubator Backed</t>
        </is>
      </c>
      <c r="M54" s="37" t="n">
        <v>41456.0</v>
      </c>
      <c r="N54" s="38" t="inlineStr">
        <is>
          <t>Accelerator/Incubator</t>
        </is>
      </c>
      <c r="O54" s="39" t="n">
        <v>0.04</v>
      </c>
      <c r="P54" s="102">
        <f>HYPERLINK("https://my.pitchbook.com?c=82753-93", "View company online")</f>
      </c>
    </row>
    <row r="55">
      <c r="A55" s="9" t="inlineStr">
        <is>
          <t>167437-72</t>
        </is>
      </c>
      <c r="B55" s="10" t="inlineStr">
        <is>
          <t>ZeroUI</t>
        </is>
      </c>
      <c r="C55" s="11" t="inlineStr">
        <is>
          <t/>
        </is>
      </c>
      <c r="D55" s="12" t="inlineStr">
        <is>
          <t/>
        </is>
      </c>
      <c r="E55" s="13" t="inlineStr">
        <is>
          <t/>
        </is>
      </c>
      <c r="F55" s="14" t="inlineStr">
        <is>
          <t/>
        </is>
      </c>
      <c r="G55" s="15" t="inlineStr">
        <is>
          <t/>
        </is>
      </c>
      <c r="H55" s="16" t="inlineStr">
        <is>
          <t/>
        </is>
      </c>
      <c r="I55" s="17" t="inlineStr">
        <is>
          <t/>
        </is>
      </c>
      <c r="J55" s="18" t="inlineStr">
        <is>
          <t/>
        </is>
      </c>
      <c r="K55" s="19" t="inlineStr">
        <is>
          <t>Privately Held (backing)</t>
        </is>
      </c>
      <c r="L55" s="20" t="inlineStr">
        <is>
          <t>Accelerator/Incubator Backed</t>
        </is>
      </c>
      <c r="M55" s="21" t="n">
        <v>42843.0</v>
      </c>
      <c r="N55" s="22" t="inlineStr">
        <is>
          <t>Accelerator/Incubator</t>
        </is>
      </c>
      <c r="O55" s="23" t="n">
        <v>0.08</v>
      </c>
      <c r="P55" s="101">
        <f>HYPERLINK("https://my.pitchbook.com?c=167437-72", "View company online")</f>
      </c>
    </row>
    <row r="56">
      <c r="A56" s="25" t="inlineStr">
        <is>
          <t>104527-00</t>
        </is>
      </c>
      <c r="B56" s="26" t="inlineStr">
        <is>
          <t>ZeroTier</t>
        </is>
      </c>
      <c r="C56" s="27" t="inlineStr">
        <is>
          <t/>
        </is>
      </c>
      <c r="D56" s="28" t="inlineStr">
        <is>
          <t/>
        </is>
      </c>
      <c r="E56" s="29" t="inlineStr">
        <is>
          <t/>
        </is>
      </c>
      <c r="F56" s="30" t="inlineStr">
        <is>
          <t/>
        </is>
      </c>
      <c r="G56" s="31" t="inlineStr">
        <is>
          <t/>
        </is>
      </c>
      <c r="H56" s="32" t="inlineStr">
        <is>
          <t/>
        </is>
      </c>
      <c r="I56" s="33" t="inlineStr">
        <is>
          <t/>
        </is>
      </c>
      <c r="J56" s="34" t="inlineStr">
        <is>
          <t/>
        </is>
      </c>
      <c r="K56" s="35" t="inlineStr">
        <is>
          <t>Privately Held (backing)</t>
        </is>
      </c>
      <c r="L56" s="36" t="inlineStr">
        <is>
          <t>Angel-Backed</t>
        </is>
      </c>
      <c r="M56" s="37" t="n">
        <v>42082.0</v>
      </c>
      <c r="N56" s="38" t="inlineStr">
        <is>
          <t>Angel (individual)</t>
        </is>
      </c>
      <c r="O56" s="39" t="n">
        <v>0.43</v>
      </c>
      <c r="P56" s="102">
        <f>HYPERLINK("https://my.pitchbook.com?c=104527-00", "View company online")</f>
      </c>
    </row>
    <row r="57">
      <c r="A57" s="9" t="inlineStr">
        <is>
          <t>167999-05</t>
        </is>
      </c>
      <c r="B57" s="10" t="inlineStr">
        <is>
          <t>Zero Edge Partners</t>
        </is>
      </c>
      <c r="C57" s="11" t="inlineStr">
        <is>
          <t/>
        </is>
      </c>
      <c r="D57" s="12" t="inlineStr">
        <is>
          <t/>
        </is>
      </c>
      <c r="E57" s="13" t="inlineStr">
        <is>
          <t/>
        </is>
      </c>
      <c r="F57" s="14" t="inlineStr">
        <is>
          <t/>
        </is>
      </c>
      <c r="G57" s="15" t="inlineStr">
        <is>
          <t/>
        </is>
      </c>
      <c r="H57" s="16" t="inlineStr">
        <is>
          <t/>
        </is>
      </c>
      <c r="I57" s="17" t="inlineStr">
        <is>
          <t/>
        </is>
      </c>
      <c r="J57" s="18" t="inlineStr">
        <is>
          <t/>
        </is>
      </c>
      <c r="K57" s="19" t="inlineStr">
        <is>
          <t>Privately Held (backing)</t>
        </is>
      </c>
      <c r="L57" s="20" t="inlineStr">
        <is>
          <t>Accelerator/Incubator Backed</t>
        </is>
      </c>
      <c r="M57" s="21" t="inlineStr">
        <is>
          <t/>
        </is>
      </c>
      <c r="N57" s="22" t="inlineStr">
        <is>
          <t>Accelerator/Incubator</t>
        </is>
      </c>
      <c r="O57" s="23" t="inlineStr">
        <is>
          <t/>
        </is>
      </c>
      <c r="P57" s="101">
        <f>HYPERLINK("https://my.pitchbook.com?c=167999-05", "View company online")</f>
      </c>
    </row>
    <row r="58">
      <c r="A58" s="25" t="inlineStr">
        <is>
          <t>103532-32</t>
        </is>
      </c>
      <c r="B58" s="26" t="inlineStr">
        <is>
          <t>Zerg</t>
        </is>
      </c>
      <c r="C58" s="27" t="inlineStr">
        <is>
          <t/>
        </is>
      </c>
      <c r="D58" s="28" t="inlineStr">
        <is>
          <t/>
        </is>
      </c>
      <c r="E58" s="29" t="inlineStr">
        <is>
          <t/>
        </is>
      </c>
      <c r="F58" s="30" t="inlineStr">
        <is>
          <t/>
        </is>
      </c>
      <c r="G58" s="31" t="inlineStr">
        <is>
          <t/>
        </is>
      </c>
      <c r="H58" s="32" t="inlineStr">
        <is>
          <t/>
        </is>
      </c>
      <c r="I58" s="33" t="inlineStr">
        <is>
          <t/>
        </is>
      </c>
      <c r="J58" s="34" t="inlineStr">
        <is>
          <t/>
        </is>
      </c>
      <c r="K58" s="35" t="inlineStr">
        <is>
          <t>Privately Held (backing)</t>
        </is>
      </c>
      <c r="L58" s="36" t="inlineStr">
        <is>
          <t>Angel-Backed</t>
        </is>
      </c>
      <c r="M58" s="37" t="n">
        <v>41827.0</v>
      </c>
      <c r="N58" s="38" t="inlineStr">
        <is>
          <t>Seed Round</t>
        </is>
      </c>
      <c r="O58" s="39" t="n">
        <v>1.1</v>
      </c>
      <c r="P58" s="102">
        <f>HYPERLINK("https://my.pitchbook.com?c=103532-32", "View company online")</f>
      </c>
    </row>
    <row r="59">
      <c r="A59" s="9" t="inlineStr">
        <is>
          <t>121694-86</t>
        </is>
      </c>
      <c r="B59" s="10" t="inlineStr">
        <is>
          <t>ZEPHYR Digital</t>
        </is>
      </c>
      <c r="C59" s="77">
        <f>HYPERLINK("https://my.pitchbook.com?rrp=121694-86&amp;type=c", "This Company's information is not available to download. Need this Company? Request availability")</f>
      </c>
      <c r="D59" s="12" t="inlineStr">
        <is>
          <t/>
        </is>
      </c>
      <c r="E59" s="13" t="inlineStr">
        <is>
          <t/>
        </is>
      </c>
      <c r="F59" s="14" t="inlineStr">
        <is>
          <t/>
        </is>
      </c>
      <c r="G59" s="15" t="inlineStr">
        <is>
          <t/>
        </is>
      </c>
      <c r="H59" s="16" t="inlineStr">
        <is>
          <t/>
        </is>
      </c>
      <c r="I59" s="17" t="inlineStr">
        <is>
          <t/>
        </is>
      </c>
      <c r="J59" s="18" t="inlineStr">
        <is>
          <t/>
        </is>
      </c>
      <c r="K59" s="19" t="inlineStr">
        <is>
          <t/>
        </is>
      </c>
      <c r="L59" s="20" t="inlineStr">
        <is>
          <t/>
        </is>
      </c>
      <c r="M59" s="21" t="inlineStr">
        <is>
          <t/>
        </is>
      </c>
      <c r="N59" s="22" t="inlineStr">
        <is>
          <t/>
        </is>
      </c>
      <c r="O59" s="23" t="inlineStr">
        <is>
          <t/>
        </is>
      </c>
      <c r="P59" s="24" t="inlineStr">
        <is>
          <t/>
        </is>
      </c>
    </row>
    <row r="60">
      <c r="A60" s="25" t="inlineStr">
        <is>
          <t>103842-91</t>
        </is>
      </c>
      <c r="B60" s="26" t="inlineStr">
        <is>
          <t>Zenytime</t>
        </is>
      </c>
      <c r="C60" s="27" t="inlineStr">
        <is>
          <t/>
        </is>
      </c>
      <c r="D60" s="28" t="inlineStr">
        <is>
          <t/>
        </is>
      </c>
      <c r="E60" s="29" t="inlineStr">
        <is>
          <t/>
        </is>
      </c>
      <c r="F60" s="30" t="inlineStr">
        <is>
          <t/>
        </is>
      </c>
      <c r="G60" s="31" t="inlineStr">
        <is>
          <t/>
        </is>
      </c>
      <c r="H60" s="32" t="inlineStr">
        <is>
          <t/>
        </is>
      </c>
      <c r="I60" s="33" t="inlineStr">
        <is>
          <t/>
        </is>
      </c>
      <c r="J60" s="34" t="inlineStr">
        <is>
          <t/>
        </is>
      </c>
      <c r="K60" s="35" t="inlineStr">
        <is>
          <t>Privately Held (backing)</t>
        </is>
      </c>
      <c r="L60" s="36" t="inlineStr">
        <is>
          <t>Angel-Backed</t>
        </is>
      </c>
      <c r="M60" s="37" t="n">
        <v>41640.0</v>
      </c>
      <c r="N60" s="38" t="inlineStr">
        <is>
          <t>Angel (individual)</t>
        </is>
      </c>
      <c r="O60" s="39" t="n">
        <v>0.8</v>
      </c>
      <c r="P60" s="102">
        <f>HYPERLINK("https://my.pitchbook.com?c=103842-91", "View company online")</f>
      </c>
    </row>
    <row r="61">
      <c r="A61" s="9" t="inlineStr">
        <is>
          <t>103531-96</t>
        </is>
      </c>
      <c r="B61" s="10" t="inlineStr">
        <is>
          <t>Zent</t>
        </is>
      </c>
      <c r="C61" s="11" t="inlineStr">
        <is>
          <t/>
        </is>
      </c>
      <c r="D61" s="12" t="inlineStr">
        <is>
          <t/>
        </is>
      </c>
      <c r="E61" s="13" t="inlineStr">
        <is>
          <t/>
        </is>
      </c>
      <c r="F61" s="14" t="inlineStr">
        <is>
          <t/>
        </is>
      </c>
      <c r="G61" s="15" t="inlineStr">
        <is>
          <t/>
        </is>
      </c>
      <c r="H61" s="16" t="inlineStr">
        <is>
          <t/>
        </is>
      </c>
      <c r="I61" s="17" t="inlineStr">
        <is>
          <t/>
        </is>
      </c>
      <c r="J61" s="18" t="inlineStr">
        <is>
          <t/>
        </is>
      </c>
      <c r="K61" s="19" t="inlineStr">
        <is>
          <t>Privately Held (backing)</t>
        </is>
      </c>
      <c r="L61" s="20" t="inlineStr">
        <is>
          <t>Angel-Backed</t>
        </is>
      </c>
      <c r="M61" s="21" t="n">
        <v>41411.0</v>
      </c>
      <c r="N61" s="22" t="inlineStr">
        <is>
          <t>Angel (individual)</t>
        </is>
      </c>
      <c r="O61" s="23" t="n">
        <v>0.03</v>
      </c>
      <c r="P61" s="101">
        <f>HYPERLINK("https://my.pitchbook.com?c=103531-96", "View company online")</f>
      </c>
    </row>
    <row r="62">
      <c r="A62" s="25" t="inlineStr">
        <is>
          <t>171667-09</t>
        </is>
      </c>
      <c r="B62" s="26" t="inlineStr">
        <is>
          <t>ZenSports</t>
        </is>
      </c>
      <c r="C62" s="78">
        <f>HYPERLINK("https://my.pitchbook.com?rrp=171667-09&amp;type=c", "This Company's information is not available to download. Need this Company? Request availability")</f>
      </c>
      <c r="D62" s="28" t="inlineStr">
        <is>
          <t/>
        </is>
      </c>
      <c r="E62" s="29" t="inlineStr">
        <is>
          <t/>
        </is>
      </c>
      <c r="F62" s="30" t="inlineStr">
        <is>
          <t/>
        </is>
      </c>
      <c r="G62" s="31" t="inlineStr">
        <is>
          <t/>
        </is>
      </c>
      <c r="H62" s="32" t="inlineStr">
        <is>
          <t/>
        </is>
      </c>
      <c r="I62" s="33" t="inlineStr">
        <is>
          <t/>
        </is>
      </c>
      <c r="J62" s="34" t="inlineStr">
        <is>
          <t/>
        </is>
      </c>
      <c r="K62" s="35" t="inlineStr">
        <is>
          <t/>
        </is>
      </c>
      <c r="L62" s="36" t="inlineStr">
        <is>
          <t/>
        </is>
      </c>
      <c r="M62" s="37" t="inlineStr">
        <is>
          <t/>
        </is>
      </c>
      <c r="N62" s="38" t="inlineStr">
        <is>
          <t/>
        </is>
      </c>
      <c r="O62" s="39" t="inlineStr">
        <is>
          <t/>
        </is>
      </c>
      <c r="P62" s="40" t="inlineStr">
        <is>
          <t/>
        </is>
      </c>
    </row>
    <row r="63">
      <c r="A63" s="9" t="inlineStr">
        <is>
          <t>181891-45</t>
        </is>
      </c>
      <c r="B63" s="10" t="inlineStr">
        <is>
          <t>Zenobia Therapeutics</t>
        </is>
      </c>
      <c r="C63" s="11" t="inlineStr">
        <is>
          <t/>
        </is>
      </c>
      <c r="D63" s="12" t="inlineStr">
        <is>
          <t/>
        </is>
      </c>
      <c r="E63" s="13" t="inlineStr">
        <is>
          <t/>
        </is>
      </c>
      <c r="F63" s="14" t="inlineStr">
        <is>
          <t/>
        </is>
      </c>
      <c r="G63" s="15" t="inlineStr">
        <is>
          <t/>
        </is>
      </c>
      <c r="H63" s="16" t="inlineStr">
        <is>
          <t/>
        </is>
      </c>
      <c r="I63" s="17" t="inlineStr">
        <is>
          <t/>
        </is>
      </c>
      <c r="J63" s="18" t="inlineStr">
        <is>
          <t/>
        </is>
      </c>
      <c r="K63" s="19" t="inlineStr">
        <is>
          <t>Privately Held (backing)</t>
        </is>
      </c>
      <c r="L63" s="20" t="inlineStr">
        <is>
          <t>Angel-Backed</t>
        </is>
      </c>
      <c r="M63" s="21" t="n">
        <v>42370.0</v>
      </c>
      <c r="N63" s="22" t="inlineStr">
        <is>
          <t>Grant</t>
        </is>
      </c>
      <c r="O63" s="23" t="n">
        <v>0.4</v>
      </c>
      <c r="P63" s="101">
        <f>HYPERLINK("https://my.pitchbook.com?c=181891-45", "View company online")</f>
      </c>
    </row>
    <row r="64">
      <c r="A64" s="25" t="inlineStr">
        <is>
          <t>166912-03</t>
        </is>
      </c>
      <c r="B64" s="26" t="inlineStr">
        <is>
          <t>Zenify Drinks</t>
        </is>
      </c>
      <c r="C64" s="27" t="inlineStr">
        <is>
          <t/>
        </is>
      </c>
      <c r="D64" s="28" t="inlineStr">
        <is>
          <t/>
        </is>
      </c>
      <c r="E64" s="29" t="inlineStr">
        <is>
          <t/>
        </is>
      </c>
      <c r="F64" s="30" t="inlineStr">
        <is>
          <t/>
        </is>
      </c>
      <c r="G64" s="31" t="inlineStr">
        <is>
          <t/>
        </is>
      </c>
      <c r="H64" s="32" t="inlineStr">
        <is>
          <t/>
        </is>
      </c>
      <c r="I64" s="33" t="inlineStr">
        <is>
          <t/>
        </is>
      </c>
      <c r="J64" s="34" t="inlineStr">
        <is>
          <t/>
        </is>
      </c>
      <c r="K64" s="35" t="inlineStr">
        <is>
          <t>Privately Held (backing)</t>
        </is>
      </c>
      <c r="L64" s="36" t="inlineStr">
        <is>
          <t>Angel-Backed</t>
        </is>
      </c>
      <c r="M64" s="37" t="inlineStr">
        <is>
          <t/>
        </is>
      </c>
      <c r="N64" s="38" t="inlineStr">
        <is>
          <t>Convertible Debt</t>
        </is>
      </c>
      <c r="O64" s="39" t="n">
        <v>0.4</v>
      </c>
      <c r="P64" s="102">
        <f>HYPERLINK("https://my.pitchbook.com?c=166912-03", "View company online")</f>
      </c>
    </row>
    <row r="65">
      <c r="A65" s="9" t="inlineStr">
        <is>
          <t>102914-38</t>
        </is>
      </c>
      <c r="B65" s="10" t="inlineStr">
        <is>
          <t>Zendure USA</t>
        </is>
      </c>
      <c r="C65" s="11" t="inlineStr">
        <is>
          <t/>
        </is>
      </c>
      <c r="D65" s="12" t="inlineStr">
        <is>
          <t/>
        </is>
      </c>
      <c r="E65" s="13" t="inlineStr">
        <is>
          <t/>
        </is>
      </c>
      <c r="F65" s="14" t="inlineStr">
        <is>
          <t/>
        </is>
      </c>
      <c r="G65" s="15" t="inlineStr">
        <is>
          <t/>
        </is>
      </c>
      <c r="H65" s="16" t="inlineStr">
        <is>
          <t/>
        </is>
      </c>
      <c r="I65" s="17" t="inlineStr">
        <is>
          <t/>
        </is>
      </c>
      <c r="J65" s="18" t="inlineStr">
        <is>
          <t/>
        </is>
      </c>
      <c r="K65" s="19" t="inlineStr">
        <is>
          <t>Privately Held (backing)</t>
        </is>
      </c>
      <c r="L65" s="20" t="inlineStr">
        <is>
          <t>Angel-Backed</t>
        </is>
      </c>
      <c r="M65" s="21" t="n">
        <v>41556.0</v>
      </c>
      <c r="N65" s="22" t="inlineStr">
        <is>
          <t>Product Crowdfunding</t>
        </is>
      </c>
      <c r="O65" s="23" t="n">
        <v>0.22</v>
      </c>
      <c r="P65" s="101">
        <f>HYPERLINK("https://my.pitchbook.com?c=102914-38", "View company online")</f>
      </c>
    </row>
    <row r="66">
      <c r="A66" s="25" t="inlineStr">
        <is>
          <t>104833-18</t>
        </is>
      </c>
      <c r="B66" s="26" t="inlineStr">
        <is>
          <t>ZenCX</t>
        </is>
      </c>
      <c r="C66" s="27" t="inlineStr">
        <is>
          <t/>
        </is>
      </c>
      <c r="D66" s="28" t="inlineStr">
        <is>
          <t/>
        </is>
      </c>
      <c r="E66" s="29" t="inlineStr">
        <is>
          <t/>
        </is>
      </c>
      <c r="F66" s="30" t="inlineStr">
        <is>
          <t/>
        </is>
      </c>
      <c r="G66" s="31" t="inlineStr">
        <is>
          <t/>
        </is>
      </c>
      <c r="H66" s="32" t="inlineStr">
        <is>
          <t/>
        </is>
      </c>
      <c r="I66" s="33" t="inlineStr">
        <is>
          <t/>
        </is>
      </c>
      <c r="J66" s="34" t="inlineStr">
        <is>
          <t/>
        </is>
      </c>
      <c r="K66" s="35" t="inlineStr">
        <is>
          <t>Privately Held (backing)</t>
        </is>
      </c>
      <c r="L66" s="36" t="inlineStr">
        <is>
          <t>Accelerator/Incubator Backed</t>
        </is>
      </c>
      <c r="M66" s="37" t="n">
        <v>41384.0</v>
      </c>
      <c r="N66" s="38" t="inlineStr">
        <is>
          <t>Accelerator/Incubator</t>
        </is>
      </c>
      <c r="O66" s="39" t="inlineStr">
        <is>
          <t/>
        </is>
      </c>
      <c r="P66" s="102">
        <f>HYPERLINK("https://my.pitchbook.com?c=104833-18", "View company online")</f>
      </c>
    </row>
    <row r="67">
      <c r="A67" s="9" t="inlineStr">
        <is>
          <t>121188-70</t>
        </is>
      </c>
      <c r="B67" s="10" t="inlineStr">
        <is>
          <t>Zen Monkey</t>
        </is>
      </c>
      <c r="C67" s="11" t="inlineStr">
        <is>
          <t/>
        </is>
      </c>
      <c r="D67" s="12" t="inlineStr">
        <is>
          <t/>
        </is>
      </c>
      <c r="E67" s="13" t="inlineStr">
        <is>
          <t/>
        </is>
      </c>
      <c r="F67" s="14" t="inlineStr">
        <is>
          <t/>
        </is>
      </c>
      <c r="G67" s="15" t="inlineStr">
        <is>
          <t/>
        </is>
      </c>
      <c r="H67" s="16" t="inlineStr">
        <is>
          <t/>
        </is>
      </c>
      <c r="I67" s="17" t="inlineStr">
        <is>
          <t/>
        </is>
      </c>
      <c r="J67" s="18" t="inlineStr">
        <is>
          <t/>
        </is>
      </c>
      <c r="K67" s="19" t="inlineStr">
        <is>
          <t>Privately Held (backing)</t>
        </is>
      </c>
      <c r="L67" s="20" t="inlineStr">
        <is>
          <t>Angel-Backed</t>
        </is>
      </c>
      <c r="M67" s="21" t="n">
        <v>42376.0</v>
      </c>
      <c r="N67" s="22" t="inlineStr">
        <is>
          <t>Angel (individual)</t>
        </is>
      </c>
      <c r="O67" s="23" t="n">
        <v>0.7</v>
      </c>
      <c r="P67" s="101">
        <f>HYPERLINK("https://my.pitchbook.com?c=121188-70", "View company online")</f>
      </c>
    </row>
    <row r="68">
      <c r="A68" s="25" t="inlineStr">
        <is>
          <t>66132-55</t>
        </is>
      </c>
      <c r="B68" s="26" t="inlineStr">
        <is>
          <t>Zen Health</t>
        </is>
      </c>
      <c r="C68" s="27" t="inlineStr">
        <is>
          <t/>
        </is>
      </c>
      <c r="D68" s="28" t="inlineStr">
        <is>
          <t/>
        </is>
      </c>
      <c r="E68" s="29" t="inlineStr">
        <is>
          <t/>
        </is>
      </c>
      <c r="F68" s="30" t="inlineStr">
        <is>
          <t/>
        </is>
      </c>
      <c r="G68" s="31" t="inlineStr">
        <is>
          <t/>
        </is>
      </c>
      <c r="H68" s="32" t="inlineStr">
        <is>
          <t/>
        </is>
      </c>
      <c r="I68" s="33" t="inlineStr">
        <is>
          <t/>
        </is>
      </c>
      <c r="J68" s="34" t="inlineStr">
        <is>
          <t/>
        </is>
      </c>
      <c r="K68" s="35" t="inlineStr">
        <is>
          <t>Privately Held (backing)</t>
        </is>
      </c>
      <c r="L68" s="36" t="inlineStr">
        <is>
          <t>Accelerator/Incubator Backed</t>
        </is>
      </c>
      <c r="M68" s="37" t="inlineStr">
        <is>
          <t/>
        </is>
      </c>
      <c r="N68" s="38" t="inlineStr">
        <is>
          <t>Seed Round</t>
        </is>
      </c>
      <c r="O68" s="39" t="inlineStr">
        <is>
          <t/>
        </is>
      </c>
      <c r="P68" s="102">
        <f>HYPERLINK("https://my.pitchbook.com?c=66132-55", "View company online")</f>
      </c>
    </row>
    <row r="69">
      <c r="A69" s="9" t="inlineStr">
        <is>
          <t>171812-44</t>
        </is>
      </c>
      <c r="B69" s="10" t="inlineStr">
        <is>
          <t>Zeen</t>
        </is>
      </c>
      <c r="C69" s="77">
        <f>HYPERLINK("https://my.pitchbook.com?rrp=171812-44&amp;type=c", "This Company's information is not available to download. Need this Company? Request availability")</f>
      </c>
      <c r="D69" s="12" t="inlineStr">
        <is>
          <t/>
        </is>
      </c>
      <c r="E69" s="13" t="inlineStr">
        <is>
          <t/>
        </is>
      </c>
      <c r="F69" s="14" t="inlineStr">
        <is>
          <t/>
        </is>
      </c>
      <c r="G69" s="15" t="inlineStr">
        <is>
          <t/>
        </is>
      </c>
      <c r="H69" s="16" t="inlineStr">
        <is>
          <t/>
        </is>
      </c>
      <c r="I69" s="17" t="inlineStr">
        <is>
          <t/>
        </is>
      </c>
      <c r="J69" s="18" t="inlineStr">
        <is>
          <t/>
        </is>
      </c>
      <c r="K69" s="19" t="inlineStr">
        <is>
          <t/>
        </is>
      </c>
      <c r="L69" s="20" t="inlineStr">
        <is>
          <t/>
        </is>
      </c>
      <c r="M69" s="21" t="inlineStr">
        <is>
          <t/>
        </is>
      </c>
      <c r="N69" s="22" t="inlineStr">
        <is>
          <t/>
        </is>
      </c>
      <c r="O69" s="23" t="inlineStr">
        <is>
          <t/>
        </is>
      </c>
      <c r="P69" s="24" t="inlineStr">
        <is>
          <t/>
        </is>
      </c>
    </row>
    <row r="70">
      <c r="A70" s="25" t="inlineStr">
        <is>
          <t>119616-94</t>
        </is>
      </c>
      <c r="B70" s="26" t="inlineStr">
        <is>
          <t>Zee.Aero</t>
        </is>
      </c>
      <c r="C70" s="27" t="inlineStr">
        <is>
          <t/>
        </is>
      </c>
      <c r="D70" s="28" t="inlineStr">
        <is>
          <t/>
        </is>
      </c>
      <c r="E70" s="29" t="inlineStr">
        <is>
          <t/>
        </is>
      </c>
      <c r="F70" s="30" t="inlineStr">
        <is>
          <t/>
        </is>
      </c>
      <c r="G70" s="31" t="inlineStr">
        <is>
          <t/>
        </is>
      </c>
      <c r="H70" s="32" t="inlineStr">
        <is>
          <t/>
        </is>
      </c>
      <c r="I70" s="33" t="inlineStr">
        <is>
          <t/>
        </is>
      </c>
      <c r="J70" s="34" t="inlineStr">
        <is>
          <t/>
        </is>
      </c>
      <c r="K70" s="35" t="inlineStr">
        <is>
          <t>Privately Held (backing)</t>
        </is>
      </c>
      <c r="L70" s="36" t="inlineStr">
        <is>
          <t>Angel-Backed</t>
        </is>
      </c>
      <c r="M70" s="37" t="inlineStr">
        <is>
          <t/>
        </is>
      </c>
      <c r="N70" s="38" t="inlineStr">
        <is>
          <t>Angel (individual)</t>
        </is>
      </c>
      <c r="O70" s="39" t="n">
        <v>100.0</v>
      </c>
      <c r="P70" s="102">
        <f>HYPERLINK("https://my.pitchbook.com?c=119616-94", "View company online")</f>
      </c>
    </row>
    <row r="71">
      <c r="A71" s="9" t="inlineStr">
        <is>
          <t>117246-07</t>
        </is>
      </c>
      <c r="B71" s="10" t="inlineStr">
        <is>
          <t>Zealr</t>
        </is>
      </c>
      <c r="C71" s="11" t="inlineStr">
        <is>
          <t/>
        </is>
      </c>
      <c r="D71" s="12" t="inlineStr">
        <is>
          <t/>
        </is>
      </c>
      <c r="E71" s="13" t="inlineStr">
        <is>
          <t/>
        </is>
      </c>
      <c r="F71" s="14" t="inlineStr">
        <is>
          <t/>
        </is>
      </c>
      <c r="G71" s="15" t="inlineStr">
        <is>
          <t/>
        </is>
      </c>
      <c r="H71" s="16" t="inlineStr">
        <is>
          <t/>
        </is>
      </c>
      <c r="I71" s="17" t="inlineStr">
        <is>
          <t/>
        </is>
      </c>
      <c r="J71" s="18" t="inlineStr">
        <is>
          <t/>
        </is>
      </c>
      <c r="K71" s="19" t="inlineStr">
        <is>
          <t>Privately Held (backing)</t>
        </is>
      </c>
      <c r="L71" s="20" t="inlineStr">
        <is>
          <t>Angel-Backed</t>
        </is>
      </c>
      <c r="M71" s="21" t="inlineStr">
        <is>
          <t/>
        </is>
      </c>
      <c r="N71" s="22" t="inlineStr">
        <is>
          <t>Seed Round</t>
        </is>
      </c>
      <c r="O71" s="23" t="n">
        <v>3.0</v>
      </c>
      <c r="P71" s="101">
        <f>HYPERLINK("https://my.pitchbook.com?c=117246-07", "View company online")</f>
      </c>
    </row>
    <row r="72">
      <c r="A72" s="25" t="inlineStr">
        <is>
          <t>62260-48</t>
        </is>
      </c>
      <c r="B72" s="26" t="inlineStr">
        <is>
          <t>ZappyLab</t>
        </is>
      </c>
      <c r="C72" s="27" t="inlineStr">
        <is>
          <t/>
        </is>
      </c>
      <c r="D72" s="28" t="inlineStr">
        <is>
          <t/>
        </is>
      </c>
      <c r="E72" s="29" t="inlineStr">
        <is>
          <t/>
        </is>
      </c>
      <c r="F72" s="30" t="inlineStr">
        <is>
          <t/>
        </is>
      </c>
      <c r="G72" s="31" t="inlineStr">
        <is>
          <t/>
        </is>
      </c>
      <c r="H72" s="32" t="inlineStr">
        <is>
          <t/>
        </is>
      </c>
      <c r="I72" s="33" t="inlineStr">
        <is>
          <t/>
        </is>
      </c>
      <c r="J72" s="34" t="inlineStr">
        <is>
          <t/>
        </is>
      </c>
      <c r="K72" s="35" t="inlineStr">
        <is>
          <t>Privately Held (backing)</t>
        </is>
      </c>
      <c r="L72" s="36" t="inlineStr">
        <is>
          <t>Accelerator/Incubator Backed</t>
        </is>
      </c>
      <c r="M72" s="37" t="n">
        <v>42550.0</v>
      </c>
      <c r="N72" s="38" t="inlineStr">
        <is>
          <t>Convertible Debt</t>
        </is>
      </c>
      <c r="O72" s="39" t="n">
        <v>0.03</v>
      </c>
      <c r="P72" s="102">
        <f>HYPERLINK("https://my.pitchbook.com?c=62260-48", "View company online")</f>
      </c>
    </row>
    <row r="73">
      <c r="A73" s="9" t="inlineStr">
        <is>
          <t>104304-52</t>
        </is>
      </c>
      <c r="B73" s="10" t="inlineStr">
        <is>
          <t>ZapChain</t>
        </is>
      </c>
      <c r="C73" s="11" t="inlineStr">
        <is>
          <t/>
        </is>
      </c>
      <c r="D73" s="12" t="inlineStr">
        <is>
          <t/>
        </is>
      </c>
      <c r="E73" s="13" t="inlineStr">
        <is>
          <t/>
        </is>
      </c>
      <c r="F73" s="14" t="inlineStr">
        <is>
          <t/>
        </is>
      </c>
      <c r="G73" s="15" t="inlineStr">
        <is>
          <t/>
        </is>
      </c>
      <c r="H73" s="16" t="inlineStr">
        <is>
          <t/>
        </is>
      </c>
      <c r="I73" s="17" t="inlineStr">
        <is>
          <t/>
        </is>
      </c>
      <c r="J73" s="18" t="inlineStr">
        <is>
          <t/>
        </is>
      </c>
      <c r="K73" s="19" t="inlineStr">
        <is>
          <t>Privately Held (backing)</t>
        </is>
      </c>
      <c r="L73" s="20" t="inlineStr">
        <is>
          <t>Angel-Backed</t>
        </is>
      </c>
      <c r="M73" s="21" t="n">
        <v>42314.0</v>
      </c>
      <c r="N73" s="22" t="inlineStr">
        <is>
          <t>Seed Round</t>
        </is>
      </c>
      <c r="O73" s="23" t="n">
        <v>0.35</v>
      </c>
      <c r="P73" s="101">
        <f>HYPERLINK("https://my.pitchbook.com?c=104304-52", "View company online")</f>
      </c>
    </row>
    <row r="74">
      <c r="A74" s="25" t="inlineStr">
        <is>
          <t>99049-51</t>
        </is>
      </c>
      <c r="B74" s="26" t="inlineStr">
        <is>
          <t>Zambig</t>
        </is>
      </c>
      <c r="C74" s="27" t="inlineStr">
        <is>
          <t/>
        </is>
      </c>
      <c r="D74" s="28" t="inlineStr">
        <is>
          <t/>
        </is>
      </c>
      <c r="E74" s="29" t="inlineStr">
        <is>
          <t/>
        </is>
      </c>
      <c r="F74" s="30" t="inlineStr">
        <is>
          <t/>
        </is>
      </c>
      <c r="G74" s="31" t="inlineStr">
        <is>
          <t/>
        </is>
      </c>
      <c r="H74" s="32" t="inlineStr">
        <is>
          <t/>
        </is>
      </c>
      <c r="I74" s="33" t="inlineStr">
        <is>
          <t/>
        </is>
      </c>
      <c r="J74" s="34" t="inlineStr">
        <is>
          <t/>
        </is>
      </c>
      <c r="K74" s="35" t="inlineStr">
        <is>
          <t>Privately Held (backing)</t>
        </is>
      </c>
      <c r="L74" s="36" t="inlineStr">
        <is>
          <t>Accelerator/Incubator Backed</t>
        </is>
      </c>
      <c r="M74" s="37" t="n">
        <v>41225.0</v>
      </c>
      <c r="N74" s="38" t="inlineStr">
        <is>
          <t>Angel (individual)</t>
        </is>
      </c>
      <c r="O74" s="39" t="n">
        <v>0.1</v>
      </c>
      <c r="P74" s="102">
        <f>HYPERLINK("https://my.pitchbook.com?c=99049-51", "View company online")</f>
      </c>
    </row>
    <row r="75">
      <c r="A75" s="9" t="inlineStr">
        <is>
          <t>113593-87</t>
        </is>
      </c>
      <c r="B75" s="10" t="inlineStr">
        <is>
          <t>Zaka</t>
        </is>
      </c>
      <c r="C75" s="77">
        <f>HYPERLINK("https://my.pitchbook.com?rrp=113593-87&amp;type=c", "This Company's information is not available to download. Need this Company? Request availability")</f>
      </c>
      <c r="D75" s="12" t="inlineStr">
        <is>
          <t/>
        </is>
      </c>
      <c r="E75" s="13" t="inlineStr">
        <is>
          <t/>
        </is>
      </c>
      <c r="F75" s="14" t="inlineStr">
        <is>
          <t/>
        </is>
      </c>
      <c r="G75" s="15" t="inlineStr">
        <is>
          <t/>
        </is>
      </c>
      <c r="H75" s="16" t="inlineStr">
        <is>
          <t/>
        </is>
      </c>
      <c r="I75" s="17" t="inlineStr">
        <is>
          <t/>
        </is>
      </c>
      <c r="J75" s="18" t="inlineStr">
        <is>
          <t/>
        </is>
      </c>
      <c r="K75" s="19" t="inlineStr">
        <is>
          <t/>
        </is>
      </c>
      <c r="L75" s="20" t="inlineStr">
        <is>
          <t/>
        </is>
      </c>
      <c r="M75" s="21" t="inlineStr">
        <is>
          <t/>
        </is>
      </c>
      <c r="N75" s="22" t="inlineStr">
        <is>
          <t/>
        </is>
      </c>
      <c r="O75" s="23" t="inlineStr">
        <is>
          <t/>
        </is>
      </c>
      <c r="P75" s="24" t="inlineStr">
        <is>
          <t/>
        </is>
      </c>
    </row>
    <row r="76">
      <c r="A76" s="25" t="inlineStr">
        <is>
          <t>103839-94</t>
        </is>
      </c>
      <c r="B76" s="26" t="inlineStr">
        <is>
          <t>Zackees</t>
        </is>
      </c>
      <c r="C76" s="27" t="inlineStr">
        <is>
          <t/>
        </is>
      </c>
      <c r="D76" s="28" t="inlineStr">
        <is>
          <t/>
        </is>
      </c>
      <c r="E76" s="29" t="inlineStr">
        <is>
          <t/>
        </is>
      </c>
      <c r="F76" s="30" t="inlineStr">
        <is>
          <t/>
        </is>
      </c>
      <c r="G76" s="31" t="inlineStr">
        <is>
          <t/>
        </is>
      </c>
      <c r="H76" s="32" t="inlineStr">
        <is>
          <t/>
        </is>
      </c>
      <c r="I76" s="33" t="inlineStr">
        <is>
          <t/>
        </is>
      </c>
      <c r="J76" s="34" t="inlineStr">
        <is>
          <t/>
        </is>
      </c>
      <c r="K76" s="35" t="inlineStr">
        <is>
          <t>Privately Held (backing)</t>
        </is>
      </c>
      <c r="L76" s="36" t="inlineStr">
        <is>
          <t>Angel-Backed</t>
        </is>
      </c>
      <c r="M76" s="37" t="n">
        <v>42165.0</v>
      </c>
      <c r="N76" s="38" t="inlineStr">
        <is>
          <t>Product Crowdfunding</t>
        </is>
      </c>
      <c r="O76" s="39" t="n">
        <v>0.07</v>
      </c>
      <c r="P76" s="102">
        <f>HYPERLINK("https://my.pitchbook.com?c=103839-94", "View company online")</f>
      </c>
    </row>
    <row r="77">
      <c r="A77" s="9" t="inlineStr">
        <is>
          <t>172657-90</t>
        </is>
      </c>
      <c r="B77" s="10" t="inlineStr">
        <is>
          <t>Zaap</t>
        </is>
      </c>
      <c r="C77" s="77">
        <f>HYPERLINK("https://my.pitchbook.com?rrp=172657-90&amp;type=c", "This Company's information is not available to download. Need this Company? Request availability")</f>
      </c>
      <c r="D77" s="12" t="inlineStr">
        <is>
          <t/>
        </is>
      </c>
      <c r="E77" s="13" t="inlineStr">
        <is>
          <t/>
        </is>
      </c>
      <c r="F77" s="14" t="inlineStr">
        <is>
          <t/>
        </is>
      </c>
      <c r="G77" s="15" t="inlineStr">
        <is>
          <t/>
        </is>
      </c>
      <c r="H77" s="16" t="inlineStr">
        <is>
          <t/>
        </is>
      </c>
      <c r="I77" s="17" t="inlineStr">
        <is>
          <t/>
        </is>
      </c>
      <c r="J77" s="18" t="inlineStr">
        <is>
          <t/>
        </is>
      </c>
      <c r="K77" s="19" t="inlineStr">
        <is>
          <t/>
        </is>
      </c>
      <c r="L77" s="20" t="inlineStr">
        <is>
          <t/>
        </is>
      </c>
      <c r="M77" s="21" t="inlineStr">
        <is>
          <t/>
        </is>
      </c>
      <c r="N77" s="22" t="inlineStr">
        <is>
          <t/>
        </is>
      </c>
      <c r="O77" s="23" t="inlineStr">
        <is>
          <t/>
        </is>
      </c>
      <c r="P77" s="24" t="inlineStr">
        <is>
          <t/>
        </is>
      </c>
    </row>
    <row r="78">
      <c r="A78" s="25" t="inlineStr">
        <is>
          <t>181826-74</t>
        </is>
      </c>
      <c r="B78" s="26" t="inlineStr">
        <is>
          <t>Z Grills</t>
        </is>
      </c>
      <c r="C78" s="27" t="inlineStr">
        <is>
          <t/>
        </is>
      </c>
      <c r="D78" s="28" t="inlineStr">
        <is>
          <t/>
        </is>
      </c>
      <c r="E78" s="29" t="inlineStr">
        <is>
          <t/>
        </is>
      </c>
      <c r="F78" s="30" t="inlineStr">
        <is>
          <t/>
        </is>
      </c>
      <c r="G78" s="31" t="inlineStr">
        <is>
          <t/>
        </is>
      </c>
      <c r="H78" s="32" t="inlineStr">
        <is>
          <t/>
        </is>
      </c>
      <c r="I78" s="33" t="inlineStr">
        <is>
          <t/>
        </is>
      </c>
      <c r="J78" s="34" t="inlineStr">
        <is>
          <t/>
        </is>
      </c>
      <c r="K78" s="35" t="inlineStr">
        <is>
          <t>Privately Held (backing)</t>
        </is>
      </c>
      <c r="L78" s="36" t="inlineStr">
        <is>
          <t>Angel-Backed</t>
        </is>
      </c>
      <c r="M78" s="37" t="n">
        <v>42874.0</v>
      </c>
      <c r="N78" s="38" t="inlineStr">
        <is>
          <t>Product Crowdfunding</t>
        </is>
      </c>
      <c r="O78" s="39" t="n">
        <v>0.4</v>
      </c>
      <c r="P78" s="102">
        <f>HYPERLINK("https://my.pitchbook.com?c=181826-74", "View company online")</f>
      </c>
    </row>
    <row r="79">
      <c r="A79" s="9" t="inlineStr">
        <is>
          <t>157750-48</t>
        </is>
      </c>
      <c r="B79" s="10" t="inlineStr">
        <is>
          <t>Yurpal</t>
        </is>
      </c>
      <c r="C79" s="11" t="inlineStr">
        <is>
          <t/>
        </is>
      </c>
      <c r="D79" s="12" t="inlineStr">
        <is>
          <t/>
        </is>
      </c>
      <c r="E79" s="13" t="inlineStr">
        <is>
          <t/>
        </is>
      </c>
      <c r="F79" s="14" t="inlineStr">
        <is>
          <t/>
        </is>
      </c>
      <c r="G79" s="15" t="inlineStr">
        <is>
          <t/>
        </is>
      </c>
      <c r="H79" s="16" t="inlineStr">
        <is>
          <t/>
        </is>
      </c>
      <c r="I79" s="17" t="inlineStr">
        <is>
          <t/>
        </is>
      </c>
      <c r="J79" s="18" t="inlineStr">
        <is>
          <t/>
        </is>
      </c>
      <c r="K79" s="19" t="inlineStr">
        <is>
          <t>Privately Held (backing)</t>
        </is>
      </c>
      <c r="L79" s="20" t="inlineStr">
        <is>
          <t>Angel-Backed</t>
        </is>
      </c>
      <c r="M79" s="21" t="n">
        <v>42481.0</v>
      </c>
      <c r="N79" s="22" t="inlineStr">
        <is>
          <t>Angel (individual)</t>
        </is>
      </c>
      <c r="O79" s="23" t="n">
        <v>0.09</v>
      </c>
      <c r="P79" s="101">
        <f>HYPERLINK("https://my.pitchbook.com?c=157750-48", "View company online")</f>
      </c>
    </row>
    <row r="80">
      <c r="A80" s="25" t="inlineStr">
        <is>
          <t>103839-40</t>
        </is>
      </c>
      <c r="B80" s="26" t="inlineStr">
        <is>
          <t>YummyYummyTummy</t>
        </is>
      </c>
      <c r="C80" s="27" t="inlineStr">
        <is>
          <t/>
        </is>
      </c>
      <c r="D80" s="28" t="inlineStr">
        <is>
          <t/>
        </is>
      </c>
      <c r="E80" s="29" t="inlineStr">
        <is>
          <t/>
        </is>
      </c>
      <c r="F80" s="30" t="inlineStr">
        <is>
          <t/>
        </is>
      </c>
      <c r="G80" s="31" t="inlineStr">
        <is>
          <t/>
        </is>
      </c>
      <c r="H80" s="32" t="inlineStr">
        <is>
          <t/>
        </is>
      </c>
      <c r="I80" s="33" t="inlineStr">
        <is>
          <t/>
        </is>
      </c>
      <c r="J80" s="34" t="inlineStr">
        <is>
          <t/>
        </is>
      </c>
      <c r="K80" s="35" t="inlineStr">
        <is>
          <t>Privately Held (backing)</t>
        </is>
      </c>
      <c r="L80" s="36" t="inlineStr">
        <is>
          <t>Accelerator/Incubator Backed</t>
        </is>
      </c>
      <c r="M80" s="37" t="n">
        <v>41591.0</v>
      </c>
      <c r="N80" s="38" t="inlineStr">
        <is>
          <t>Angel (individual)</t>
        </is>
      </c>
      <c r="O80" s="39" t="inlineStr">
        <is>
          <t/>
        </is>
      </c>
      <c r="P80" s="102">
        <f>HYPERLINK("https://my.pitchbook.com?c=103839-40", "View company online")</f>
      </c>
    </row>
    <row r="81">
      <c r="A81" s="9" t="inlineStr">
        <is>
          <t>103839-22</t>
        </is>
      </c>
      <c r="B81" s="10" t="inlineStr">
        <is>
          <t>Yumber</t>
        </is>
      </c>
      <c r="C81" s="11" t="inlineStr">
        <is>
          <t/>
        </is>
      </c>
      <c r="D81" s="12" t="inlineStr">
        <is>
          <t/>
        </is>
      </c>
      <c r="E81" s="13" t="inlineStr">
        <is>
          <t/>
        </is>
      </c>
      <c r="F81" s="14" t="inlineStr">
        <is>
          <t/>
        </is>
      </c>
      <c r="G81" s="15" t="inlineStr">
        <is>
          <t/>
        </is>
      </c>
      <c r="H81" s="16" t="inlineStr">
        <is>
          <t/>
        </is>
      </c>
      <c r="I81" s="17" t="inlineStr">
        <is>
          <t/>
        </is>
      </c>
      <c r="J81" s="18" t="inlineStr">
        <is>
          <t/>
        </is>
      </c>
      <c r="K81" s="19" t="inlineStr">
        <is>
          <t>Privately Held (backing)</t>
        </is>
      </c>
      <c r="L81" s="20" t="inlineStr">
        <is>
          <t>Angel-Backed</t>
        </is>
      </c>
      <c r="M81" s="21" t="n">
        <v>41000.0</v>
      </c>
      <c r="N81" s="22" t="inlineStr">
        <is>
          <t>Seed Round</t>
        </is>
      </c>
      <c r="O81" s="23" t="n">
        <v>0.16</v>
      </c>
      <c r="P81" s="101">
        <f>HYPERLINK("https://my.pitchbook.com?c=103839-22", "View company online")</f>
      </c>
    </row>
    <row r="82">
      <c r="A82" s="25" t="inlineStr">
        <is>
          <t>150436-18</t>
        </is>
      </c>
      <c r="B82" s="26" t="inlineStr">
        <is>
          <t>Yuktha Entertainment Services</t>
        </is>
      </c>
      <c r="C82" s="27" t="inlineStr">
        <is>
          <t/>
        </is>
      </c>
      <c r="D82" s="28" t="inlineStr">
        <is>
          <t/>
        </is>
      </c>
      <c r="E82" s="29" t="inlineStr">
        <is>
          <t/>
        </is>
      </c>
      <c r="F82" s="30" t="inlineStr">
        <is>
          <t/>
        </is>
      </c>
      <c r="G82" s="31" t="inlineStr">
        <is>
          <t/>
        </is>
      </c>
      <c r="H82" s="32" t="inlineStr">
        <is>
          <t/>
        </is>
      </c>
      <c r="I82" s="33" t="inlineStr">
        <is>
          <t/>
        </is>
      </c>
      <c r="J82" s="34" t="inlineStr">
        <is>
          <t/>
        </is>
      </c>
      <c r="K82" s="35" t="inlineStr">
        <is>
          <t>Privately Held (backing)</t>
        </is>
      </c>
      <c r="L82" s="36" t="inlineStr">
        <is>
          <t>Angel-Backed</t>
        </is>
      </c>
      <c r="M82" s="37" t="n">
        <v>42005.0</v>
      </c>
      <c r="N82" s="38" t="inlineStr">
        <is>
          <t>Seed Round</t>
        </is>
      </c>
      <c r="O82" s="39" t="n">
        <v>0.08</v>
      </c>
      <c r="P82" s="102">
        <f>HYPERLINK("https://my.pitchbook.com?c=150436-18", "View company online")</f>
      </c>
    </row>
    <row r="83">
      <c r="A83" s="9" t="inlineStr">
        <is>
          <t>168071-86</t>
        </is>
      </c>
      <c r="B83" s="10" t="inlineStr">
        <is>
          <t>YouSpace</t>
        </is>
      </c>
      <c r="C83" s="11" t="inlineStr">
        <is>
          <t/>
        </is>
      </c>
      <c r="D83" s="12" t="inlineStr">
        <is>
          <t/>
        </is>
      </c>
      <c r="E83" s="13" t="inlineStr">
        <is>
          <t/>
        </is>
      </c>
      <c r="F83" s="14" t="inlineStr">
        <is>
          <t/>
        </is>
      </c>
      <c r="G83" s="15" t="inlineStr">
        <is>
          <t/>
        </is>
      </c>
      <c r="H83" s="16" t="inlineStr">
        <is>
          <t/>
        </is>
      </c>
      <c r="I83" s="17" t="inlineStr">
        <is>
          <t/>
        </is>
      </c>
      <c r="J83" s="18" t="inlineStr">
        <is>
          <t/>
        </is>
      </c>
      <c r="K83" s="19" t="inlineStr">
        <is>
          <t>Privately Held (backing)</t>
        </is>
      </c>
      <c r="L83" s="20" t="inlineStr">
        <is>
          <t>Angel-Backed</t>
        </is>
      </c>
      <c r="M83" s="21" t="n">
        <v>42520.0</v>
      </c>
      <c r="N83" s="22" t="inlineStr">
        <is>
          <t>Angel (individual)</t>
        </is>
      </c>
      <c r="O83" s="23" t="n">
        <v>6.0</v>
      </c>
      <c r="P83" s="101">
        <f>HYPERLINK("https://my.pitchbook.com?c=168071-86", "View company online")</f>
      </c>
    </row>
    <row r="84">
      <c r="A84" s="25" t="inlineStr">
        <is>
          <t>55422-82</t>
        </is>
      </c>
      <c r="B84" s="26" t="inlineStr">
        <is>
          <t>YourSports</t>
        </is>
      </c>
      <c r="C84" s="27" t="inlineStr">
        <is>
          <t/>
        </is>
      </c>
      <c r="D84" s="28" t="inlineStr">
        <is>
          <t/>
        </is>
      </c>
      <c r="E84" s="29" t="inlineStr">
        <is>
          <t/>
        </is>
      </c>
      <c r="F84" s="30" t="inlineStr">
        <is>
          <t/>
        </is>
      </c>
      <c r="G84" s="31" t="inlineStr">
        <is>
          <t/>
        </is>
      </c>
      <c r="H84" s="32" t="inlineStr">
        <is>
          <t/>
        </is>
      </c>
      <c r="I84" s="33" t="inlineStr">
        <is>
          <t/>
        </is>
      </c>
      <c r="J84" s="34" t="inlineStr">
        <is>
          <t/>
        </is>
      </c>
      <c r="K84" s="35" t="inlineStr">
        <is>
          <t>Privately Held (backing)</t>
        </is>
      </c>
      <c r="L84" s="36" t="inlineStr">
        <is>
          <t>Angel-Backed</t>
        </is>
      </c>
      <c r="M84" s="37" t="n">
        <v>42305.0</v>
      </c>
      <c r="N84" s="38" t="inlineStr">
        <is>
          <t>Angel (individual)</t>
        </is>
      </c>
      <c r="O84" s="39" t="n">
        <v>2.0</v>
      </c>
      <c r="P84" s="102">
        <f>HYPERLINK("https://my.pitchbook.com?c=55422-82", "View company online")</f>
      </c>
    </row>
    <row r="85">
      <c r="A85" s="9" t="inlineStr">
        <is>
          <t>103718-53</t>
        </is>
      </c>
      <c r="B85" s="10" t="inlineStr">
        <is>
          <t>Yoursphere Media</t>
        </is>
      </c>
      <c r="C85" s="11" t="inlineStr">
        <is>
          <t/>
        </is>
      </c>
      <c r="D85" s="12" t="inlineStr">
        <is>
          <t/>
        </is>
      </c>
      <c r="E85" s="13" t="inlineStr">
        <is>
          <t/>
        </is>
      </c>
      <c r="F85" s="14" t="inlineStr">
        <is>
          <t/>
        </is>
      </c>
      <c r="G85" s="15" t="inlineStr">
        <is>
          <t/>
        </is>
      </c>
      <c r="H85" s="16" t="inlineStr">
        <is>
          <t/>
        </is>
      </c>
      <c r="I85" s="17" t="inlineStr">
        <is>
          <t/>
        </is>
      </c>
      <c r="J85" s="18" t="inlineStr">
        <is>
          <t/>
        </is>
      </c>
      <c r="K85" s="19" t="inlineStr">
        <is>
          <t>Privately Held (backing)</t>
        </is>
      </c>
      <c r="L85" s="20" t="inlineStr">
        <is>
          <t>Angel-Backed</t>
        </is>
      </c>
      <c r="M85" s="21" t="n">
        <v>40792.0</v>
      </c>
      <c r="N85" s="22" t="inlineStr">
        <is>
          <t>Angel (individual)</t>
        </is>
      </c>
      <c r="O85" s="23" t="n">
        <v>1.5</v>
      </c>
      <c r="P85" s="101">
        <f>HYPERLINK("https://my.pitchbook.com?c=103718-53", "View company online")</f>
      </c>
    </row>
    <row r="86">
      <c r="A86" s="25" t="inlineStr">
        <is>
          <t>168270-13</t>
        </is>
      </c>
      <c r="B86" s="26" t="inlineStr">
        <is>
          <t>Yours Network</t>
        </is>
      </c>
      <c r="C86" s="27" t="inlineStr">
        <is>
          <t/>
        </is>
      </c>
      <c r="D86" s="28" t="inlineStr">
        <is>
          <t/>
        </is>
      </c>
      <c r="E86" s="29" t="inlineStr">
        <is>
          <t/>
        </is>
      </c>
      <c r="F86" s="30" t="inlineStr">
        <is>
          <t/>
        </is>
      </c>
      <c r="G86" s="31" t="inlineStr">
        <is>
          <t/>
        </is>
      </c>
      <c r="H86" s="32" t="inlineStr">
        <is>
          <t/>
        </is>
      </c>
      <c r="I86" s="33" t="inlineStr">
        <is>
          <t/>
        </is>
      </c>
      <c r="J86" s="34" t="inlineStr">
        <is>
          <t/>
        </is>
      </c>
      <c r="K86" s="35" t="inlineStr">
        <is>
          <t>Privately Held (backing)</t>
        </is>
      </c>
      <c r="L86" s="36" t="inlineStr">
        <is>
          <t>Angel-Backed</t>
        </is>
      </c>
      <c r="M86" s="37" t="n">
        <v>42691.0</v>
      </c>
      <c r="N86" s="38" t="inlineStr">
        <is>
          <t>Angel (individual)</t>
        </is>
      </c>
      <c r="O86" s="39" t="n">
        <v>0.18</v>
      </c>
      <c r="P86" s="102">
        <f>HYPERLINK("https://my.pitchbook.com?c=168270-13", "View company online")</f>
      </c>
    </row>
    <row r="87">
      <c r="A87" s="9" t="inlineStr">
        <is>
          <t>103837-60</t>
        </is>
      </c>
      <c r="B87" s="10" t="inlineStr">
        <is>
          <t>YourListen.com</t>
        </is>
      </c>
      <c r="C87" s="11" t="inlineStr">
        <is>
          <t/>
        </is>
      </c>
      <c r="D87" s="12" t="inlineStr">
        <is>
          <t/>
        </is>
      </c>
      <c r="E87" s="13" t="inlineStr">
        <is>
          <t/>
        </is>
      </c>
      <c r="F87" s="14" t="inlineStr">
        <is>
          <t/>
        </is>
      </c>
      <c r="G87" s="15" t="inlineStr">
        <is>
          <t/>
        </is>
      </c>
      <c r="H87" s="16" t="inlineStr">
        <is>
          <t/>
        </is>
      </c>
      <c r="I87" s="17" t="inlineStr">
        <is>
          <t/>
        </is>
      </c>
      <c r="J87" s="18" t="inlineStr">
        <is>
          <t/>
        </is>
      </c>
      <c r="K87" s="19" t="inlineStr">
        <is>
          <t>Privately Held (backing)</t>
        </is>
      </c>
      <c r="L87" s="20" t="inlineStr">
        <is>
          <t>Accelerator/Incubator Backed</t>
        </is>
      </c>
      <c r="M87" s="21" t="n">
        <v>41161.0</v>
      </c>
      <c r="N87" s="22" t="inlineStr">
        <is>
          <t>Accelerator/Incubator</t>
        </is>
      </c>
      <c r="O87" s="23" t="n">
        <v>0.01</v>
      </c>
      <c r="P87" s="101">
        <f>HYPERLINK("https://my.pitchbook.com?c=103837-60", "View company online")</f>
      </c>
    </row>
    <row r="88">
      <c r="A88" s="25" t="inlineStr">
        <is>
          <t>103135-42</t>
        </is>
      </c>
      <c r="B88" s="26" t="inlineStr">
        <is>
          <t>Your Truman Show</t>
        </is>
      </c>
      <c r="C88" s="27" t="inlineStr">
        <is>
          <t/>
        </is>
      </c>
      <c r="D88" s="28" t="inlineStr">
        <is>
          <t/>
        </is>
      </c>
      <c r="E88" s="29" t="inlineStr">
        <is>
          <t/>
        </is>
      </c>
      <c r="F88" s="30" t="inlineStr">
        <is>
          <t/>
        </is>
      </c>
      <c r="G88" s="31" t="inlineStr">
        <is>
          <t/>
        </is>
      </c>
      <c r="H88" s="32" t="inlineStr">
        <is>
          <t/>
        </is>
      </c>
      <c r="I88" s="33" t="inlineStr">
        <is>
          <t/>
        </is>
      </c>
      <c r="J88" s="34" t="inlineStr">
        <is>
          <t/>
        </is>
      </c>
      <c r="K88" s="35" t="inlineStr">
        <is>
          <t>Privately Held (backing)</t>
        </is>
      </c>
      <c r="L88" s="36" t="inlineStr">
        <is>
          <t>Angel-Backed</t>
        </is>
      </c>
      <c r="M88" s="37" t="n">
        <v>39052.0</v>
      </c>
      <c r="N88" s="38" t="inlineStr">
        <is>
          <t>Seed Round</t>
        </is>
      </c>
      <c r="O88" s="39" t="n">
        <v>1.3</v>
      </c>
      <c r="P88" s="102">
        <f>HYPERLINK("https://my.pitchbook.com?c=103135-42", "View company online")</f>
      </c>
    </row>
    <row r="89">
      <c r="A89" s="9" t="inlineStr">
        <is>
          <t>103806-46</t>
        </is>
      </c>
      <c r="B89" s="10" t="inlineStr">
        <is>
          <t>YOUnite</t>
        </is>
      </c>
      <c r="C89" s="11" t="inlineStr">
        <is>
          <t/>
        </is>
      </c>
      <c r="D89" s="12" t="inlineStr">
        <is>
          <t/>
        </is>
      </c>
      <c r="E89" s="13" t="inlineStr">
        <is>
          <t/>
        </is>
      </c>
      <c r="F89" s="14" t="inlineStr">
        <is>
          <t/>
        </is>
      </c>
      <c r="G89" s="15" t="inlineStr">
        <is>
          <t/>
        </is>
      </c>
      <c r="H89" s="16" t="inlineStr">
        <is>
          <t/>
        </is>
      </c>
      <c r="I89" s="17" t="inlineStr">
        <is>
          <t/>
        </is>
      </c>
      <c r="J89" s="18" t="inlineStr">
        <is>
          <t/>
        </is>
      </c>
      <c r="K89" s="19" t="inlineStr">
        <is>
          <t>Privately Held (backing)</t>
        </is>
      </c>
      <c r="L89" s="20" t="inlineStr">
        <is>
          <t>Angel-Backed</t>
        </is>
      </c>
      <c r="M89" s="21" t="n">
        <v>39022.0</v>
      </c>
      <c r="N89" s="22" t="inlineStr">
        <is>
          <t>Seed Round</t>
        </is>
      </c>
      <c r="O89" s="23" t="n">
        <v>1.3</v>
      </c>
      <c r="P89" s="101">
        <f>HYPERLINK("https://my.pitchbook.com?c=103806-46", "View company online")</f>
      </c>
    </row>
    <row r="90">
      <c r="A90" s="25" t="inlineStr">
        <is>
          <t>170869-15</t>
        </is>
      </c>
      <c r="B90" s="26" t="inlineStr">
        <is>
          <t>YouFood</t>
        </is>
      </c>
      <c r="C90" s="27" t="inlineStr">
        <is>
          <t/>
        </is>
      </c>
      <c r="D90" s="28" t="inlineStr">
        <is>
          <t/>
        </is>
      </c>
      <c r="E90" s="29" t="inlineStr">
        <is>
          <t/>
        </is>
      </c>
      <c r="F90" s="30" t="inlineStr">
        <is>
          <t/>
        </is>
      </c>
      <c r="G90" s="31" t="inlineStr">
        <is>
          <t/>
        </is>
      </c>
      <c r="H90" s="32" t="inlineStr">
        <is>
          <t/>
        </is>
      </c>
      <c r="I90" s="33" t="inlineStr">
        <is>
          <t/>
        </is>
      </c>
      <c r="J90" s="34" t="inlineStr">
        <is>
          <t/>
        </is>
      </c>
      <c r="K90" s="35" t="inlineStr">
        <is>
          <t>Privately Held (backing)</t>
        </is>
      </c>
      <c r="L90" s="36" t="inlineStr">
        <is>
          <t>Accelerator/Incubator Backed</t>
        </is>
      </c>
      <c r="M90" s="37" t="n">
        <v>42265.0</v>
      </c>
      <c r="N90" s="38" t="inlineStr">
        <is>
          <t>Accelerator/Incubator</t>
        </is>
      </c>
      <c r="O90" s="39" t="n">
        <v>0.12</v>
      </c>
      <c r="P90" s="102">
        <f>HYPERLINK("https://my.pitchbook.com?c=170869-15", "View company online")</f>
      </c>
    </row>
    <row r="91">
      <c r="A91" s="9" t="inlineStr">
        <is>
          <t>83340-55</t>
        </is>
      </c>
      <c r="B91" s="10" t="inlineStr">
        <is>
          <t>Youbeo</t>
        </is>
      </c>
      <c r="C91" s="11" t="inlineStr">
        <is>
          <t/>
        </is>
      </c>
      <c r="D91" s="12" t="inlineStr">
        <is>
          <t/>
        </is>
      </c>
      <c r="E91" s="13" t="inlineStr">
        <is>
          <t/>
        </is>
      </c>
      <c r="F91" s="14" t="inlineStr">
        <is>
          <t/>
        </is>
      </c>
      <c r="G91" s="15" t="inlineStr">
        <is>
          <t/>
        </is>
      </c>
      <c r="H91" s="16" t="inlineStr">
        <is>
          <t/>
        </is>
      </c>
      <c r="I91" s="17" t="inlineStr">
        <is>
          <t/>
        </is>
      </c>
      <c r="J91" s="18" t="inlineStr">
        <is>
          <t/>
        </is>
      </c>
      <c r="K91" s="19" t="inlineStr">
        <is>
          <t>Privately Held (backing)</t>
        </is>
      </c>
      <c r="L91" s="20" t="inlineStr">
        <is>
          <t>Accelerator/Incubator Backed</t>
        </is>
      </c>
      <c r="M91" s="21" t="inlineStr">
        <is>
          <t/>
        </is>
      </c>
      <c r="N91" s="22" t="inlineStr">
        <is>
          <t>Early Stage VC</t>
        </is>
      </c>
      <c r="O91" s="23" t="inlineStr">
        <is>
          <t/>
        </is>
      </c>
      <c r="P91" s="101">
        <f>HYPERLINK("https://my.pitchbook.com?c=83340-55", "View company online")</f>
      </c>
    </row>
    <row r="92">
      <c r="A92" s="25" t="inlineStr">
        <is>
          <t>121374-82</t>
        </is>
      </c>
      <c r="B92" s="26" t="inlineStr">
        <is>
          <t>You3Dit</t>
        </is>
      </c>
      <c r="C92" s="27" t="inlineStr">
        <is>
          <t/>
        </is>
      </c>
      <c r="D92" s="28" t="inlineStr">
        <is>
          <t/>
        </is>
      </c>
      <c r="E92" s="29" t="inlineStr">
        <is>
          <t/>
        </is>
      </c>
      <c r="F92" s="30" t="inlineStr">
        <is>
          <t/>
        </is>
      </c>
      <c r="G92" s="31" t="inlineStr">
        <is>
          <t/>
        </is>
      </c>
      <c r="H92" s="32" t="inlineStr">
        <is>
          <t/>
        </is>
      </c>
      <c r="I92" s="33" t="inlineStr">
        <is>
          <t/>
        </is>
      </c>
      <c r="J92" s="34" t="inlineStr">
        <is>
          <t/>
        </is>
      </c>
      <c r="K92" s="35" t="inlineStr">
        <is>
          <t>Privately Held (backing)</t>
        </is>
      </c>
      <c r="L92" s="36" t="inlineStr">
        <is>
          <t>Accelerator/Incubator Backed</t>
        </is>
      </c>
      <c r="M92" s="37" t="n">
        <v>42705.0</v>
      </c>
      <c r="N92" s="38" t="inlineStr">
        <is>
          <t>Accelerator/Incubator</t>
        </is>
      </c>
      <c r="O92" s="39" t="inlineStr">
        <is>
          <t/>
        </is>
      </c>
      <c r="P92" s="102">
        <f>HYPERLINK("https://my.pitchbook.com?c=121374-82", "View company online")</f>
      </c>
    </row>
    <row r="93">
      <c r="A93" s="9" t="inlineStr">
        <is>
          <t>103479-49</t>
        </is>
      </c>
      <c r="B93" s="10" t="inlineStr">
        <is>
          <t>Yottio</t>
        </is>
      </c>
      <c r="C93" s="11" t="inlineStr">
        <is>
          <t/>
        </is>
      </c>
      <c r="D93" s="12" t="inlineStr">
        <is>
          <t/>
        </is>
      </c>
      <c r="E93" s="13" t="inlineStr">
        <is>
          <t/>
        </is>
      </c>
      <c r="F93" s="14" t="inlineStr">
        <is>
          <t/>
        </is>
      </c>
      <c r="G93" s="15" t="inlineStr">
        <is>
          <t/>
        </is>
      </c>
      <c r="H93" s="16" t="inlineStr">
        <is>
          <t/>
        </is>
      </c>
      <c r="I93" s="17" t="inlineStr">
        <is>
          <t/>
        </is>
      </c>
      <c r="J93" s="18" t="inlineStr">
        <is>
          <t/>
        </is>
      </c>
      <c r="K93" s="19" t="inlineStr">
        <is>
          <t>Privately Held (backing)</t>
        </is>
      </c>
      <c r="L93" s="20" t="inlineStr">
        <is>
          <t>Angel-Backed</t>
        </is>
      </c>
      <c r="M93" s="21" t="n">
        <v>42158.0</v>
      </c>
      <c r="N93" s="22" t="inlineStr">
        <is>
          <t>Convertible Debt</t>
        </is>
      </c>
      <c r="O93" s="23" t="n">
        <v>0.2</v>
      </c>
      <c r="P93" s="101">
        <f>HYPERLINK("https://my.pitchbook.com?c=103479-49", "View company online")</f>
      </c>
    </row>
    <row r="94">
      <c r="A94" s="25" t="inlineStr">
        <is>
          <t>154990-18</t>
        </is>
      </c>
      <c r="B94" s="26" t="inlineStr">
        <is>
          <t>Yosemite Bigwalls</t>
        </is>
      </c>
      <c r="C94" s="27" t="inlineStr">
        <is>
          <t/>
        </is>
      </c>
      <c r="D94" s="28" t="inlineStr">
        <is>
          <t/>
        </is>
      </c>
      <c r="E94" s="29" t="inlineStr">
        <is>
          <t/>
        </is>
      </c>
      <c r="F94" s="30" t="inlineStr">
        <is>
          <t/>
        </is>
      </c>
      <c r="G94" s="31" t="inlineStr">
        <is>
          <t/>
        </is>
      </c>
      <c r="H94" s="32" t="inlineStr">
        <is>
          <t/>
        </is>
      </c>
      <c r="I94" s="33" t="inlineStr">
        <is>
          <t/>
        </is>
      </c>
      <c r="J94" s="34" t="inlineStr">
        <is>
          <t/>
        </is>
      </c>
      <c r="K94" s="35" t="inlineStr">
        <is>
          <t>Privately Held (backing)</t>
        </is>
      </c>
      <c r="L94" s="36" t="inlineStr">
        <is>
          <t>Angel-Backed</t>
        </is>
      </c>
      <c r="M94" s="37" t="inlineStr">
        <is>
          <t/>
        </is>
      </c>
      <c r="N94" s="38" t="inlineStr">
        <is>
          <t>Angel (individual)</t>
        </is>
      </c>
      <c r="O94" s="39" t="n">
        <v>0.02</v>
      </c>
      <c r="P94" s="102">
        <f>HYPERLINK("https://my.pitchbook.com?c=154990-18", "View company online")</f>
      </c>
    </row>
    <row r="95">
      <c r="A95" s="9" t="inlineStr">
        <is>
          <t>103462-75</t>
        </is>
      </c>
      <c r="B95" s="10" t="inlineStr">
        <is>
          <t>YoPro Global</t>
        </is>
      </c>
      <c r="C95" s="11" t="inlineStr">
        <is>
          <t/>
        </is>
      </c>
      <c r="D95" s="12" t="inlineStr">
        <is>
          <t/>
        </is>
      </c>
      <c r="E95" s="13" t="inlineStr">
        <is>
          <t/>
        </is>
      </c>
      <c r="F95" s="14" t="inlineStr">
        <is>
          <t/>
        </is>
      </c>
      <c r="G95" s="15" t="inlineStr">
        <is>
          <t/>
        </is>
      </c>
      <c r="H95" s="16" t="inlineStr">
        <is>
          <t/>
        </is>
      </c>
      <c r="I95" s="17" t="inlineStr">
        <is>
          <t/>
        </is>
      </c>
      <c r="J95" s="18" t="inlineStr">
        <is>
          <t/>
        </is>
      </c>
      <c r="K95" s="19" t="inlineStr">
        <is>
          <t>Privately Held (backing)</t>
        </is>
      </c>
      <c r="L95" s="20" t="inlineStr">
        <is>
          <t>Angel-Backed</t>
        </is>
      </c>
      <c r="M95" s="21" t="n">
        <v>41093.0</v>
      </c>
      <c r="N95" s="22" t="inlineStr">
        <is>
          <t>Seed Round</t>
        </is>
      </c>
      <c r="O95" s="23" t="n">
        <v>0.1</v>
      </c>
      <c r="P95" s="101">
        <f>HYPERLINK("https://my.pitchbook.com?c=103462-75", "View company online")</f>
      </c>
    </row>
    <row r="96">
      <c r="A96" s="25" t="inlineStr">
        <is>
          <t>98227-54</t>
        </is>
      </c>
      <c r="B96" s="26" t="inlineStr">
        <is>
          <t>Yoolod</t>
        </is>
      </c>
      <c r="C96" s="27" t="inlineStr">
        <is>
          <t/>
        </is>
      </c>
      <c r="D96" s="28" t="inlineStr">
        <is>
          <t/>
        </is>
      </c>
      <c r="E96" s="29" t="inlineStr">
        <is>
          <t/>
        </is>
      </c>
      <c r="F96" s="30" t="inlineStr">
        <is>
          <t/>
        </is>
      </c>
      <c r="G96" s="31" t="inlineStr">
        <is>
          <t/>
        </is>
      </c>
      <c r="H96" s="32" t="inlineStr">
        <is>
          <t/>
        </is>
      </c>
      <c r="I96" s="33" t="inlineStr">
        <is>
          <t/>
        </is>
      </c>
      <c r="J96" s="34" t="inlineStr">
        <is>
          <t/>
        </is>
      </c>
      <c r="K96" s="35" t="inlineStr">
        <is>
          <t>Privately Held (backing)</t>
        </is>
      </c>
      <c r="L96" s="36" t="inlineStr">
        <is>
          <t>Accelerator/Incubator Backed</t>
        </is>
      </c>
      <c r="M96" s="37" t="n">
        <v>42481.0</v>
      </c>
      <c r="N96" s="38" t="inlineStr">
        <is>
          <t>Accelerator/Incubator</t>
        </is>
      </c>
      <c r="O96" s="39" t="inlineStr">
        <is>
          <t/>
        </is>
      </c>
      <c r="P96" s="102">
        <f>HYPERLINK("https://my.pitchbook.com?c=98227-54", "View company online")</f>
      </c>
    </row>
    <row r="97">
      <c r="A97" s="9" t="inlineStr">
        <is>
          <t>164212-75</t>
        </is>
      </c>
      <c r="B97" s="10" t="inlineStr">
        <is>
          <t>Yooli Foods</t>
        </is>
      </c>
      <c r="C97" s="11" t="inlineStr">
        <is>
          <t/>
        </is>
      </c>
      <c r="D97" s="12" t="inlineStr">
        <is>
          <t/>
        </is>
      </c>
      <c r="E97" s="13" t="inlineStr">
        <is>
          <t/>
        </is>
      </c>
      <c r="F97" s="14" t="inlineStr">
        <is>
          <t/>
        </is>
      </c>
      <c r="G97" s="15" t="inlineStr">
        <is>
          <t/>
        </is>
      </c>
      <c r="H97" s="16" t="inlineStr">
        <is>
          <t/>
        </is>
      </c>
      <c r="I97" s="17" t="inlineStr">
        <is>
          <t/>
        </is>
      </c>
      <c r="J97" s="18" t="inlineStr">
        <is>
          <t/>
        </is>
      </c>
      <c r="K97" s="19" t="inlineStr">
        <is>
          <t>Privately Held (backing)</t>
        </is>
      </c>
      <c r="L97" s="20" t="inlineStr">
        <is>
          <t>Angel-Backed</t>
        </is>
      </c>
      <c r="M97" s="21" t="n">
        <v>42601.0</v>
      </c>
      <c r="N97" s="22" t="inlineStr">
        <is>
          <t>Angel (individual)</t>
        </is>
      </c>
      <c r="O97" s="23" t="inlineStr">
        <is>
          <t/>
        </is>
      </c>
      <c r="P97" s="101">
        <f>HYPERLINK("https://my.pitchbook.com?c=164212-75", "View company online")</f>
      </c>
    </row>
    <row r="98">
      <c r="A98" s="25" t="inlineStr">
        <is>
          <t>172422-55</t>
        </is>
      </c>
      <c r="B98" s="26" t="inlineStr">
        <is>
          <t>YoloData</t>
        </is>
      </c>
      <c r="C98" s="78">
        <f>HYPERLINK("https://my.pitchbook.com?rrp=172422-55&amp;type=c", "This Company's information is not available to download. Need this Company? Request availability")</f>
      </c>
      <c r="D98" s="28" t="inlineStr">
        <is>
          <t/>
        </is>
      </c>
      <c r="E98" s="29" t="inlineStr">
        <is>
          <t/>
        </is>
      </c>
      <c r="F98" s="30" t="inlineStr">
        <is>
          <t/>
        </is>
      </c>
      <c r="G98" s="31" t="inlineStr">
        <is>
          <t/>
        </is>
      </c>
      <c r="H98" s="32" t="inlineStr">
        <is>
          <t/>
        </is>
      </c>
      <c r="I98" s="33" t="inlineStr">
        <is>
          <t/>
        </is>
      </c>
      <c r="J98" s="34" t="inlineStr">
        <is>
          <t/>
        </is>
      </c>
      <c r="K98" s="35" t="inlineStr">
        <is>
          <t/>
        </is>
      </c>
      <c r="L98" s="36" t="inlineStr">
        <is>
          <t/>
        </is>
      </c>
      <c r="M98" s="37" t="inlineStr">
        <is>
          <t/>
        </is>
      </c>
      <c r="N98" s="38" t="inlineStr">
        <is>
          <t/>
        </is>
      </c>
      <c r="O98" s="39" t="inlineStr">
        <is>
          <t/>
        </is>
      </c>
      <c r="P98" s="40" t="inlineStr">
        <is>
          <t/>
        </is>
      </c>
    </row>
    <row r="99">
      <c r="A99" s="9" t="inlineStr">
        <is>
          <t>169750-90</t>
        </is>
      </c>
      <c r="B99" s="10" t="inlineStr">
        <is>
          <t>Yoke Payments</t>
        </is>
      </c>
      <c r="C99" s="11" t="inlineStr">
        <is>
          <t/>
        </is>
      </c>
      <c r="D99" s="12" t="inlineStr">
        <is>
          <t/>
        </is>
      </c>
      <c r="E99" s="13" t="inlineStr">
        <is>
          <t/>
        </is>
      </c>
      <c r="F99" s="14" t="inlineStr">
        <is>
          <t/>
        </is>
      </c>
      <c r="G99" s="15" t="inlineStr">
        <is>
          <t/>
        </is>
      </c>
      <c r="H99" s="16" t="inlineStr">
        <is>
          <t/>
        </is>
      </c>
      <c r="I99" s="17" t="inlineStr">
        <is>
          <t/>
        </is>
      </c>
      <c r="J99" s="18" t="inlineStr">
        <is>
          <t/>
        </is>
      </c>
      <c r="K99" s="19" t="inlineStr">
        <is>
          <t>Privately Held (backing)</t>
        </is>
      </c>
      <c r="L99" s="20" t="inlineStr">
        <is>
          <t>Accelerator/Incubator Backed</t>
        </is>
      </c>
      <c r="M99" s="21" t="n">
        <v>42370.0</v>
      </c>
      <c r="N99" s="22" t="inlineStr">
        <is>
          <t>Accelerator/Incubator</t>
        </is>
      </c>
      <c r="O99" s="23" t="inlineStr">
        <is>
          <t/>
        </is>
      </c>
      <c r="P99" s="101">
        <f>HYPERLINK("https://my.pitchbook.com?c=169750-90", "View company online")</f>
      </c>
    </row>
    <row r="100">
      <c r="A100" s="25" t="inlineStr">
        <is>
          <t>132096-61</t>
        </is>
      </c>
      <c r="B100" s="26" t="inlineStr">
        <is>
          <t>Yoderm</t>
        </is>
      </c>
      <c r="C100" s="27" t="inlineStr">
        <is>
          <t/>
        </is>
      </c>
      <c r="D100" s="28" t="inlineStr">
        <is>
          <t/>
        </is>
      </c>
      <c r="E100" s="29" t="inlineStr">
        <is>
          <t/>
        </is>
      </c>
      <c r="F100" s="30" t="inlineStr">
        <is>
          <t/>
        </is>
      </c>
      <c r="G100" s="31" t="inlineStr">
        <is>
          <t/>
        </is>
      </c>
      <c r="H100" s="32" t="inlineStr">
        <is>
          <t/>
        </is>
      </c>
      <c r="I100" s="33" t="inlineStr">
        <is>
          <t/>
        </is>
      </c>
      <c r="J100" s="34" t="inlineStr">
        <is>
          <t/>
        </is>
      </c>
      <c r="K100" s="35" t="inlineStr">
        <is>
          <t>Privately Held (backing)</t>
        </is>
      </c>
      <c r="L100" s="36" t="inlineStr">
        <is>
          <t>Accelerator/Incubator Backed</t>
        </is>
      </c>
      <c r="M100" s="37" t="n">
        <v>42397.0</v>
      </c>
      <c r="N100" s="38" t="inlineStr">
        <is>
          <t>Accelerator/Incubator</t>
        </is>
      </c>
      <c r="O100" s="39" t="n">
        <v>0.13</v>
      </c>
      <c r="P100" s="102">
        <f>HYPERLINK("https://my.pitchbook.com?c=132096-61", "View company online")</f>
      </c>
    </row>
    <row r="101">
      <c r="A101" s="9" t="inlineStr">
        <is>
          <t>176510-89</t>
        </is>
      </c>
      <c r="B101" s="10" t="inlineStr">
        <is>
          <t>Yobs</t>
        </is>
      </c>
      <c r="C101" s="77">
        <f>HYPERLINK("https://my.pitchbook.com?rrp=176510-89&amp;type=c", "This Company's information is not available to download. Need this Company? Request availability")</f>
      </c>
      <c r="D101" s="12" t="inlineStr">
        <is>
          <t/>
        </is>
      </c>
      <c r="E101" s="13" t="inlineStr">
        <is>
          <t/>
        </is>
      </c>
      <c r="F101" s="14" t="inlineStr">
        <is>
          <t/>
        </is>
      </c>
      <c r="G101" s="15" t="inlineStr">
        <is>
          <t/>
        </is>
      </c>
      <c r="H101" s="16" t="inlineStr">
        <is>
          <t/>
        </is>
      </c>
      <c r="I101" s="17" t="inlineStr">
        <is>
          <t/>
        </is>
      </c>
      <c r="J101" s="18" t="inlineStr">
        <is>
          <t/>
        </is>
      </c>
      <c r="K101" s="19" t="inlineStr">
        <is>
          <t/>
        </is>
      </c>
      <c r="L101" s="20" t="inlineStr">
        <is>
          <t/>
        </is>
      </c>
      <c r="M101" s="21" t="inlineStr">
        <is>
          <t/>
        </is>
      </c>
      <c r="N101" s="22" t="inlineStr">
        <is>
          <t/>
        </is>
      </c>
      <c r="O101" s="23" t="inlineStr">
        <is>
          <t/>
        </is>
      </c>
      <c r="P101" s="24" t="inlineStr">
        <is>
          <t/>
        </is>
      </c>
    </row>
    <row r="102">
      <c r="A102" s="25" t="inlineStr">
        <is>
          <t>104297-68</t>
        </is>
      </c>
      <c r="B102" s="26" t="inlineStr">
        <is>
          <t>Y-Klub</t>
        </is>
      </c>
      <c r="C102" s="27" t="inlineStr">
        <is>
          <t/>
        </is>
      </c>
      <c r="D102" s="28" t="inlineStr">
        <is>
          <t/>
        </is>
      </c>
      <c r="E102" s="29" t="inlineStr">
        <is>
          <t/>
        </is>
      </c>
      <c r="F102" s="30" t="inlineStr">
        <is>
          <t/>
        </is>
      </c>
      <c r="G102" s="31" t="inlineStr">
        <is>
          <t/>
        </is>
      </c>
      <c r="H102" s="32" t="inlineStr">
        <is>
          <t/>
        </is>
      </c>
      <c r="I102" s="33" t="inlineStr">
        <is>
          <t/>
        </is>
      </c>
      <c r="J102" s="34" t="inlineStr">
        <is>
          <t/>
        </is>
      </c>
      <c r="K102" s="35" t="inlineStr">
        <is>
          <t>Privately Held (backing)</t>
        </is>
      </c>
      <c r="L102" s="36" t="inlineStr">
        <is>
          <t>Angel-Backed</t>
        </is>
      </c>
      <c r="M102" s="37" t="n">
        <v>40299.0</v>
      </c>
      <c r="N102" s="38" t="inlineStr">
        <is>
          <t>Seed Round</t>
        </is>
      </c>
      <c r="O102" s="39" t="n">
        <v>0.09</v>
      </c>
      <c r="P102" s="102">
        <f>HYPERLINK("https://my.pitchbook.com?c=104297-68", "View company online")</f>
      </c>
    </row>
    <row r="103">
      <c r="A103" s="9" t="inlineStr">
        <is>
          <t>168831-01</t>
        </is>
      </c>
      <c r="B103" s="10" t="inlineStr">
        <is>
          <t>YiTuuX</t>
        </is>
      </c>
      <c r="C103" s="11" t="inlineStr">
        <is>
          <t/>
        </is>
      </c>
      <c r="D103" s="12" t="inlineStr">
        <is>
          <t/>
        </is>
      </c>
      <c r="E103" s="13" t="inlineStr">
        <is>
          <t/>
        </is>
      </c>
      <c r="F103" s="14" t="inlineStr">
        <is>
          <t/>
        </is>
      </c>
      <c r="G103" s="15" t="inlineStr">
        <is>
          <t/>
        </is>
      </c>
      <c r="H103" s="16" t="inlineStr">
        <is>
          <t/>
        </is>
      </c>
      <c r="I103" s="17" t="inlineStr">
        <is>
          <t/>
        </is>
      </c>
      <c r="J103" s="18" t="inlineStr">
        <is>
          <t/>
        </is>
      </c>
      <c r="K103" s="19" t="inlineStr">
        <is>
          <t>Privately Held (backing)</t>
        </is>
      </c>
      <c r="L103" s="20" t="inlineStr">
        <is>
          <t>Accelerator/Incubator Backed</t>
        </is>
      </c>
      <c r="M103" s="21" t="n">
        <v>42705.0</v>
      </c>
      <c r="N103" s="22" t="inlineStr">
        <is>
          <t>Accelerator/Incubator</t>
        </is>
      </c>
      <c r="O103" s="23" t="inlineStr">
        <is>
          <t/>
        </is>
      </c>
      <c r="P103" s="101">
        <f>HYPERLINK("https://my.pitchbook.com?c=168831-01", "View company online")</f>
      </c>
    </row>
    <row r="104">
      <c r="A104" s="25" t="inlineStr">
        <is>
          <t>104775-94</t>
        </is>
      </c>
      <c r="B104" s="26" t="inlineStr">
        <is>
          <t>Yiip</t>
        </is>
      </c>
      <c r="C104" s="27" t="inlineStr">
        <is>
          <t/>
        </is>
      </c>
      <c r="D104" s="28" t="inlineStr">
        <is>
          <t/>
        </is>
      </c>
      <c r="E104" s="29" t="inlineStr">
        <is>
          <t/>
        </is>
      </c>
      <c r="F104" s="30" t="inlineStr">
        <is>
          <t/>
        </is>
      </c>
      <c r="G104" s="31" t="inlineStr">
        <is>
          <t/>
        </is>
      </c>
      <c r="H104" s="32" t="inlineStr">
        <is>
          <t/>
        </is>
      </c>
      <c r="I104" s="33" t="inlineStr">
        <is>
          <t/>
        </is>
      </c>
      <c r="J104" s="34" t="inlineStr">
        <is>
          <t/>
        </is>
      </c>
      <c r="K104" s="35" t="inlineStr">
        <is>
          <t>Privately Held (backing)</t>
        </is>
      </c>
      <c r="L104" s="36" t="inlineStr">
        <is>
          <t>Angel-Backed</t>
        </is>
      </c>
      <c r="M104" s="37" t="n">
        <v>42144.0</v>
      </c>
      <c r="N104" s="38" t="inlineStr">
        <is>
          <t>Convertible Debt</t>
        </is>
      </c>
      <c r="O104" s="39" t="n">
        <v>0.5</v>
      </c>
      <c r="P104" s="102">
        <f>HYPERLINK("https://my.pitchbook.com?c=104775-94", "View company online")</f>
      </c>
    </row>
    <row r="105">
      <c r="A105" s="9" t="inlineStr">
        <is>
          <t>58128-40</t>
        </is>
      </c>
      <c r="B105" s="10" t="inlineStr">
        <is>
          <t>Yidio</t>
        </is>
      </c>
      <c r="C105" s="11" t="inlineStr">
        <is>
          <t/>
        </is>
      </c>
      <c r="D105" s="12" t="inlineStr">
        <is>
          <t/>
        </is>
      </c>
      <c r="E105" s="13" t="inlineStr">
        <is>
          <t/>
        </is>
      </c>
      <c r="F105" s="14" t="inlineStr">
        <is>
          <t/>
        </is>
      </c>
      <c r="G105" s="15" t="inlineStr">
        <is>
          <t/>
        </is>
      </c>
      <c r="H105" s="16" t="inlineStr">
        <is>
          <t/>
        </is>
      </c>
      <c r="I105" s="17" t="inlineStr">
        <is>
          <t/>
        </is>
      </c>
      <c r="J105" s="18" t="inlineStr">
        <is>
          <t/>
        </is>
      </c>
      <c r="K105" s="19" t="inlineStr">
        <is>
          <t>Privately Held (backing)</t>
        </is>
      </c>
      <c r="L105" s="20" t="inlineStr">
        <is>
          <t>Angel-Backed</t>
        </is>
      </c>
      <c r="M105" s="21" t="n">
        <v>41755.0</v>
      </c>
      <c r="N105" s="22" t="inlineStr">
        <is>
          <t>Angel (individual)</t>
        </is>
      </c>
      <c r="O105" s="23" t="inlineStr">
        <is>
          <t/>
        </is>
      </c>
      <c r="P105" s="101">
        <f>HYPERLINK("https://my.pitchbook.com?c=58128-40", "View company online")</f>
      </c>
    </row>
    <row r="106">
      <c r="A106" s="25" t="inlineStr">
        <is>
          <t>156306-07</t>
        </is>
      </c>
      <c r="B106" s="26" t="inlineStr">
        <is>
          <t>YFret</t>
        </is>
      </c>
      <c r="C106" s="27" t="inlineStr">
        <is>
          <t/>
        </is>
      </c>
      <c r="D106" s="28" t="inlineStr">
        <is>
          <t/>
        </is>
      </c>
      <c r="E106" s="29" t="inlineStr">
        <is>
          <t/>
        </is>
      </c>
      <c r="F106" s="30" t="inlineStr">
        <is>
          <t/>
        </is>
      </c>
      <c r="G106" s="31" t="inlineStr">
        <is>
          <t/>
        </is>
      </c>
      <c r="H106" s="32" t="inlineStr">
        <is>
          <t/>
        </is>
      </c>
      <c r="I106" s="33" t="inlineStr">
        <is>
          <t/>
        </is>
      </c>
      <c r="J106" s="34" t="inlineStr">
        <is>
          <t/>
        </is>
      </c>
      <c r="K106" s="35" t="inlineStr">
        <is>
          <t>Privately Held (backing)</t>
        </is>
      </c>
      <c r="L106" s="36" t="inlineStr">
        <is>
          <t>Angel-Backed</t>
        </is>
      </c>
      <c r="M106" s="37" t="n">
        <v>42727.0</v>
      </c>
      <c r="N106" s="38" t="inlineStr">
        <is>
          <t>Angel (individual)</t>
        </is>
      </c>
      <c r="O106" s="39" t="n">
        <v>0.09</v>
      </c>
      <c r="P106" s="102">
        <f>HYPERLINK("https://my.pitchbook.com?c=156306-07", "View company online")</f>
      </c>
    </row>
    <row r="107">
      <c r="A107" s="9" t="inlineStr">
        <is>
          <t>103443-49</t>
        </is>
      </c>
      <c r="B107" s="10" t="inlineStr">
        <is>
          <t>Yeti Data</t>
        </is>
      </c>
      <c r="C107" s="11" t="inlineStr">
        <is>
          <t/>
        </is>
      </c>
      <c r="D107" s="12" t="inlineStr">
        <is>
          <t/>
        </is>
      </c>
      <c r="E107" s="13" t="inlineStr">
        <is>
          <t/>
        </is>
      </c>
      <c r="F107" s="14" t="inlineStr">
        <is>
          <t/>
        </is>
      </c>
      <c r="G107" s="15" t="inlineStr">
        <is>
          <t/>
        </is>
      </c>
      <c r="H107" s="16" t="inlineStr">
        <is>
          <t/>
        </is>
      </c>
      <c r="I107" s="17" t="inlineStr">
        <is>
          <t/>
        </is>
      </c>
      <c r="J107" s="18" t="inlineStr">
        <is>
          <t/>
        </is>
      </c>
      <c r="K107" s="19" t="inlineStr">
        <is>
          <t>Privately Held (backing)</t>
        </is>
      </c>
      <c r="L107" s="20" t="inlineStr">
        <is>
          <t>Angel-Backed</t>
        </is>
      </c>
      <c r="M107" s="21" t="n">
        <v>41395.0</v>
      </c>
      <c r="N107" s="22" t="inlineStr">
        <is>
          <t>Seed Round</t>
        </is>
      </c>
      <c r="O107" s="23" t="n">
        <v>1.0</v>
      </c>
      <c r="P107" s="101">
        <f>HYPERLINK("https://my.pitchbook.com?c=103443-49", "View company online")</f>
      </c>
    </row>
    <row r="108">
      <c r="A108" s="25" t="inlineStr">
        <is>
          <t>108575-02</t>
        </is>
      </c>
      <c r="B108" s="26" t="inlineStr">
        <is>
          <t>Yes Man Watches</t>
        </is>
      </c>
      <c r="C108" s="27" t="inlineStr">
        <is>
          <t/>
        </is>
      </c>
      <c r="D108" s="28" t="inlineStr">
        <is>
          <t/>
        </is>
      </c>
      <c r="E108" s="29" t="inlineStr">
        <is>
          <t/>
        </is>
      </c>
      <c r="F108" s="30" t="inlineStr">
        <is>
          <t/>
        </is>
      </c>
      <c r="G108" s="31" t="inlineStr">
        <is>
          <t/>
        </is>
      </c>
      <c r="H108" s="32" t="inlineStr">
        <is>
          <t/>
        </is>
      </c>
      <c r="I108" s="33" t="inlineStr">
        <is>
          <t/>
        </is>
      </c>
      <c r="J108" s="34" t="inlineStr">
        <is>
          <t/>
        </is>
      </c>
      <c r="K108" s="35" t="inlineStr">
        <is>
          <t>Privately Held (backing)</t>
        </is>
      </c>
      <c r="L108" s="36" t="inlineStr">
        <is>
          <t>Angel-Backed</t>
        </is>
      </c>
      <c r="M108" s="37" t="n">
        <v>42198.0</v>
      </c>
      <c r="N108" s="38" t="inlineStr">
        <is>
          <t>Product Crowdfunding</t>
        </is>
      </c>
      <c r="O108" s="39" t="n">
        <v>0.02</v>
      </c>
      <c r="P108" s="102">
        <f>HYPERLINK("https://my.pitchbook.com?c=108575-02", "View company online")</f>
      </c>
    </row>
    <row r="109">
      <c r="A109" s="9" t="inlineStr">
        <is>
          <t>103430-35</t>
        </is>
      </c>
      <c r="B109" s="10" t="inlineStr">
        <is>
          <t>Yes I Do</t>
        </is>
      </c>
      <c r="C109" s="11" t="inlineStr">
        <is>
          <t/>
        </is>
      </c>
      <c r="D109" s="12" t="inlineStr">
        <is>
          <t/>
        </is>
      </c>
      <c r="E109" s="13" t="inlineStr">
        <is>
          <t/>
        </is>
      </c>
      <c r="F109" s="14" t="inlineStr">
        <is>
          <t/>
        </is>
      </c>
      <c r="G109" s="15" t="inlineStr">
        <is>
          <t/>
        </is>
      </c>
      <c r="H109" s="16" t="inlineStr">
        <is>
          <t/>
        </is>
      </c>
      <c r="I109" s="17" t="inlineStr">
        <is>
          <t/>
        </is>
      </c>
      <c r="J109" s="18" t="inlineStr">
        <is>
          <t/>
        </is>
      </c>
      <c r="K109" s="19" t="inlineStr">
        <is>
          <t>Privately Held (backing)</t>
        </is>
      </c>
      <c r="L109" s="20" t="inlineStr">
        <is>
          <t>Angel-Backed</t>
        </is>
      </c>
      <c r="M109" s="21" t="n">
        <v>42050.0</v>
      </c>
      <c r="N109" s="22" t="inlineStr">
        <is>
          <t>Seed Round</t>
        </is>
      </c>
      <c r="O109" s="23" t="n">
        <v>0.04</v>
      </c>
      <c r="P109" s="101">
        <f>HYPERLINK("https://my.pitchbook.com?c=103430-35", "View company online")</f>
      </c>
    </row>
    <row r="110">
      <c r="A110" s="25" t="inlineStr">
        <is>
          <t>163667-71</t>
        </is>
      </c>
      <c r="B110" s="26" t="inlineStr">
        <is>
          <t>Yepse</t>
        </is>
      </c>
      <c r="C110" s="27" t="inlineStr">
        <is>
          <t/>
        </is>
      </c>
      <c r="D110" s="28" t="inlineStr">
        <is>
          <t/>
        </is>
      </c>
      <c r="E110" s="29" t="inlineStr">
        <is>
          <t/>
        </is>
      </c>
      <c r="F110" s="30" t="inlineStr">
        <is>
          <t/>
        </is>
      </c>
      <c r="G110" s="31" t="inlineStr">
        <is>
          <t/>
        </is>
      </c>
      <c r="H110" s="32" t="inlineStr">
        <is>
          <t/>
        </is>
      </c>
      <c r="I110" s="33" t="inlineStr">
        <is>
          <t/>
        </is>
      </c>
      <c r="J110" s="34" t="inlineStr">
        <is>
          <t/>
        </is>
      </c>
      <c r="K110" s="35" t="inlineStr">
        <is>
          <t>Privately Held (backing)</t>
        </is>
      </c>
      <c r="L110" s="36" t="inlineStr">
        <is>
          <t>Accelerator/Incubator Backed</t>
        </is>
      </c>
      <c r="M110" s="37" t="n">
        <v>42552.0</v>
      </c>
      <c r="N110" s="38" t="inlineStr">
        <is>
          <t>Accelerator/Incubator</t>
        </is>
      </c>
      <c r="O110" s="39" t="inlineStr">
        <is>
          <t/>
        </is>
      </c>
      <c r="P110" s="102">
        <f>HYPERLINK("https://my.pitchbook.com?c=163667-71", "View company online")</f>
      </c>
    </row>
    <row r="111">
      <c r="A111" s="9" t="inlineStr">
        <is>
          <t>180414-64</t>
        </is>
      </c>
      <c r="B111" s="10" t="inlineStr">
        <is>
          <t>Yellowfinch</t>
        </is>
      </c>
      <c r="C111" s="77">
        <f>HYPERLINK("https://my.pitchbook.com?rrp=180414-64&amp;type=c", "This Company's information is not available to download. Need this Company? Request availability")</f>
      </c>
      <c r="D111" s="12" t="inlineStr">
        <is>
          <t/>
        </is>
      </c>
      <c r="E111" s="13" t="inlineStr">
        <is>
          <t/>
        </is>
      </c>
      <c r="F111" s="14" t="inlineStr">
        <is>
          <t/>
        </is>
      </c>
      <c r="G111" s="15" t="inlineStr">
        <is>
          <t/>
        </is>
      </c>
      <c r="H111" s="16" t="inlineStr">
        <is>
          <t/>
        </is>
      </c>
      <c r="I111" s="17" t="inlineStr">
        <is>
          <t/>
        </is>
      </c>
      <c r="J111" s="18" t="inlineStr">
        <is>
          <t/>
        </is>
      </c>
      <c r="K111" s="19" t="inlineStr">
        <is>
          <t/>
        </is>
      </c>
      <c r="L111" s="20" t="inlineStr">
        <is>
          <t/>
        </is>
      </c>
      <c r="M111" s="21" t="inlineStr">
        <is>
          <t/>
        </is>
      </c>
      <c r="N111" s="22" t="inlineStr">
        <is>
          <t/>
        </is>
      </c>
      <c r="O111" s="23" t="inlineStr">
        <is>
          <t/>
        </is>
      </c>
      <c r="P111" s="24" t="inlineStr">
        <is>
          <t/>
        </is>
      </c>
    </row>
    <row r="112">
      <c r="A112" s="25" t="inlineStr">
        <is>
          <t>163668-43</t>
        </is>
      </c>
      <c r="B112" s="26" t="inlineStr">
        <is>
          <t>YelliGo</t>
        </is>
      </c>
      <c r="C112" s="27" t="inlineStr">
        <is>
          <t/>
        </is>
      </c>
      <c r="D112" s="28" t="inlineStr">
        <is>
          <t/>
        </is>
      </c>
      <c r="E112" s="29" t="inlineStr">
        <is>
          <t/>
        </is>
      </c>
      <c r="F112" s="30" t="inlineStr">
        <is>
          <t/>
        </is>
      </c>
      <c r="G112" s="31" t="inlineStr">
        <is>
          <t/>
        </is>
      </c>
      <c r="H112" s="32" t="inlineStr">
        <is>
          <t/>
        </is>
      </c>
      <c r="I112" s="33" t="inlineStr">
        <is>
          <t/>
        </is>
      </c>
      <c r="J112" s="34" t="inlineStr">
        <is>
          <t/>
        </is>
      </c>
      <c r="K112" s="35" t="inlineStr">
        <is>
          <t>Privately Held (backing)</t>
        </is>
      </c>
      <c r="L112" s="36" t="inlineStr">
        <is>
          <t>Accelerator/Incubator Backed</t>
        </is>
      </c>
      <c r="M112" s="37" t="n">
        <v>42550.0</v>
      </c>
      <c r="N112" s="38" t="inlineStr">
        <is>
          <t>Accelerator/Incubator</t>
        </is>
      </c>
      <c r="O112" s="39" t="inlineStr">
        <is>
          <t/>
        </is>
      </c>
      <c r="P112" s="102">
        <f>HYPERLINK("https://my.pitchbook.com?c=163668-43", "View company online")</f>
      </c>
    </row>
    <row r="113">
      <c r="A113" s="9" t="inlineStr">
        <is>
          <t>154370-98</t>
        </is>
      </c>
      <c r="B113" s="10" t="inlineStr">
        <is>
          <t>YayPay</t>
        </is>
      </c>
      <c r="C113" s="11" t="inlineStr">
        <is>
          <t/>
        </is>
      </c>
      <c r="D113" s="12" t="inlineStr">
        <is>
          <t/>
        </is>
      </c>
      <c r="E113" s="13" t="inlineStr">
        <is>
          <t/>
        </is>
      </c>
      <c r="F113" s="14" t="inlineStr">
        <is>
          <t/>
        </is>
      </c>
      <c r="G113" s="15" t="inlineStr">
        <is>
          <t/>
        </is>
      </c>
      <c r="H113" s="16" t="inlineStr">
        <is>
          <t/>
        </is>
      </c>
      <c r="I113" s="17" t="inlineStr">
        <is>
          <t/>
        </is>
      </c>
      <c r="J113" s="18" t="inlineStr">
        <is>
          <t/>
        </is>
      </c>
      <c r="K113" s="19" t="inlineStr">
        <is>
          <t>Privately Held (backing)</t>
        </is>
      </c>
      <c r="L113" s="20" t="inlineStr">
        <is>
          <t>Accelerator/Incubator Backed</t>
        </is>
      </c>
      <c r="M113" s="21" t="n">
        <v>42774.0</v>
      </c>
      <c r="N113" s="22" t="inlineStr">
        <is>
          <t>Angel (individual)</t>
        </is>
      </c>
      <c r="O113" s="23" t="n">
        <v>0.15</v>
      </c>
      <c r="P113" s="101">
        <f>HYPERLINK("https://my.pitchbook.com?c=154370-98", "View company online")</f>
      </c>
    </row>
    <row r="114">
      <c r="A114" s="25" t="inlineStr">
        <is>
          <t>103695-13</t>
        </is>
      </c>
      <c r="B114" s="26" t="inlineStr">
        <is>
          <t>Yaware</t>
        </is>
      </c>
      <c r="C114" s="78">
        <f>HYPERLINK("https://my.pitchbook.com?rrp=103695-13&amp;type=c", "This Company's information is not available to download. Need this Company? Request availability")</f>
      </c>
      <c r="D114" s="28" t="inlineStr">
        <is>
          <t/>
        </is>
      </c>
      <c r="E114" s="29" t="inlineStr">
        <is>
          <t/>
        </is>
      </c>
      <c r="F114" s="30" t="inlineStr">
        <is>
          <t/>
        </is>
      </c>
      <c r="G114" s="31" t="inlineStr">
        <is>
          <t/>
        </is>
      </c>
      <c r="H114" s="32" t="inlineStr">
        <is>
          <t/>
        </is>
      </c>
      <c r="I114" s="33" t="inlineStr">
        <is>
          <t/>
        </is>
      </c>
      <c r="J114" s="34" t="inlineStr">
        <is>
          <t/>
        </is>
      </c>
      <c r="K114" s="35" t="inlineStr">
        <is>
          <t/>
        </is>
      </c>
      <c r="L114" s="36" t="inlineStr">
        <is>
          <t/>
        </is>
      </c>
      <c r="M114" s="37" t="inlineStr">
        <is>
          <t/>
        </is>
      </c>
      <c r="N114" s="38" t="inlineStr">
        <is>
          <t/>
        </is>
      </c>
      <c r="O114" s="39" t="inlineStr">
        <is>
          <t/>
        </is>
      </c>
      <c r="P114" s="40" t="inlineStr">
        <is>
          <t/>
        </is>
      </c>
    </row>
    <row r="115">
      <c r="A115" s="9" t="inlineStr">
        <is>
          <t>104513-14</t>
        </is>
      </c>
      <c r="B115" s="10" t="inlineStr">
        <is>
          <t>Yattos</t>
        </is>
      </c>
      <c r="C115" s="11" t="inlineStr">
        <is>
          <t/>
        </is>
      </c>
      <c r="D115" s="12" t="inlineStr">
        <is>
          <t/>
        </is>
      </c>
      <c r="E115" s="13" t="inlineStr">
        <is>
          <t/>
        </is>
      </c>
      <c r="F115" s="14" t="inlineStr">
        <is>
          <t/>
        </is>
      </c>
      <c r="G115" s="15" t="inlineStr">
        <is>
          <t/>
        </is>
      </c>
      <c r="H115" s="16" t="inlineStr">
        <is>
          <t/>
        </is>
      </c>
      <c r="I115" s="17" t="inlineStr">
        <is>
          <t/>
        </is>
      </c>
      <c r="J115" s="18" t="inlineStr">
        <is>
          <t/>
        </is>
      </c>
      <c r="K115" s="19" t="inlineStr">
        <is>
          <t>Privately Held (backing)</t>
        </is>
      </c>
      <c r="L115" s="20" t="inlineStr">
        <is>
          <t>Angel-Backed</t>
        </is>
      </c>
      <c r="M115" s="21" t="n">
        <v>40999.0</v>
      </c>
      <c r="N115" s="22" t="inlineStr">
        <is>
          <t>Seed Round</t>
        </is>
      </c>
      <c r="O115" s="23" t="n">
        <v>0.4</v>
      </c>
      <c r="P115" s="101">
        <f>HYPERLINK("https://my.pitchbook.com?c=104513-14", "View company online")</f>
      </c>
    </row>
    <row r="116">
      <c r="A116" s="25" t="inlineStr">
        <is>
          <t>115019-65</t>
        </is>
      </c>
      <c r="B116" s="26" t="inlineStr">
        <is>
          <t>Yatragenie Services</t>
        </is>
      </c>
      <c r="C116" s="27" t="inlineStr">
        <is>
          <t/>
        </is>
      </c>
      <c r="D116" s="28" t="inlineStr">
        <is>
          <t/>
        </is>
      </c>
      <c r="E116" s="29" t="inlineStr">
        <is>
          <t/>
        </is>
      </c>
      <c r="F116" s="30" t="inlineStr">
        <is>
          <t/>
        </is>
      </c>
      <c r="G116" s="31" t="inlineStr">
        <is>
          <t/>
        </is>
      </c>
      <c r="H116" s="32" t="inlineStr">
        <is>
          <t/>
        </is>
      </c>
      <c r="I116" s="33" t="inlineStr">
        <is>
          <t/>
        </is>
      </c>
      <c r="J116" s="34" t="inlineStr">
        <is>
          <t/>
        </is>
      </c>
      <c r="K116" s="35" t="inlineStr">
        <is>
          <t>Privately Held (backing)</t>
        </is>
      </c>
      <c r="L116" s="36" t="inlineStr">
        <is>
          <t>Angel-Backed</t>
        </is>
      </c>
      <c r="M116" s="37" t="n">
        <v>42503.0</v>
      </c>
      <c r="N116" s="38" t="inlineStr">
        <is>
          <t>Angel (individual)</t>
        </is>
      </c>
      <c r="O116" s="39" t="n">
        <v>4.41</v>
      </c>
      <c r="P116" s="102">
        <f>HYPERLINK("https://my.pitchbook.com?c=115019-65", "View company online")</f>
      </c>
    </row>
    <row r="117">
      <c r="A117" s="9" t="inlineStr">
        <is>
          <t>181828-81</t>
        </is>
      </c>
      <c r="B117" s="10" t="inlineStr">
        <is>
          <t>Yassets</t>
        </is>
      </c>
      <c r="C117" s="77">
        <f>HYPERLINK("https://my.pitchbook.com?rrp=181828-81&amp;type=c", "This Company's information is not available to download. Need this Company? Request availability")</f>
      </c>
      <c r="D117" s="12" t="inlineStr">
        <is>
          <t/>
        </is>
      </c>
      <c r="E117" s="13" t="inlineStr">
        <is>
          <t/>
        </is>
      </c>
      <c r="F117" s="14" t="inlineStr">
        <is>
          <t/>
        </is>
      </c>
      <c r="G117" s="15" t="inlineStr">
        <is>
          <t/>
        </is>
      </c>
      <c r="H117" s="16" t="inlineStr">
        <is>
          <t/>
        </is>
      </c>
      <c r="I117" s="17" t="inlineStr">
        <is>
          <t/>
        </is>
      </c>
      <c r="J117" s="18" t="inlineStr">
        <is>
          <t/>
        </is>
      </c>
      <c r="K117" s="19" t="inlineStr">
        <is>
          <t/>
        </is>
      </c>
      <c r="L117" s="20" t="inlineStr">
        <is>
          <t/>
        </is>
      </c>
      <c r="M117" s="21" t="inlineStr">
        <is>
          <t/>
        </is>
      </c>
      <c r="N117" s="22" t="inlineStr">
        <is>
          <t/>
        </is>
      </c>
      <c r="O117" s="23" t="inlineStr">
        <is>
          <t/>
        </is>
      </c>
      <c r="P117" s="24" t="inlineStr">
        <is>
          <t/>
        </is>
      </c>
    </row>
    <row r="118">
      <c r="A118" s="25" t="inlineStr">
        <is>
          <t>115464-61</t>
        </is>
      </c>
      <c r="B118" s="26" t="inlineStr">
        <is>
          <t>Yardbook</t>
        </is>
      </c>
      <c r="C118" s="27" t="inlineStr">
        <is>
          <t/>
        </is>
      </c>
      <c r="D118" s="28" t="inlineStr">
        <is>
          <t/>
        </is>
      </c>
      <c r="E118" s="29" t="inlineStr">
        <is>
          <t/>
        </is>
      </c>
      <c r="F118" s="30" t="inlineStr">
        <is>
          <t/>
        </is>
      </c>
      <c r="G118" s="31" t="inlineStr">
        <is>
          <t/>
        </is>
      </c>
      <c r="H118" s="32" t="inlineStr">
        <is>
          <t/>
        </is>
      </c>
      <c r="I118" s="33" t="inlineStr">
        <is>
          <t/>
        </is>
      </c>
      <c r="J118" s="34" t="inlineStr">
        <is>
          <t/>
        </is>
      </c>
      <c r="K118" s="35" t="inlineStr">
        <is>
          <t>Privately Held (backing)</t>
        </is>
      </c>
      <c r="L118" s="36" t="inlineStr">
        <is>
          <t>Accelerator/Incubator Backed</t>
        </is>
      </c>
      <c r="M118" s="37" t="n">
        <v>42370.0</v>
      </c>
      <c r="N118" s="38" t="inlineStr">
        <is>
          <t>Accelerator/Incubator</t>
        </is>
      </c>
      <c r="O118" s="39" t="n">
        <v>0.12</v>
      </c>
      <c r="P118" s="102">
        <f>HYPERLINK("https://my.pitchbook.com?c=115464-61", "View company online")</f>
      </c>
    </row>
    <row r="119">
      <c r="A119" s="9" t="inlineStr">
        <is>
          <t>108413-47</t>
        </is>
      </c>
      <c r="B119" s="10" t="inlineStr">
        <is>
          <t>Yardarm Technologies</t>
        </is>
      </c>
      <c r="C119" s="11" t="inlineStr">
        <is>
          <t/>
        </is>
      </c>
      <c r="D119" s="12" t="inlineStr">
        <is>
          <t/>
        </is>
      </c>
      <c r="E119" s="13" t="inlineStr">
        <is>
          <t/>
        </is>
      </c>
      <c r="F119" s="14" t="inlineStr">
        <is>
          <t/>
        </is>
      </c>
      <c r="G119" s="15" t="inlineStr">
        <is>
          <t/>
        </is>
      </c>
      <c r="H119" s="16" t="inlineStr">
        <is>
          <t/>
        </is>
      </c>
      <c r="I119" s="17" t="inlineStr">
        <is>
          <t/>
        </is>
      </c>
      <c r="J119" s="18" t="inlineStr">
        <is>
          <t/>
        </is>
      </c>
      <c r="K119" s="19" t="inlineStr">
        <is>
          <t>Privately Held (backing)</t>
        </is>
      </c>
      <c r="L119" s="20" t="inlineStr">
        <is>
          <t>Angel-Backed</t>
        </is>
      </c>
      <c r="M119" s="21" t="inlineStr">
        <is>
          <t/>
        </is>
      </c>
      <c r="N119" s="22" t="inlineStr">
        <is>
          <t>Angel (individual)</t>
        </is>
      </c>
      <c r="O119" s="23" t="n">
        <v>1.1</v>
      </c>
      <c r="P119" s="101">
        <f>HYPERLINK("https://my.pitchbook.com?c=108413-47", "View company online")</f>
      </c>
    </row>
    <row r="120">
      <c r="A120" s="25" t="inlineStr">
        <is>
          <t>109612-00</t>
        </is>
      </c>
      <c r="B120" s="26" t="inlineStr">
        <is>
          <t>Yappee</t>
        </is>
      </c>
      <c r="C120" s="27" t="inlineStr">
        <is>
          <t/>
        </is>
      </c>
      <c r="D120" s="28" t="inlineStr">
        <is>
          <t/>
        </is>
      </c>
      <c r="E120" s="29" t="inlineStr">
        <is>
          <t/>
        </is>
      </c>
      <c r="F120" s="30" t="inlineStr">
        <is>
          <t/>
        </is>
      </c>
      <c r="G120" s="31" t="inlineStr">
        <is>
          <t/>
        </is>
      </c>
      <c r="H120" s="32" t="inlineStr">
        <is>
          <t/>
        </is>
      </c>
      <c r="I120" s="33" t="inlineStr">
        <is>
          <t/>
        </is>
      </c>
      <c r="J120" s="34" t="inlineStr">
        <is>
          <t/>
        </is>
      </c>
      <c r="K120" s="35" t="inlineStr">
        <is>
          <t>Privately Held (backing)</t>
        </is>
      </c>
      <c r="L120" s="36" t="inlineStr">
        <is>
          <t>Angel-Backed</t>
        </is>
      </c>
      <c r="M120" s="37" t="n">
        <v>41870.0</v>
      </c>
      <c r="N120" s="38" t="inlineStr">
        <is>
          <t>Seed Round</t>
        </is>
      </c>
      <c r="O120" s="39" t="inlineStr">
        <is>
          <t/>
        </is>
      </c>
      <c r="P120" s="102">
        <f>HYPERLINK("https://my.pitchbook.com?c=109612-00", "View company online")</f>
      </c>
    </row>
    <row r="121">
      <c r="A121" s="9" t="inlineStr">
        <is>
          <t>118105-93</t>
        </is>
      </c>
      <c r="B121" s="10" t="inlineStr">
        <is>
          <t>Yacht Club Games</t>
        </is>
      </c>
      <c r="C121" s="11" t="inlineStr">
        <is>
          <t/>
        </is>
      </c>
      <c r="D121" s="12" t="inlineStr">
        <is>
          <t/>
        </is>
      </c>
      <c r="E121" s="13" t="inlineStr">
        <is>
          <t/>
        </is>
      </c>
      <c r="F121" s="14" t="inlineStr">
        <is>
          <t/>
        </is>
      </c>
      <c r="G121" s="15" t="inlineStr">
        <is>
          <t/>
        </is>
      </c>
      <c r="H121" s="16" t="inlineStr">
        <is>
          <t/>
        </is>
      </c>
      <c r="I121" s="17" t="inlineStr">
        <is>
          <t/>
        </is>
      </c>
      <c r="J121" s="18" t="inlineStr">
        <is>
          <t/>
        </is>
      </c>
      <c r="K121" s="19" t="inlineStr">
        <is>
          <t>Privately Held (backing)</t>
        </is>
      </c>
      <c r="L121" s="20" t="inlineStr">
        <is>
          <t>Angel-Backed</t>
        </is>
      </c>
      <c r="M121" s="21" t="n">
        <v>41378.0</v>
      </c>
      <c r="N121" s="22" t="inlineStr">
        <is>
          <t>Product Crowdfunding</t>
        </is>
      </c>
      <c r="O121" s="23" t="n">
        <v>0.31</v>
      </c>
      <c r="P121" s="101">
        <f>HYPERLINK("https://my.pitchbook.com?c=118105-93", "View company online")</f>
      </c>
    </row>
    <row r="122">
      <c r="A122" s="25" t="inlineStr">
        <is>
          <t>125616-34</t>
        </is>
      </c>
      <c r="B122" s="26" t="inlineStr">
        <is>
          <t>X-Zell</t>
        </is>
      </c>
      <c r="C122" s="27" t="inlineStr">
        <is>
          <t/>
        </is>
      </c>
      <c r="D122" s="28" t="inlineStr">
        <is>
          <t/>
        </is>
      </c>
      <c r="E122" s="29" t="inlineStr">
        <is>
          <t/>
        </is>
      </c>
      <c r="F122" s="30" t="inlineStr">
        <is>
          <t/>
        </is>
      </c>
      <c r="G122" s="31" t="inlineStr">
        <is>
          <t/>
        </is>
      </c>
      <c r="H122" s="32" t="inlineStr">
        <is>
          <t/>
        </is>
      </c>
      <c r="I122" s="33" t="inlineStr">
        <is>
          <t/>
        </is>
      </c>
      <c r="J122" s="34" t="inlineStr">
        <is>
          <t/>
        </is>
      </c>
      <c r="K122" s="35" t="inlineStr">
        <is>
          <t>Privately Held (backing)</t>
        </is>
      </c>
      <c r="L122" s="36" t="inlineStr">
        <is>
          <t>Accelerator/Incubator Backed</t>
        </is>
      </c>
      <c r="M122" s="37" t="n">
        <v>42369.0</v>
      </c>
      <c r="N122" s="38" t="inlineStr">
        <is>
          <t>Seed Round</t>
        </is>
      </c>
      <c r="O122" s="39" t="n">
        <v>0.2</v>
      </c>
      <c r="P122" s="102">
        <f>HYPERLINK("https://my.pitchbook.com?c=125616-34", "View company online")</f>
      </c>
    </row>
    <row r="123">
      <c r="A123" s="9" t="inlineStr">
        <is>
          <t>127243-18</t>
        </is>
      </c>
      <c r="B123" s="10" t="inlineStr">
        <is>
          <t>XYZZY Studios</t>
        </is>
      </c>
      <c r="C123" s="11" t="inlineStr">
        <is>
          <t/>
        </is>
      </c>
      <c r="D123" s="12" t="inlineStr">
        <is>
          <t/>
        </is>
      </c>
      <c r="E123" s="13" t="inlineStr">
        <is>
          <t/>
        </is>
      </c>
      <c r="F123" s="14" t="inlineStr">
        <is>
          <t/>
        </is>
      </c>
      <c r="G123" s="15" t="inlineStr">
        <is>
          <t/>
        </is>
      </c>
      <c r="H123" s="16" t="inlineStr">
        <is>
          <t/>
        </is>
      </c>
      <c r="I123" s="17" t="inlineStr">
        <is>
          <t/>
        </is>
      </c>
      <c r="J123" s="18" t="inlineStr">
        <is>
          <t/>
        </is>
      </c>
      <c r="K123" s="19" t="inlineStr">
        <is>
          <t>Privately Held (backing)</t>
        </is>
      </c>
      <c r="L123" s="20" t="inlineStr">
        <is>
          <t>Accelerator/Incubator Backed</t>
        </is>
      </c>
      <c r="M123" s="21" t="inlineStr">
        <is>
          <t/>
        </is>
      </c>
      <c r="N123" s="22" t="inlineStr">
        <is>
          <t>Accelerator/Incubator</t>
        </is>
      </c>
      <c r="O123" s="23" t="inlineStr">
        <is>
          <t/>
        </is>
      </c>
      <c r="P123" s="101">
        <f>HYPERLINK("https://my.pitchbook.com?c=127243-18", "View company online")</f>
      </c>
    </row>
    <row r="124">
      <c r="A124" s="25" t="inlineStr">
        <is>
          <t>107519-32</t>
        </is>
      </c>
      <c r="B124" s="26" t="inlineStr">
        <is>
          <t>Xycrobe Therapeutics</t>
        </is>
      </c>
      <c r="C124" s="27" t="inlineStr">
        <is>
          <t/>
        </is>
      </c>
      <c r="D124" s="28" t="inlineStr">
        <is>
          <t/>
        </is>
      </c>
      <c r="E124" s="29" t="inlineStr">
        <is>
          <t/>
        </is>
      </c>
      <c r="F124" s="30" t="inlineStr">
        <is>
          <t/>
        </is>
      </c>
      <c r="G124" s="31" t="inlineStr">
        <is>
          <t/>
        </is>
      </c>
      <c r="H124" s="32" t="inlineStr">
        <is>
          <t/>
        </is>
      </c>
      <c r="I124" s="33" t="inlineStr">
        <is>
          <t/>
        </is>
      </c>
      <c r="J124" s="34" t="inlineStr">
        <is>
          <t/>
        </is>
      </c>
      <c r="K124" s="35" t="inlineStr">
        <is>
          <t>Privately Held (backing)</t>
        </is>
      </c>
      <c r="L124" s="36" t="inlineStr">
        <is>
          <t>Accelerator/Incubator Backed</t>
        </is>
      </c>
      <c r="M124" s="37" t="n">
        <v>42020.0</v>
      </c>
      <c r="N124" s="38" t="inlineStr">
        <is>
          <t>Angel (individual)</t>
        </is>
      </c>
      <c r="O124" s="39" t="n">
        <v>0.2</v>
      </c>
      <c r="P124" s="102">
        <f>HYPERLINK("https://my.pitchbook.com?c=107519-32", "View company online")</f>
      </c>
    </row>
    <row r="125">
      <c r="A125" s="9" t="inlineStr">
        <is>
          <t>167300-47</t>
        </is>
      </c>
      <c r="B125" s="10" t="inlineStr">
        <is>
          <t>XY Findables</t>
        </is>
      </c>
      <c r="C125" s="11" t="inlineStr">
        <is>
          <t/>
        </is>
      </c>
      <c r="D125" s="12" t="inlineStr">
        <is>
          <t/>
        </is>
      </c>
      <c r="E125" s="13" t="inlineStr">
        <is>
          <t>FY 2015</t>
        </is>
      </c>
      <c r="F125" s="14" t="n">
        <v>1.5</v>
      </c>
      <c r="G125" s="15" t="inlineStr">
        <is>
          <t/>
        </is>
      </c>
      <c r="H125" s="16" t="inlineStr">
        <is>
          <t/>
        </is>
      </c>
      <c r="I125" s="17" t="inlineStr">
        <is>
          <t/>
        </is>
      </c>
      <c r="J125" s="18" t="inlineStr">
        <is>
          <t/>
        </is>
      </c>
      <c r="K125" s="19" t="inlineStr">
        <is>
          <t>Privately Held (backing)</t>
        </is>
      </c>
      <c r="L125" s="20" t="inlineStr">
        <is>
          <t>Angel-Backed</t>
        </is>
      </c>
      <c r="M125" s="21" t="n">
        <v>42474.0</v>
      </c>
      <c r="N125" s="22" t="inlineStr">
        <is>
          <t>Angel (individual)</t>
        </is>
      </c>
      <c r="O125" s="23" t="inlineStr">
        <is>
          <t/>
        </is>
      </c>
      <c r="P125" s="101">
        <f>HYPERLINK("https://my.pitchbook.com?c=167300-47", "View company online")</f>
      </c>
    </row>
    <row r="126">
      <c r="A126" s="25" t="inlineStr">
        <is>
          <t>54446-77</t>
        </is>
      </c>
      <c r="B126" s="26" t="inlineStr">
        <is>
          <t>Xulu Entertainment</t>
        </is>
      </c>
      <c r="C126" s="27" t="inlineStr">
        <is>
          <t/>
        </is>
      </c>
      <c r="D126" s="28" t="inlineStr">
        <is>
          <t/>
        </is>
      </c>
      <c r="E126" s="29" t="inlineStr">
        <is>
          <t/>
        </is>
      </c>
      <c r="F126" s="30" t="inlineStr">
        <is>
          <t/>
        </is>
      </c>
      <c r="G126" s="31" t="inlineStr">
        <is>
          <t/>
        </is>
      </c>
      <c r="H126" s="32" t="inlineStr">
        <is>
          <t/>
        </is>
      </c>
      <c r="I126" s="33" t="inlineStr">
        <is>
          <t/>
        </is>
      </c>
      <c r="J126" s="34" t="inlineStr">
        <is>
          <t/>
        </is>
      </c>
      <c r="K126" s="35" t="inlineStr">
        <is>
          <t>Privately Held (backing)</t>
        </is>
      </c>
      <c r="L126" s="36" t="inlineStr">
        <is>
          <t>Angel-Backed</t>
        </is>
      </c>
      <c r="M126" s="37" t="inlineStr">
        <is>
          <t/>
        </is>
      </c>
      <c r="N126" s="38" t="inlineStr">
        <is>
          <t>Angel (individual)</t>
        </is>
      </c>
      <c r="O126" s="39" t="n">
        <v>12.0</v>
      </c>
      <c r="P126" s="102">
        <f>HYPERLINK("https://my.pitchbook.com?c=54446-77", "View company online")</f>
      </c>
    </row>
    <row r="127">
      <c r="A127" s="9" t="inlineStr">
        <is>
          <t>120001-78</t>
        </is>
      </c>
      <c r="B127" s="10" t="inlineStr">
        <is>
          <t>Xudera</t>
        </is>
      </c>
      <c r="C127" s="11" t="inlineStr">
        <is>
          <t/>
        </is>
      </c>
      <c r="D127" s="12" t="inlineStr">
        <is>
          <t/>
        </is>
      </c>
      <c r="E127" s="13" t="inlineStr">
        <is>
          <t/>
        </is>
      </c>
      <c r="F127" s="14" t="inlineStr">
        <is>
          <t/>
        </is>
      </c>
      <c r="G127" s="15" t="inlineStr">
        <is>
          <t/>
        </is>
      </c>
      <c r="H127" s="16" t="inlineStr">
        <is>
          <t/>
        </is>
      </c>
      <c r="I127" s="17" t="inlineStr">
        <is>
          <t/>
        </is>
      </c>
      <c r="J127" s="18" t="inlineStr">
        <is>
          <t/>
        </is>
      </c>
      <c r="K127" s="19" t="inlineStr">
        <is>
          <t>Privately Held (backing)</t>
        </is>
      </c>
      <c r="L127" s="20" t="inlineStr">
        <is>
          <t>Angel-Backed</t>
        </is>
      </c>
      <c r="M127" s="21" t="n">
        <v>42068.0</v>
      </c>
      <c r="N127" s="22" t="inlineStr">
        <is>
          <t>Seed Round</t>
        </is>
      </c>
      <c r="O127" s="23" t="n">
        <v>0.05</v>
      </c>
      <c r="P127" s="101">
        <f>HYPERLINK("https://my.pitchbook.com?c=120001-78", "View company online")</f>
      </c>
    </row>
    <row r="128">
      <c r="A128" s="25" t="inlineStr">
        <is>
          <t>173056-96</t>
        </is>
      </c>
      <c r="B128" s="26" t="inlineStr">
        <is>
          <t>XTND</t>
        </is>
      </c>
      <c r="C128" s="78">
        <f>HYPERLINK("https://my.pitchbook.com?rrp=173056-96&amp;type=c", "This Company's information is not available to download. Need this Company? Request availability")</f>
      </c>
      <c r="D128" s="28" t="inlineStr">
        <is>
          <t/>
        </is>
      </c>
      <c r="E128" s="29" t="inlineStr">
        <is>
          <t/>
        </is>
      </c>
      <c r="F128" s="30" t="inlineStr">
        <is>
          <t/>
        </is>
      </c>
      <c r="G128" s="31" t="inlineStr">
        <is>
          <t/>
        </is>
      </c>
      <c r="H128" s="32" t="inlineStr">
        <is>
          <t/>
        </is>
      </c>
      <c r="I128" s="33" t="inlineStr">
        <is>
          <t/>
        </is>
      </c>
      <c r="J128" s="34" t="inlineStr">
        <is>
          <t/>
        </is>
      </c>
      <c r="K128" s="35" t="inlineStr">
        <is>
          <t/>
        </is>
      </c>
      <c r="L128" s="36" t="inlineStr">
        <is>
          <t/>
        </is>
      </c>
      <c r="M128" s="37" t="inlineStr">
        <is>
          <t/>
        </is>
      </c>
      <c r="N128" s="38" t="inlineStr">
        <is>
          <t/>
        </is>
      </c>
      <c r="O128" s="39" t="inlineStr">
        <is>
          <t/>
        </is>
      </c>
      <c r="P128" s="40" t="inlineStr">
        <is>
          <t/>
        </is>
      </c>
    </row>
    <row r="129">
      <c r="A129" s="9" t="inlineStr">
        <is>
          <t>125517-07</t>
        </is>
      </c>
      <c r="B129" s="10" t="inlineStr">
        <is>
          <t>X-Therma</t>
        </is>
      </c>
      <c r="C129" s="11" t="inlineStr">
        <is>
          <t/>
        </is>
      </c>
      <c r="D129" s="12" t="inlineStr">
        <is>
          <t/>
        </is>
      </c>
      <c r="E129" s="13" t="inlineStr">
        <is>
          <t/>
        </is>
      </c>
      <c r="F129" s="14" t="inlineStr">
        <is>
          <t/>
        </is>
      </c>
      <c r="G129" s="15" t="inlineStr">
        <is>
          <t/>
        </is>
      </c>
      <c r="H129" s="16" t="inlineStr">
        <is>
          <t/>
        </is>
      </c>
      <c r="I129" s="17" t="inlineStr">
        <is>
          <t/>
        </is>
      </c>
      <c r="J129" s="18" t="inlineStr">
        <is>
          <t/>
        </is>
      </c>
      <c r="K129" s="19" t="inlineStr">
        <is>
          <t>Privately Held (backing)</t>
        </is>
      </c>
      <c r="L129" s="20" t="inlineStr">
        <is>
          <t>Angel-Backed</t>
        </is>
      </c>
      <c r="M129" s="21" t="inlineStr">
        <is>
          <t/>
        </is>
      </c>
      <c r="N129" s="22" t="inlineStr">
        <is>
          <t>Grant</t>
        </is>
      </c>
      <c r="O129" s="23" t="inlineStr">
        <is>
          <t/>
        </is>
      </c>
      <c r="P129" s="101">
        <f>HYPERLINK("https://my.pitchbook.com?c=125517-07", "View company online")</f>
      </c>
    </row>
    <row r="130">
      <c r="A130" s="25" t="inlineStr">
        <is>
          <t>113901-40</t>
        </is>
      </c>
      <c r="B130" s="26" t="inlineStr">
        <is>
          <t>Xspaced</t>
        </is>
      </c>
      <c r="C130" s="78">
        <f>HYPERLINK("https://my.pitchbook.com?rrp=113901-40&amp;type=c", "This Company's information is not available to download. Need this Company? Request availability")</f>
      </c>
      <c r="D130" s="28" t="inlineStr">
        <is>
          <t/>
        </is>
      </c>
      <c r="E130" s="29" t="inlineStr">
        <is>
          <t/>
        </is>
      </c>
      <c r="F130" s="30" t="inlineStr">
        <is>
          <t/>
        </is>
      </c>
      <c r="G130" s="31" t="inlineStr">
        <is>
          <t/>
        </is>
      </c>
      <c r="H130" s="32" t="inlineStr">
        <is>
          <t/>
        </is>
      </c>
      <c r="I130" s="33" t="inlineStr">
        <is>
          <t/>
        </is>
      </c>
      <c r="J130" s="34" t="inlineStr">
        <is>
          <t/>
        </is>
      </c>
      <c r="K130" s="35" t="inlineStr">
        <is>
          <t/>
        </is>
      </c>
      <c r="L130" s="36" t="inlineStr">
        <is>
          <t/>
        </is>
      </c>
      <c r="M130" s="37" t="inlineStr">
        <is>
          <t/>
        </is>
      </c>
      <c r="N130" s="38" t="inlineStr">
        <is>
          <t/>
        </is>
      </c>
      <c r="O130" s="39" t="inlineStr">
        <is>
          <t/>
        </is>
      </c>
      <c r="P130" s="40" t="inlineStr">
        <is>
          <t/>
        </is>
      </c>
    </row>
    <row r="131">
      <c r="A131" s="9" t="inlineStr">
        <is>
          <t>102824-29</t>
        </is>
      </c>
      <c r="B131" s="10" t="inlineStr">
        <is>
          <t>X-Scan Imaging</t>
        </is>
      </c>
      <c r="C131" s="11" t="inlineStr">
        <is>
          <t/>
        </is>
      </c>
      <c r="D131" s="12" t="inlineStr">
        <is>
          <t/>
        </is>
      </c>
      <c r="E131" s="13" t="inlineStr">
        <is>
          <t/>
        </is>
      </c>
      <c r="F131" s="14" t="inlineStr">
        <is>
          <t/>
        </is>
      </c>
      <c r="G131" s="15" t="inlineStr">
        <is>
          <t/>
        </is>
      </c>
      <c r="H131" s="16" t="inlineStr">
        <is>
          <t/>
        </is>
      </c>
      <c r="I131" s="17" t="inlineStr">
        <is>
          <t/>
        </is>
      </c>
      <c r="J131" s="18" t="inlineStr">
        <is>
          <t/>
        </is>
      </c>
      <c r="K131" s="19" t="inlineStr">
        <is>
          <t>Privately Held (backing)</t>
        </is>
      </c>
      <c r="L131" s="20" t="inlineStr">
        <is>
          <t>Angel-Backed</t>
        </is>
      </c>
      <c r="M131" s="21" t="n">
        <v>40700.0</v>
      </c>
      <c r="N131" s="22" t="inlineStr">
        <is>
          <t>Angel (individual)</t>
        </is>
      </c>
      <c r="O131" s="23" t="n">
        <v>0.6</v>
      </c>
      <c r="P131" s="101">
        <f>HYPERLINK("https://my.pitchbook.com?c=102824-29", "View company online")</f>
      </c>
    </row>
    <row r="132">
      <c r="A132" s="25" t="inlineStr">
        <is>
          <t>128237-50</t>
        </is>
      </c>
      <c r="B132" s="26" t="inlineStr">
        <is>
          <t>xPressTap</t>
        </is>
      </c>
      <c r="C132" s="27" t="inlineStr">
        <is>
          <t/>
        </is>
      </c>
      <c r="D132" s="28" t="inlineStr">
        <is>
          <t/>
        </is>
      </c>
      <c r="E132" s="29" t="inlineStr">
        <is>
          <t/>
        </is>
      </c>
      <c r="F132" s="30" t="inlineStr">
        <is>
          <t/>
        </is>
      </c>
      <c r="G132" s="31" t="inlineStr">
        <is>
          <t/>
        </is>
      </c>
      <c r="H132" s="32" t="inlineStr">
        <is>
          <t/>
        </is>
      </c>
      <c r="I132" s="33" t="inlineStr">
        <is>
          <t/>
        </is>
      </c>
      <c r="J132" s="34" t="inlineStr">
        <is>
          <t/>
        </is>
      </c>
      <c r="K132" s="35" t="inlineStr">
        <is>
          <t>Privately Held (backing)</t>
        </is>
      </c>
      <c r="L132" s="36" t="inlineStr">
        <is>
          <t>Accelerator/Incubator Backed</t>
        </is>
      </c>
      <c r="M132" s="37" t="n">
        <v>42604.0</v>
      </c>
      <c r="N132" s="38" t="inlineStr">
        <is>
          <t>Accelerator/Incubator</t>
        </is>
      </c>
      <c r="O132" s="39" t="inlineStr">
        <is>
          <t/>
        </is>
      </c>
      <c r="P132" s="102">
        <f>HYPERLINK("https://my.pitchbook.com?c=128237-50", "View company online")</f>
      </c>
    </row>
    <row r="133">
      <c r="A133" s="9" t="inlineStr">
        <is>
          <t>171410-50</t>
        </is>
      </c>
      <c r="B133" s="10" t="inlineStr">
        <is>
          <t>Xpresso</t>
        </is>
      </c>
      <c r="C133" s="77">
        <f>HYPERLINK("https://my.pitchbook.com?rrp=171410-50&amp;type=c", "This Company's information is not available to download. Need this Company? Request availability")</f>
      </c>
      <c r="D133" s="12" t="inlineStr">
        <is>
          <t/>
        </is>
      </c>
      <c r="E133" s="13" t="inlineStr">
        <is>
          <t/>
        </is>
      </c>
      <c r="F133" s="14" t="inlineStr">
        <is>
          <t/>
        </is>
      </c>
      <c r="G133" s="15" t="inlineStr">
        <is>
          <t/>
        </is>
      </c>
      <c r="H133" s="16" t="inlineStr">
        <is>
          <t/>
        </is>
      </c>
      <c r="I133" s="17" t="inlineStr">
        <is>
          <t/>
        </is>
      </c>
      <c r="J133" s="18" t="inlineStr">
        <is>
          <t/>
        </is>
      </c>
      <c r="K133" s="19" t="inlineStr">
        <is>
          <t/>
        </is>
      </c>
      <c r="L133" s="20" t="inlineStr">
        <is>
          <t/>
        </is>
      </c>
      <c r="M133" s="21" t="inlineStr">
        <is>
          <t/>
        </is>
      </c>
      <c r="N133" s="22" t="inlineStr">
        <is>
          <t/>
        </is>
      </c>
      <c r="O133" s="23" t="inlineStr">
        <is>
          <t/>
        </is>
      </c>
      <c r="P133" s="24" t="inlineStr">
        <is>
          <t/>
        </is>
      </c>
    </row>
    <row r="134">
      <c r="A134" s="25" t="inlineStr">
        <is>
          <t>173000-44</t>
        </is>
      </c>
      <c r="B134" s="26" t="inlineStr">
        <is>
          <t>XpressMail</t>
        </is>
      </c>
      <c r="C134" s="27" t="inlineStr">
        <is>
          <t/>
        </is>
      </c>
      <c r="D134" s="28" t="inlineStr">
        <is>
          <t/>
        </is>
      </c>
      <c r="E134" s="29" t="inlineStr">
        <is>
          <t/>
        </is>
      </c>
      <c r="F134" s="30" t="inlineStr">
        <is>
          <t/>
        </is>
      </c>
      <c r="G134" s="31" t="inlineStr">
        <is>
          <t/>
        </is>
      </c>
      <c r="H134" s="32" t="inlineStr">
        <is>
          <t/>
        </is>
      </c>
      <c r="I134" s="33" t="inlineStr">
        <is>
          <t/>
        </is>
      </c>
      <c r="J134" s="34" t="inlineStr">
        <is>
          <t/>
        </is>
      </c>
      <c r="K134" s="35" t="inlineStr">
        <is>
          <t>Privately Held (backing)</t>
        </is>
      </c>
      <c r="L134" s="36" t="inlineStr">
        <is>
          <t>Accelerator/Incubator Backed</t>
        </is>
      </c>
      <c r="M134" s="37" t="n">
        <v>42801.0</v>
      </c>
      <c r="N134" s="38" t="inlineStr">
        <is>
          <t>Angel (individual)</t>
        </is>
      </c>
      <c r="O134" s="39" t="inlineStr">
        <is>
          <t/>
        </is>
      </c>
      <c r="P134" s="102">
        <f>HYPERLINK("https://my.pitchbook.com?c=173000-44", "View company online")</f>
      </c>
    </row>
    <row r="135">
      <c r="A135" s="9" t="inlineStr">
        <is>
          <t>113363-83</t>
        </is>
      </c>
      <c r="B135" s="10" t="inlineStr">
        <is>
          <t>Xplicit Computing</t>
        </is>
      </c>
      <c r="C135" s="77">
        <f>HYPERLINK("https://my.pitchbook.com?rrp=113363-83&amp;type=c", "This Company's information is not available to download. Need this Company? Request availability")</f>
      </c>
      <c r="D135" s="12" t="inlineStr">
        <is>
          <t/>
        </is>
      </c>
      <c r="E135" s="13" t="inlineStr">
        <is>
          <t/>
        </is>
      </c>
      <c r="F135" s="14" t="inlineStr">
        <is>
          <t/>
        </is>
      </c>
      <c r="G135" s="15" t="inlineStr">
        <is>
          <t/>
        </is>
      </c>
      <c r="H135" s="16" t="inlineStr">
        <is>
          <t/>
        </is>
      </c>
      <c r="I135" s="17" t="inlineStr">
        <is>
          <t/>
        </is>
      </c>
      <c r="J135" s="18" t="inlineStr">
        <is>
          <t/>
        </is>
      </c>
      <c r="K135" s="19" t="inlineStr">
        <is>
          <t/>
        </is>
      </c>
      <c r="L135" s="20" t="inlineStr">
        <is>
          <t/>
        </is>
      </c>
      <c r="M135" s="21" t="inlineStr">
        <is>
          <t/>
        </is>
      </c>
      <c r="N135" s="22" t="inlineStr">
        <is>
          <t/>
        </is>
      </c>
      <c r="O135" s="23" t="inlineStr">
        <is>
          <t/>
        </is>
      </c>
      <c r="P135" s="24" t="inlineStr">
        <is>
          <t/>
        </is>
      </c>
    </row>
    <row r="136">
      <c r="A136" s="25" t="inlineStr">
        <is>
          <t>107631-64</t>
        </is>
      </c>
      <c r="B136" s="26" t="inlineStr">
        <is>
          <t>Xphyr</t>
        </is>
      </c>
      <c r="C136" s="27" t="inlineStr">
        <is>
          <t/>
        </is>
      </c>
      <c r="D136" s="28" t="inlineStr">
        <is>
          <t/>
        </is>
      </c>
      <c r="E136" s="29" t="inlineStr">
        <is>
          <t/>
        </is>
      </c>
      <c r="F136" s="30" t="inlineStr">
        <is>
          <t/>
        </is>
      </c>
      <c r="G136" s="31" t="inlineStr">
        <is>
          <t/>
        </is>
      </c>
      <c r="H136" s="32" t="inlineStr">
        <is>
          <t/>
        </is>
      </c>
      <c r="I136" s="33" t="inlineStr">
        <is>
          <t/>
        </is>
      </c>
      <c r="J136" s="34" t="inlineStr">
        <is>
          <t/>
        </is>
      </c>
      <c r="K136" s="35" t="inlineStr">
        <is>
          <t>Privately Held (backing)</t>
        </is>
      </c>
      <c r="L136" s="36" t="inlineStr">
        <is>
          <t>Accelerator/Incubator Backed</t>
        </is>
      </c>
      <c r="M136" s="37" t="n">
        <v>41860.0</v>
      </c>
      <c r="N136" s="38" t="inlineStr">
        <is>
          <t>Accelerator/Incubator</t>
        </is>
      </c>
      <c r="O136" s="39" t="inlineStr">
        <is>
          <t/>
        </is>
      </c>
      <c r="P136" s="102">
        <f>HYPERLINK("https://my.pitchbook.com?c=107631-64", "View company online")</f>
      </c>
    </row>
    <row r="137">
      <c r="A137" s="9" t="inlineStr">
        <is>
          <t>110511-28</t>
        </is>
      </c>
      <c r="B137" s="10" t="inlineStr">
        <is>
          <t>Xooltime</t>
        </is>
      </c>
      <c r="C137" s="11" t="inlineStr">
        <is>
          <t/>
        </is>
      </c>
      <c r="D137" s="12" t="inlineStr">
        <is>
          <t/>
        </is>
      </c>
      <c r="E137" s="13" t="inlineStr">
        <is>
          <t/>
        </is>
      </c>
      <c r="F137" s="14" t="inlineStr">
        <is>
          <t/>
        </is>
      </c>
      <c r="G137" s="15" t="inlineStr">
        <is>
          <t/>
        </is>
      </c>
      <c r="H137" s="16" t="inlineStr">
        <is>
          <t/>
        </is>
      </c>
      <c r="I137" s="17" t="inlineStr">
        <is>
          <t/>
        </is>
      </c>
      <c r="J137" s="18" t="inlineStr">
        <is>
          <t/>
        </is>
      </c>
      <c r="K137" s="19" t="inlineStr">
        <is>
          <t>Privately Held (backing)</t>
        </is>
      </c>
      <c r="L137" s="20" t="inlineStr">
        <is>
          <t>Accelerator/Incubator Backed</t>
        </is>
      </c>
      <c r="M137" s="21" t="inlineStr">
        <is>
          <t/>
        </is>
      </c>
      <c r="N137" s="22" t="inlineStr">
        <is>
          <t>Accelerator/Incubator</t>
        </is>
      </c>
      <c r="O137" s="23" t="inlineStr">
        <is>
          <t/>
        </is>
      </c>
      <c r="P137" s="101">
        <f>HYPERLINK("https://my.pitchbook.com?c=110511-28", "View company online")</f>
      </c>
    </row>
    <row r="138">
      <c r="A138" s="25" t="inlineStr">
        <is>
          <t>99059-50</t>
        </is>
      </c>
      <c r="B138" s="26" t="inlineStr">
        <is>
          <t>Xompass</t>
        </is>
      </c>
      <c r="C138" s="27" t="inlineStr">
        <is>
          <t/>
        </is>
      </c>
      <c r="D138" s="28" t="inlineStr">
        <is>
          <t/>
        </is>
      </c>
      <c r="E138" s="29" t="inlineStr">
        <is>
          <t/>
        </is>
      </c>
      <c r="F138" s="30" t="inlineStr">
        <is>
          <t/>
        </is>
      </c>
      <c r="G138" s="31" t="inlineStr">
        <is>
          <t/>
        </is>
      </c>
      <c r="H138" s="32" t="inlineStr">
        <is>
          <t/>
        </is>
      </c>
      <c r="I138" s="33" t="inlineStr">
        <is>
          <t/>
        </is>
      </c>
      <c r="J138" s="34" t="inlineStr">
        <is>
          <t/>
        </is>
      </c>
      <c r="K138" s="35" t="inlineStr">
        <is>
          <t>Privately Held (backing)</t>
        </is>
      </c>
      <c r="L138" s="36" t="inlineStr">
        <is>
          <t>Accelerator/Incubator Backed</t>
        </is>
      </c>
      <c r="M138" s="37" t="n">
        <v>41861.0</v>
      </c>
      <c r="N138" s="38" t="inlineStr">
        <is>
          <t>Accelerator/Incubator</t>
        </is>
      </c>
      <c r="O138" s="39" t="inlineStr">
        <is>
          <t/>
        </is>
      </c>
      <c r="P138" s="102">
        <f>HYPERLINK("https://my.pitchbook.com?c=99059-50", "View company online")</f>
      </c>
    </row>
    <row r="139">
      <c r="A139" s="9" t="inlineStr">
        <is>
          <t>178439-32</t>
        </is>
      </c>
      <c r="B139" s="10" t="inlineStr">
        <is>
          <t>Xix.ai</t>
        </is>
      </c>
      <c r="C139" s="11" t="inlineStr">
        <is>
          <t/>
        </is>
      </c>
      <c r="D139" s="12" t="inlineStr">
        <is>
          <t/>
        </is>
      </c>
      <c r="E139" s="13" t="inlineStr">
        <is>
          <t/>
        </is>
      </c>
      <c r="F139" s="14" t="inlineStr">
        <is>
          <t/>
        </is>
      </c>
      <c r="G139" s="15" t="inlineStr">
        <is>
          <t/>
        </is>
      </c>
      <c r="H139" s="16" t="inlineStr">
        <is>
          <t/>
        </is>
      </c>
      <c r="I139" s="17" t="inlineStr">
        <is>
          <t/>
        </is>
      </c>
      <c r="J139" s="18" t="inlineStr">
        <is>
          <t/>
        </is>
      </c>
      <c r="K139" s="19" t="inlineStr">
        <is>
          <t>Privately Held (backing)</t>
        </is>
      </c>
      <c r="L139" s="20" t="inlineStr">
        <is>
          <t>Accelerator/Incubator Backed</t>
        </is>
      </c>
      <c r="M139" s="21" t="n">
        <v>42675.0</v>
      </c>
      <c r="N139" s="22" t="inlineStr">
        <is>
          <t>Accelerator/Incubator</t>
        </is>
      </c>
      <c r="O139" s="23" t="n">
        <v>0.12</v>
      </c>
      <c r="P139" s="101">
        <f>HYPERLINK("https://my.pitchbook.com?c=178439-32", "View company online")</f>
      </c>
    </row>
    <row r="140">
      <c r="A140" s="25" t="inlineStr">
        <is>
          <t>102822-85</t>
        </is>
      </c>
      <c r="B140" s="26" t="inlineStr">
        <is>
          <t>Ximoxi</t>
        </is>
      </c>
      <c r="C140" s="27" t="inlineStr">
        <is>
          <t/>
        </is>
      </c>
      <c r="D140" s="28" t="inlineStr">
        <is>
          <t/>
        </is>
      </c>
      <c r="E140" s="29" t="inlineStr">
        <is>
          <t/>
        </is>
      </c>
      <c r="F140" s="30" t="inlineStr">
        <is>
          <t/>
        </is>
      </c>
      <c r="G140" s="31" t="inlineStr">
        <is>
          <t/>
        </is>
      </c>
      <c r="H140" s="32" t="inlineStr">
        <is>
          <t/>
        </is>
      </c>
      <c r="I140" s="33" t="inlineStr">
        <is>
          <t/>
        </is>
      </c>
      <c r="J140" s="34" t="inlineStr">
        <is>
          <t/>
        </is>
      </c>
      <c r="K140" s="35" t="inlineStr">
        <is>
          <t>Privately Held (backing)</t>
        </is>
      </c>
      <c r="L140" s="36" t="inlineStr">
        <is>
          <t>Angel-Backed</t>
        </is>
      </c>
      <c r="M140" s="37" t="n">
        <v>39722.0</v>
      </c>
      <c r="N140" s="38" t="inlineStr">
        <is>
          <t>Seed Round</t>
        </is>
      </c>
      <c r="O140" s="39" t="n">
        <v>0.3</v>
      </c>
      <c r="P140" s="102">
        <f>HYPERLINK("https://my.pitchbook.com?c=102822-85", "View company online")</f>
      </c>
    </row>
    <row r="141">
      <c r="A141" s="9" t="inlineStr">
        <is>
          <t>152840-35</t>
        </is>
      </c>
      <c r="B141" s="10" t="inlineStr">
        <is>
          <t>Xemana</t>
        </is>
      </c>
      <c r="C141" s="11" t="inlineStr">
        <is>
          <t/>
        </is>
      </c>
      <c r="D141" s="12" t="inlineStr">
        <is>
          <t/>
        </is>
      </c>
      <c r="E141" s="13" t="inlineStr">
        <is>
          <t/>
        </is>
      </c>
      <c r="F141" s="14" t="inlineStr">
        <is>
          <t/>
        </is>
      </c>
      <c r="G141" s="15" t="inlineStr">
        <is>
          <t/>
        </is>
      </c>
      <c r="H141" s="16" t="inlineStr">
        <is>
          <t/>
        </is>
      </c>
      <c r="I141" s="17" t="inlineStr">
        <is>
          <t/>
        </is>
      </c>
      <c r="J141" s="18" t="inlineStr">
        <is>
          <t/>
        </is>
      </c>
      <c r="K141" s="19" t="inlineStr">
        <is>
          <t>Privately Held (backing)</t>
        </is>
      </c>
      <c r="L141" s="20" t="inlineStr">
        <is>
          <t>Angel-Backed</t>
        </is>
      </c>
      <c r="M141" s="21" t="n">
        <v>41581.0</v>
      </c>
      <c r="N141" s="22" t="inlineStr">
        <is>
          <t>Seed Round</t>
        </is>
      </c>
      <c r="O141" s="23" t="n">
        <v>0.33</v>
      </c>
      <c r="P141" s="101">
        <f>HYPERLINK("https://my.pitchbook.com?c=152840-35", "View company online")</f>
      </c>
    </row>
    <row r="142">
      <c r="A142" s="25" t="inlineStr">
        <is>
          <t>123283-99</t>
        </is>
      </c>
      <c r="B142" s="26" t="inlineStr">
        <is>
          <t>XCellAssay</t>
        </is>
      </c>
      <c r="C142" s="27" t="inlineStr">
        <is>
          <t/>
        </is>
      </c>
      <c r="D142" s="28" t="inlineStr">
        <is>
          <t/>
        </is>
      </c>
      <c r="E142" s="29" t="inlineStr">
        <is>
          <t/>
        </is>
      </c>
      <c r="F142" s="30" t="inlineStr">
        <is>
          <t/>
        </is>
      </c>
      <c r="G142" s="31" t="inlineStr">
        <is>
          <t/>
        </is>
      </c>
      <c r="H142" s="32" t="inlineStr">
        <is>
          <t/>
        </is>
      </c>
      <c r="I142" s="33" t="inlineStr">
        <is>
          <t/>
        </is>
      </c>
      <c r="J142" s="34" t="inlineStr">
        <is>
          <t/>
        </is>
      </c>
      <c r="K142" s="35" t="inlineStr">
        <is>
          <t>Privately Held (backing)</t>
        </is>
      </c>
      <c r="L142" s="36" t="inlineStr">
        <is>
          <t>Accelerator/Incubator Backed</t>
        </is>
      </c>
      <c r="M142" s="37" t="inlineStr">
        <is>
          <t/>
        </is>
      </c>
      <c r="N142" s="38" t="inlineStr">
        <is>
          <t>Grant</t>
        </is>
      </c>
      <c r="O142" s="39" t="inlineStr">
        <is>
          <t/>
        </is>
      </c>
      <c r="P142" s="102">
        <f>HYPERLINK("https://my.pitchbook.com?c=123283-99", "View company online")</f>
      </c>
    </row>
    <row r="143">
      <c r="A143" s="9" t="inlineStr">
        <is>
          <t>103825-72</t>
        </is>
      </c>
      <c r="B143" s="10" t="inlineStr">
        <is>
          <t>Xcel Group</t>
        </is>
      </c>
      <c r="C143" s="11" t="inlineStr">
        <is>
          <t/>
        </is>
      </c>
      <c r="D143" s="12" t="inlineStr">
        <is>
          <t/>
        </is>
      </c>
      <c r="E143" s="13" t="inlineStr">
        <is>
          <t/>
        </is>
      </c>
      <c r="F143" s="14" t="inlineStr">
        <is>
          <t/>
        </is>
      </c>
      <c r="G143" s="15" t="inlineStr">
        <is>
          <t/>
        </is>
      </c>
      <c r="H143" s="16" t="inlineStr">
        <is>
          <t/>
        </is>
      </c>
      <c r="I143" s="17" t="inlineStr">
        <is>
          <t/>
        </is>
      </c>
      <c r="J143" s="18" t="inlineStr">
        <is>
          <t/>
        </is>
      </c>
      <c r="K143" s="19" t="inlineStr">
        <is>
          <t>Privately Held (backing)</t>
        </is>
      </c>
      <c r="L143" s="20" t="inlineStr">
        <is>
          <t>Angel-Backed</t>
        </is>
      </c>
      <c r="M143" s="21" t="n">
        <v>42600.0</v>
      </c>
      <c r="N143" s="22" t="inlineStr">
        <is>
          <t>Angel (individual)</t>
        </is>
      </c>
      <c r="O143" s="23" t="n">
        <v>0.01</v>
      </c>
      <c r="P143" s="101">
        <f>HYPERLINK("https://my.pitchbook.com?c=103825-72", "View company online")</f>
      </c>
    </row>
    <row r="144">
      <c r="A144" s="25" t="inlineStr">
        <is>
          <t>148135-51</t>
        </is>
      </c>
      <c r="B144" s="26" t="inlineStr">
        <is>
          <t>Wyndow</t>
        </is>
      </c>
      <c r="C144" s="27" t="inlineStr">
        <is>
          <t/>
        </is>
      </c>
      <c r="D144" s="28" t="inlineStr">
        <is>
          <t/>
        </is>
      </c>
      <c r="E144" s="29" t="inlineStr">
        <is>
          <t/>
        </is>
      </c>
      <c r="F144" s="30" t="inlineStr">
        <is>
          <t/>
        </is>
      </c>
      <c r="G144" s="31" t="inlineStr">
        <is>
          <t/>
        </is>
      </c>
      <c r="H144" s="32" t="inlineStr">
        <is>
          <t/>
        </is>
      </c>
      <c r="I144" s="33" t="inlineStr">
        <is>
          <t/>
        </is>
      </c>
      <c r="J144" s="34" t="inlineStr">
        <is>
          <t/>
        </is>
      </c>
      <c r="K144" s="35" t="inlineStr">
        <is>
          <t>Privately Held (backing)</t>
        </is>
      </c>
      <c r="L144" s="36" t="inlineStr">
        <is>
          <t>Angel-Backed</t>
        </is>
      </c>
      <c r="M144" s="37" t="n">
        <v>42543.0</v>
      </c>
      <c r="N144" s="38" t="inlineStr">
        <is>
          <t>Angel (individual)</t>
        </is>
      </c>
      <c r="O144" s="39" t="n">
        <v>0.8</v>
      </c>
      <c r="P144" s="102">
        <f>HYPERLINK("https://my.pitchbook.com?c=148135-51", "View company online")</f>
      </c>
    </row>
    <row r="145">
      <c r="A145" s="9" t="inlineStr">
        <is>
          <t>65820-16</t>
        </is>
      </c>
      <c r="B145" s="10" t="inlineStr">
        <is>
          <t>Wyldfire</t>
        </is>
      </c>
      <c r="C145" s="11" t="inlineStr">
        <is>
          <t/>
        </is>
      </c>
      <c r="D145" s="12" t="inlineStr">
        <is>
          <t/>
        </is>
      </c>
      <c r="E145" s="13" t="inlineStr">
        <is>
          <t/>
        </is>
      </c>
      <c r="F145" s="14" t="inlineStr">
        <is>
          <t/>
        </is>
      </c>
      <c r="G145" s="15" t="inlineStr">
        <is>
          <t/>
        </is>
      </c>
      <c r="H145" s="16" t="inlineStr">
        <is>
          <t/>
        </is>
      </c>
      <c r="I145" s="17" t="inlineStr">
        <is>
          <t/>
        </is>
      </c>
      <c r="J145" s="18" t="inlineStr">
        <is>
          <t/>
        </is>
      </c>
      <c r="K145" s="19" t="inlineStr">
        <is>
          <t>Privately Held (backing)</t>
        </is>
      </c>
      <c r="L145" s="20" t="inlineStr">
        <is>
          <t>Accelerator/Incubator Backed</t>
        </is>
      </c>
      <c r="M145" s="21" t="n">
        <v>41858.0</v>
      </c>
      <c r="N145" s="22" t="inlineStr">
        <is>
          <t>Seed Round</t>
        </is>
      </c>
      <c r="O145" s="23" t="inlineStr">
        <is>
          <t/>
        </is>
      </c>
      <c r="P145" s="101">
        <f>HYPERLINK("https://my.pitchbook.com?c=65820-16", "View company online")</f>
      </c>
    </row>
    <row r="146">
      <c r="A146" s="25" t="inlineStr">
        <is>
          <t>171909-01</t>
        </is>
      </c>
      <c r="B146" s="26" t="inlineStr">
        <is>
          <t>WUTT2</t>
        </is>
      </c>
      <c r="C146" s="78">
        <f>HYPERLINK("https://my.pitchbook.com?rrp=171909-01&amp;type=c", "This Company's information is not available to download. Need this Company? Request availability")</f>
      </c>
      <c r="D146" s="28" t="inlineStr">
        <is>
          <t/>
        </is>
      </c>
      <c r="E146" s="29" t="inlineStr">
        <is>
          <t/>
        </is>
      </c>
      <c r="F146" s="30" t="inlineStr">
        <is>
          <t/>
        </is>
      </c>
      <c r="G146" s="31" t="inlineStr">
        <is>
          <t/>
        </is>
      </c>
      <c r="H146" s="32" t="inlineStr">
        <is>
          <t/>
        </is>
      </c>
      <c r="I146" s="33" t="inlineStr">
        <is>
          <t/>
        </is>
      </c>
      <c r="J146" s="34" t="inlineStr">
        <is>
          <t/>
        </is>
      </c>
      <c r="K146" s="35" t="inlineStr">
        <is>
          <t/>
        </is>
      </c>
      <c r="L146" s="36" t="inlineStr">
        <is>
          <t/>
        </is>
      </c>
      <c r="M146" s="37" t="inlineStr">
        <is>
          <t/>
        </is>
      </c>
      <c r="N146" s="38" t="inlineStr">
        <is>
          <t/>
        </is>
      </c>
      <c r="O146" s="39" t="inlineStr">
        <is>
          <t/>
        </is>
      </c>
      <c r="P146" s="40" t="inlineStr">
        <is>
          <t/>
        </is>
      </c>
    </row>
    <row r="147">
      <c r="A147" s="9" t="inlineStr">
        <is>
          <t>119967-40</t>
        </is>
      </c>
      <c r="B147" s="10" t="inlineStr">
        <is>
          <t>Wurrly</t>
        </is>
      </c>
      <c r="C147" s="11" t="inlineStr">
        <is>
          <t/>
        </is>
      </c>
      <c r="D147" s="12" t="inlineStr">
        <is>
          <t/>
        </is>
      </c>
      <c r="E147" s="13" t="inlineStr">
        <is>
          <t/>
        </is>
      </c>
      <c r="F147" s="14" t="inlineStr">
        <is>
          <t/>
        </is>
      </c>
      <c r="G147" s="15" t="inlineStr">
        <is>
          <t/>
        </is>
      </c>
      <c r="H147" s="16" t="inlineStr">
        <is>
          <t/>
        </is>
      </c>
      <c r="I147" s="17" t="inlineStr">
        <is>
          <t/>
        </is>
      </c>
      <c r="J147" s="18" t="inlineStr">
        <is>
          <t/>
        </is>
      </c>
      <c r="K147" s="19" t="inlineStr">
        <is>
          <t>Privately Held (backing)</t>
        </is>
      </c>
      <c r="L147" s="20" t="inlineStr">
        <is>
          <t>Angel-Backed</t>
        </is>
      </c>
      <c r="M147" s="21" t="inlineStr">
        <is>
          <t/>
        </is>
      </c>
      <c r="N147" s="22" t="inlineStr">
        <is>
          <t/>
        </is>
      </c>
      <c r="O147" s="23" t="inlineStr">
        <is>
          <t/>
        </is>
      </c>
      <c r="P147" s="101">
        <f>HYPERLINK("https://my.pitchbook.com?c=119967-40", "View company online")</f>
      </c>
    </row>
    <row r="148">
      <c r="A148" s="25" t="inlineStr">
        <is>
          <t>62254-18</t>
        </is>
      </c>
      <c r="B148" s="26" t="inlineStr">
        <is>
          <t>Wurl</t>
        </is>
      </c>
      <c r="C148" s="27" t="inlineStr">
        <is>
          <t/>
        </is>
      </c>
      <c r="D148" s="28" t="inlineStr">
        <is>
          <t/>
        </is>
      </c>
      <c r="E148" s="29" t="inlineStr">
        <is>
          <t/>
        </is>
      </c>
      <c r="F148" s="30" t="inlineStr">
        <is>
          <t/>
        </is>
      </c>
      <c r="G148" s="31" t="inlineStr">
        <is>
          <t/>
        </is>
      </c>
      <c r="H148" s="32" t="inlineStr">
        <is>
          <t/>
        </is>
      </c>
      <c r="I148" s="33" t="inlineStr">
        <is>
          <t/>
        </is>
      </c>
      <c r="J148" s="34" t="inlineStr">
        <is>
          <t/>
        </is>
      </c>
      <c r="K148" s="35" t="inlineStr">
        <is>
          <t>Privately Held (backing)</t>
        </is>
      </c>
      <c r="L148" s="36" t="inlineStr">
        <is>
          <t>Angel-Backed</t>
        </is>
      </c>
      <c r="M148" s="37" t="n">
        <v>41730.0</v>
      </c>
      <c r="N148" s="38" t="inlineStr">
        <is>
          <t>Angel (individual)</t>
        </is>
      </c>
      <c r="O148" s="39" t="n">
        <v>1.37</v>
      </c>
      <c r="P148" s="102">
        <f>HYPERLINK("https://my.pitchbook.com?c=62254-18", "View company online")</f>
      </c>
    </row>
    <row r="149">
      <c r="A149" s="9" t="inlineStr">
        <is>
          <t>165985-30</t>
        </is>
      </c>
      <c r="B149" s="10" t="inlineStr">
        <is>
          <t>WrkRiot</t>
        </is>
      </c>
      <c r="C149" s="11" t="inlineStr">
        <is>
          <t/>
        </is>
      </c>
      <c r="D149" s="12" t="inlineStr">
        <is>
          <t/>
        </is>
      </c>
      <c r="E149" s="13" t="inlineStr">
        <is>
          <t/>
        </is>
      </c>
      <c r="F149" s="14" t="inlineStr">
        <is>
          <t/>
        </is>
      </c>
      <c r="G149" s="15" t="inlineStr">
        <is>
          <t/>
        </is>
      </c>
      <c r="H149" s="16" t="inlineStr">
        <is>
          <t/>
        </is>
      </c>
      <c r="I149" s="17" t="inlineStr">
        <is>
          <t/>
        </is>
      </c>
      <c r="J149" s="18" t="inlineStr">
        <is>
          <t/>
        </is>
      </c>
      <c r="K149" s="19" t="inlineStr">
        <is>
          <t>Privately Held (backing)</t>
        </is>
      </c>
      <c r="L149" s="20" t="inlineStr">
        <is>
          <t>Angel-Backed</t>
        </is>
      </c>
      <c r="M149" s="21" t="n">
        <v>42583.0</v>
      </c>
      <c r="N149" s="22" t="inlineStr">
        <is>
          <t>Seed Round</t>
        </is>
      </c>
      <c r="O149" s="23" t="n">
        <v>0.13</v>
      </c>
      <c r="P149" s="101">
        <f>HYPERLINK("https://my.pitchbook.com?c=165985-30", "View company online")</f>
      </c>
    </row>
    <row r="150">
      <c r="A150" s="25" t="inlineStr">
        <is>
          <t>103761-91</t>
        </is>
      </c>
      <c r="B150" s="26" t="inlineStr">
        <is>
          <t>Writeyboard</t>
        </is>
      </c>
      <c r="C150" s="27" t="inlineStr">
        <is>
          <t/>
        </is>
      </c>
      <c r="D150" s="28" t="inlineStr">
        <is>
          <t/>
        </is>
      </c>
      <c r="E150" s="29" t="inlineStr">
        <is>
          <t/>
        </is>
      </c>
      <c r="F150" s="30" t="inlineStr">
        <is>
          <t/>
        </is>
      </c>
      <c r="G150" s="31" t="inlineStr">
        <is>
          <t/>
        </is>
      </c>
      <c r="H150" s="32" t="inlineStr">
        <is>
          <t/>
        </is>
      </c>
      <c r="I150" s="33" t="inlineStr">
        <is>
          <t/>
        </is>
      </c>
      <c r="J150" s="34" t="inlineStr">
        <is>
          <t/>
        </is>
      </c>
      <c r="K150" s="35" t="inlineStr">
        <is>
          <t>Privately Held (backing)</t>
        </is>
      </c>
      <c r="L150" s="36" t="inlineStr">
        <is>
          <t>Angel-Backed</t>
        </is>
      </c>
      <c r="M150" s="37" t="n">
        <v>42857.0</v>
      </c>
      <c r="N150" s="38" t="inlineStr">
        <is>
          <t>Product Crowdfunding</t>
        </is>
      </c>
      <c r="O150" s="39" t="n">
        <v>0.01</v>
      </c>
      <c r="P150" s="102">
        <f>HYPERLINK("https://my.pitchbook.com?c=103761-91", "View company online")</f>
      </c>
    </row>
    <row r="151">
      <c r="A151" s="9" t="inlineStr">
        <is>
          <t>113588-20</t>
        </is>
      </c>
      <c r="B151" s="10" t="inlineStr">
        <is>
          <t>WriteWell</t>
        </is>
      </c>
      <c r="C151" s="77">
        <f>HYPERLINK("https://my.pitchbook.com?rrp=113588-20&amp;type=c", "This Company's information is not available to download. Need this Company? Request availability")</f>
      </c>
      <c r="D151" s="12" t="inlineStr">
        <is>
          <t/>
        </is>
      </c>
      <c r="E151" s="13" t="inlineStr">
        <is>
          <t/>
        </is>
      </c>
      <c r="F151" s="14" t="inlineStr">
        <is>
          <t/>
        </is>
      </c>
      <c r="G151" s="15" t="inlineStr">
        <is>
          <t/>
        </is>
      </c>
      <c r="H151" s="16" t="inlineStr">
        <is>
          <t/>
        </is>
      </c>
      <c r="I151" s="17" t="inlineStr">
        <is>
          <t/>
        </is>
      </c>
      <c r="J151" s="18" t="inlineStr">
        <is>
          <t/>
        </is>
      </c>
      <c r="K151" s="19" t="inlineStr">
        <is>
          <t/>
        </is>
      </c>
      <c r="L151" s="20" t="inlineStr">
        <is>
          <t/>
        </is>
      </c>
      <c r="M151" s="21" t="inlineStr">
        <is>
          <t/>
        </is>
      </c>
      <c r="N151" s="22" t="inlineStr">
        <is>
          <t/>
        </is>
      </c>
      <c r="O151" s="23" t="inlineStr">
        <is>
          <t/>
        </is>
      </c>
      <c r="P151" s="24" t="inlineStr">
        <is>
          <t/>
        </is>
      </c>
    </row>
    <row r="152">
      <c r="A152" s="25" t="inlineStr">
        <is>
          <t>103754-44</t>
        </is>
      </c>
      <c r="B152" s="26" t="inlineStr">
        <is>
          <t>WriteOn</t>
        </is>
      </c>
      <c r="C152" s="27" t="inlineStr">
        <is>
          <t/>
        </is>
      </c>
      <c r="D152" s="28" t="inlineStr">
        <is>
          <t/>
        </is>
      </c>
      <c r="E152" s="29" t="inlineStr">
        <is>
          <t/>
        </is>
      </c>
      <c r="F152" s="30" t="inlineStr">
        <is>
          <t/>
        </is>
      </c>
      <c r="G152" s="31" t="inlineStr">
        <is>
          <t/>
        </is>
      </c>
      <c r="H152" s="32" t="inlineStr">
        <is>
          <t/>
        </is>
      </c>
      <c r="I152" s="33" t="inlineStr">
        <is>
          <t/>
        </is>
      </c>
      <c r="J152" s="34" t="inlineStr">
        <is>
          <t/>
        </is>
      </c>
      <c r="K152" s="35" t="inlineStr">
        <is>
          <t>Privately Held (backing)</t>
        </is>
      </c>
      <c r="L152" s="36" t="inlineStr">
        <is>
          <t>Angel-Backed</t>
        </is>
      </c>
      <c r="M152" s="37" t="n">
        <v>41821.0</v>
      </c>
      <c r="N152" s="38" t="inlineStr">
        <is>
          <t>Angel (individual)</t>
        </is>
      </c>
      <c r="O152" s="39" t="inlineStr">
        <is>
          <t/>
        </is>
      </c>
      <c r="P152" s="102">
        <f>HYPERLINK("https://my.pitchbook.com?c=103754-44", "View company online")</f>
      </c>
    </row>
    <row r="153">
      <c r="A153" s="9" t="inlineStr">
        <is>
          <t>104507-02</t>
        </is>
      </c>
      <c r="B153" s="10" t="inlineStr">
        <is>
          <t>Wrenchguy's Mobile</t>
        </is>
      </c>
      <c r="C153" s="11" t="inlineStr">
        <is>
          <t/>
        </is>
      </c>
      <c r="D153" s="12" t="inlineStr">
        <is>
          <t/>
        </is>
      </c>
      <c r="E153" s="13" t="inlineStr">
        <is>
          <t/>
        </is>
      </c>
      <c r="F153" s="14" t="inlineStr">
        <is>
          <t/>
        </is>
      </c>
      <c r="G153" s="15" t="inlineStr">
        <is>
          <t/>
        </is>
      </c>
      <c r="H153" s="16" t="inlineStr">
        <is>
          <t/>
        </is>
      </c>
      <c r="I153" s="17" t="inlineStr">
        <is>
          <t/>
        </is>
      </c>
      <c r="J153" s="18" t="inlineStr">
        <is>
          <t/>
        </is>
      </c>
      <c r="K153" s="19" t="inlineStr">
        <is>
          <t>Privately Held (backing)</t>
        </is>
      </c>
      <c r="L153" s="20" t="inlineStr">
        <is>
          <t>Angel-Backed</t>
        </is>
      </c>
      <c r="M153" s="21" t="n">
        <v>40812.0</v>
      </c>
      <c r="N153" s="22" t="inlineStr">
        <is>
          <t>Angel (individual)</t>
        </is>
      </c>
      <c r="O153" s="23" t="n">
        <v>0.02</v>
      </c>
      <c r="P153" s="101">
        <f>HYPERLINK("https://my.pitchbook.com?c=104507-02", "View company online")</f>
      </c>
    </row>
    <row r="154">
      <c r="A154" s="25" t="inlineStr">
        <is>
          <t>178991-92</t>
        </is>
      </c>
      <c r="B154" s="26" t="inlineStr">
        <is>
          <t>Wreckords</t>
        </is>
      </c>
      <c r="C154" s="27" t="inlineStr">
        <is>
          <t/>
        </is>
      </c>
      <c r="D154" s="28" t="inlineStr">
        <is>
          <t/>
        </is>
      </c>
      <c r="E154" s="29" t="inlineStr">
        <is>
          <t/>
        </is>
      </c>
      <c r="F154" s="30" t="inlineStr">
        <is>
          <t/>
        </is>
      </c>
      <c r="G154" s="31" t="inlineStr">
        <is>
          <t/>
        </is>
      </c>
      <c r="H154" s="32" t="inlineStr">
        <is>
          <t/>
        </is>
      </c>
      <c r="I154" s="33" t="inlineStr">
        <is>
          <t/>
        </is>
      </c>
      <c r="J154" s="34" t="inlineStr">
        <is>
          <t/>
        </is>
      </c>
      <c r="K154" s="35" t="inlineStr">
        <is>
          <t>Privately Held (backing)</t>
        </is>
      </c>
      <c r="L154" s="36" t="inlineStr">
        <is>
          <t>Angel-Backed</t>
        </is>
      </c>
      <c r="M154" s="37" t="n">
        <v>42811.0</v>
      </c>
      <c r="N154" s="38" t="inlineStr">
        <is>
          <t>Angel (individual)</t>
        </is>
      </c>
      <c r="O154" s="39" t="n">
        <v>0.01</v>
      </c>
      <c r="P154" s="102">
        <f>HYPERLINK("https://my.pitchbook.com?c=178991-92", "View company online")</f>
      </c>
    </row>
    <row r="155">
      <c r="A155" s="9" t="inlineStr">
        <is>
          <t>174356-29</t>
        </is>
      </c>
      <c r="B155" s="10" t="inlineStr">
        <is>
          <t>WOSH</t>
        </is>
      </c>
      <c r="C155" s="77">
        <f>HYPERLINK("https://my.pitchbook.com?rrp=174356-29&amp;type=c", "This Company's information is not available to download. Need this Company? Request availability")</f>
      </c>
      <c r="D155" s="12" t="inlineStr">
        <is>
          <t/>
        </is>
      </c>
      <c r="E155" s="13" t="inlineStr">
        <is>
          <t/>
        </is>
      </c>
      <c r="F155" s="14" t="inlineStr">
        <is>
          <t/>
        </is>
      </c>
      <c r="G155" s="15" t="inlineStr">
        <is>
          <t/>
        </is>
      </c>
      <c r="H155" s="16" t="inlineStr">
        <is>
          <t/>
        </is>
      </c>
      <c r="I155" s="17" t="inlineStr">
        <is>
          <t/>
        </is>
      </c>
      <c r="J155" s="18" t="inlineStr">
        <is>
          <t/>
        </is>
      </c>
      <c r="K155" s="19" t="inlineStr">
        <is>
          <t/>
        </is>
      </c>
      <c r="L155" s="20" t="inlineStr">
        <is>
          <t/>
        </is>
      </c>
      <c r="M155" s="21" t="inlineStr">
        <is>
          <t/>
        </is>
      </c>
      <c r="N155" s="22" t="inlineStr">
        <is>
          <t/>
        </is>
      </c>
      <c r="O155" s="23" t="inlineStr">
        <is>
          <t/>
        </is>
      </c>
      <c r="P155" s="24" t="inlineStr">
        <is>
          <t/>
        </is>
      </c>
    </row>
    <row r="156">
      <c r="A156" s="25" t="inlineStr">
        <is>
          <t>169159-87</t>
        </is>
      </c>
      <c r="B156" s="26" t="inlineStr">
        <is>
          <t>WortheeMed</t>
        </is>
      </c>
      <c r="C156" s="27" t="inlineStr">
        <is>
          <t/>
        </is>
      </c>
      <c r="D156" s="28" t="inlineStr">
        <is>
          <t/>
        </is>
      </c>
      <c r="E156" s="29" t="inlineStr">
        <is>
          <t/>
        </is>
      </c>
      <c r="F156" s="30" t="inlineStr">
        <is>
          <t/>
        </is>
      </c>
      <c r="G156" s="31" t="inlineStr">
        <is>
          <t/>
        </is>
      </c>
      <c r="H156" s="32" t="inlineStr">
        <is>
          <t/>
        </is>
      </c>
      <c r="I156" s="33" t="inlineStr">
        <is>
          <t/>
        </is>
      </c>
      <c r="J156" s="34" t="inlineStr">
        <is>
          <t/>
        </is>
      </c>
      <c r="K156" s="35" t="inlineStr">
        <is>
          <t>Privately Held (backing)</t>
        </is>
      </c>
      <c r="L156" s="36" t="inlineStr">
        <is>
          <t>Angel-Backed</t>
        </is>
      </c>
      <c r="M156" s="37" t="n">
        <v>42725.0</v>
      </c>
      <c r="N156" s="38" t="inlineStr">
        <is>
          <t>Angel (individual)</t>
        </is>
      </c>
      <c r="O156" s="39" t="n">
        <v>0.01</v>
      </c>
      <c r="P156" s="102">
        <f>HYPERLINK("https://my.pitchbook.com?c=169159-87", "View company online")</f>
      </c>
    </row>
    <row r="157">
      <c r="A157" s="9" t="inlineStr">
        <is>
          <t>103747-42</t>
        </is>
      </c>
      <c r="B157" s="10" t="inlineStr">
        <is>
          <t>Worlize</t>
        </is>
      </c>
      <c r="C157" s="11" t="inlineStr">
        <is>
          <t/>
        </is>
      </c>
      <c r="D157" s="12" t="inlineStr">
        <is>
          <t/>
        </is>
      </c>
      <c r="E157" s="13" t="inlineStr">
        <is>
          <t/>
        </is>
      </c>
      <c r="F157" s="14" t="inlineStr">
        <is>
          <t/>
        </is>
      </c>
      <c r="G157" s="15" t="inlineStr">
        <is>
          <t/>
        </is>
      </c>
      <c r="H157" s="16" t="inlineStr">
        <is>
          <t/>
        </is>
      </c>
      <c r="I157" s="17" t="inlineStr">
        <is>
          <t/>
        </is>
      </c>
      <c r="J157" s="18" t="inlineStr">
        <is>
          <t/>
        </is>
      </c>
      <c r="K157" s="19" t="inlineStr">
        <is>
          <t>Privately Held (backing)</t>
        </is>
      </c>
      <c r="L157" s="20" t="inlineStr">
        <is>
          <t>Angel-Backed</t>
        </is>
      </c>
      <c r="M157" s="21" t="inlineStr">
        <is>
          <t/>
        </is>
      </c>
      <c r="N157" s="22" t="inlineStr">
        <is>
          <t>Angel (individual)</t>
        </is>
      </c>
      <c r="O157" s="23" t="inlineStr">
        <is>
          <t/>
        </is>
      </c>
      <c r="P157" s="101">
        <f>HYPERLINK("https://my.pitchbook.com?c=103747-42", "View company online")</f>
      </c>
    </row>
    <row r="158">
      <c r="A158" s="25" t="inlineStr">
        <is>
          <t>103643-74</t>
        </is>
      </c>
      <c r="B158" s="26" t="inlineStr">
        <is>
          <t>WorldShop</t>
        </is>
      </c>
      <c r="C158" s="27" t="inlineStr">
        <is>
          <t/>
        </is>
      </c>
      <c r="D158" s="28" t="inlineStr">
        <is>
          <t/>
        </is>
      </c>
      <c r="E158" s="29" t="inlineStr">
        <is>
          <t/>
        </is>
      </c>
      <c r="F158" s="30" t="inlineStr">
        <is>
          <t/>
        </is>
      </c>
      <c r="G158" s="31" t="inlineStr">
        <is>
          <t/>
        </is>
      </c>
      <c r="H158" s="32" t="inlineStr">
        <is>
          <t/>
        </is>
      </c>
      <c r="I158" s="33" t="inlineStr">
        <is>
          <t/>
        </is>
      </c>
      <c r="J158" s="34" t="inlineStr">
        <is>
          <t/>
        </is>
      </c>
      <c r="K158" s="35" t="inlineStr">
        <is>
          <t>Privately Held (backing)</t>
        </is>
      </c>
      <c r="L158" s="36" t="inlineStr">
        <is>
          <t>Accelerator/Incubator Backed</t>
        </is>
      </c>
      <c r="M158" s="37" t="n">
        <v>41730.0</v>
      </c>
      <c r="N158" s="38" t="inlineStr">
        <is>
          <t>Seed Round</t>
        </is>
      </c>
      <c r="O158" s="39" t="inlineStr">
        <is>
          <t/>
        </is>
      </c>
      <c r="P158" s="102">
        <f>HYPERLINK("https://my.pitchbook.com?c=103643-74", "View company online")</f>
      </c>
    </row>
    <row r="159">
      <c r="A159" s="9" t="inlineStr">
        <is>
          <t>169419-25</t>
        </is>
      </c>
      <c r="B159" s="10" t="inlineStr">
        <is>
          <t>WorlDance</t>
        </is>
      </c>
      <c r="C159" s="11" t="inlineStr">
        <is>
          <t/>
        </is>
      </c>
      <c r="D159" s="12" t="inlineStr">
        <is>
          <t/>
        </is>
      </c>
      <c r="E159" s="13" t="inlineStr">
        <is>
          <t/>
        </is>
      </c>
      <c r="F159" s="14" t="inlineStr">
        <is>
          <t/>
        </is>
      </c>
      <c r="G159" s="15" t="inlineStr">
        <is>
          <t/>
        </is>
      </c>
      <c r="H159" s="16" t="inlineStr">
        <is>
          <t/>
        </is>
      </c>
      <c r="I159" s="17" t="inlineStr">
        <is>
          <t/>
        </is>
      </c>
      <c r="J159" s="18" t="inlineStr">
        <is>
          <t/>
        </is>
      </c>
      <c r="K159" s="19" t="inlineStr">
        <is>
          <t>Privately Held (backing)</t>
        </is>
      </c>
      <c r="L159" s="20" t="inlineStr">
        <is>
          <t>Accelerator/Incubator Backed</t>
        </is>
      </c>
      <c r="M159" s="21" t="n">
        <v>42331.0</v>
      </c>
      <c r="N159" s="22" t="inlineStr">
        <is>
          <t>Accelerator/Incubator</t>
        </is>
      </c>
      <c r="O159" s="23" t="inlineStr">
        <is>
          <t/>
        </is>
      </c>
      <c r="P159" s="101">
        <f>HYPERLINK("https://my.pitchbook.com?c=169419-25", "View company online")</f>
      </c>
    </row>
    <row r="160">
      <c r="A160" s="25" t="inlineStr">
        <is>
          <t>104812-39</t>
        </is>
      </c>
      <c r="B160" s="26" t="inlineStr">
        <is>
          <t>World Tech Makers</t>
        </is>
      </c>
      <c r="C160" s="27" t="inlineStr">
        <is>
          <t/>
        </is>
      </c>
      <c r="D160" s="28" t="inlineStr">
        <is>
          <t/>
        </is>
      </c>
      <c r="E160" s="29" t="inlineStr">
        <is>
          <t/>
        </is>
      </c>
      <c r="F160" s="30" t="inlineStr">
        <is>
          <t/>
        </is>
      </c>
      <c r="G160" s="31" t="inlineStr">
        <is>
          <t/>
        </is>
      </c>
      <c r="H160" s="32" t="inlineStr">
        <is>
          <t/>
        </is>
      </c>
      <c r="I160" s="33" t="inlineStr">
        <is>
          <t/>
        </is>
      </c>
      <c r="J160" s="34" t="inlineStr">
        <is>
          <t/>
        </is>
      </c>
      <c r="K160" s="35" t="inlineStr">
        <is>
          <t>Privately Held (backing)</t>
        </is>
      </c>
      <c r="L160" s="36" t="inlineStr">
        <is>
          <t>Accelerator/Incubator Backed</t>
        </is>
      </c>
      <c r="M160" s="37" t="n">
        <v>42394.0</v>
      </c>
      <c r="N160" s="38" t="inlineStr">
        <is>
          <t>Angel (individual)</t>
        </is>
      </c>
      <c r="O160" s="39" t="inlineStr">
        <is>
          <t/>
        </is>
      </c>
      <c r="P160" s="102">
        <f>HYPERLINK("https://my.pitchbook.com?c=104812-39", "View company online")</f>
      </c>
    </row>
    <row r="161">
      <c r="A161" s="9" t="inlineStr">
        <is>
          <t>103365-82</t>
        </is>
      </c>
      <c r="B161" s="10" t="inlineStr">
        <is>
          <t>World Market Vendor Services</t>
        </is>
      </c>
      <c r="C161" s="11" t="inlineStr">
        <is>
          <t/>
        </is>
      </c>
      <c r="D161" s="12" t="inlineStr">
        <is>
          <t/>
        </is>
      </c>
      <c r="E161" s="13" t="inlineStr">
        <is>
          <t/>
        </is>
      </c>
      <c r="F161" s="14" t="inlineStr">
        <is>
          <t/>
        </is>
      </c>
      <c r="G161" s="15" t="inlineStr">
        <is>
          <t/>
        </is>
      </c>
      <c r="H161" s="16" t="inlineStr">
        <is>
          <t/>
        </is>
      </c>
      <c r="I161" s="17" t="inlineStr">
        <is>
          <t/>
        </is>
      </c>
      <c r="J161" s="18" t="inlineStr">
        <is>
          <t/>
        </is>
      </c>
      <c r="K161" s="19" t="inlineStr">
        <is>
          <t>Privately Held (backing)</t>
        </is>
      </c>
      <c r="L161" s="20" t="inlineStr">
        <is>
          <t>Angel-Backed</t>
        </is>
      </c>
      <c r="M161" s="21" t="inlineStr">
        <is>
          <t/>
        </is>
      </c>
      <c r="N161" s="22" t="inlineStr">
        <is>
          <t>Angel (individual)</t>
        </is>
      </c>
      <c r="O161" s="23" t="n">
        <v>2.0</v>
      </c>
      <c r="P161" s="101">
        <f>HYPERLINK("https://my.pitchbook.com?c=103365-82", "View company online")</f>
      </c>
    </row>
    <row r="162">
      <c r="A162" s="25" t="inlineStr">
        <is>
          <t>108698-59</t>
        </is>
      </c>
      <c r="B162" s="26" t="inlineStr">
        <is>
          <t>World Lifestyle</t>
        </is>
      </c>
      <c r="C162" s="78">
        <f>HYPERLINK("https://my.pitchbook.com?rrp=108698-59&amp;type=c", "This Company's information is not available to download. Need this Company? Request availability")</f>
      </c>
      <c r="D162" s="28" t="inlineStr">
        <is>
          <t/>
        </is>
      </c>
      <c r="E162" s="29" t="inlineStr">
        <is>
          <t/>
        </is>
      </c>
      <c r="F162" s="30" t="inlineStr">
        <is>
          <t/>
        </is>
      </c>
      <c r="G162" s="31" t="inlineStr">
        <is>
          <t/>
        </is>
      </c>
      <c r="H162" s="32" t="inlineStr">
        <is>
          <t/>
        </is>
      </c>
      <c r="I162" s="33" t="inlineStr">
        <is>
          <t/>
        </is>
      </c>
      <c r="J162" s="34" t="inlineStr">
        <is>
          <t/>
        </is>
      </c>
      <c r="K162" s="35" t="inlineStr">
        <is>
          <t/>
        </is>
      </c>
      <c r="L162" s="36" t="inlineStr">
        <is>
          <t/>
        </is>
      </c>
      <c r="M162" s="37" t="inlineStr">
        <is>
          <t/>
        </is>
      </c>
      <c r="N162" s="38" t="inlineStr">
        <is>
          <t/>
        </is>
      </c>
      <c r="O162" s="39" t="inlineStr">
        <is>
          <t/>
        </is>
      </c>
      <c r="P162" s="40" t="inlineStr">
        <is>
          <t/>
        </is>
      </c>
    </row>
    <row r="163">
      <c r="A163" s="9" t="inlineStr">
        <is>
          <t>151189-12</t>
        </is>
      </c>
      <c r="B163" s="10" t="inlineStr">
        <is>
          <t>World Education University</t>
        </is>
      </c>
      <c r="C163" s="11" t="inlineStr">
        <is>
          <t/>
        </is>
      </c>
      <c r="D163" s="12" t="inlineStr">
        <is>
          <t/>
        </is>
      </c>
      <c r="E163" s="13" t="inlineStr">
        <is>
          <t/>
        </is>
      </c>
      <c r="F163" s="14" t="inlineStr">
        <is>
          <t/>
        </is>
      </c>
      <c r="G163" s="15" t="inlineStr">
        <is>
          <t/>
        </is>
      </c>
      <c r="H163" s="16" t="inlineStr">
        <is>
          <t/>
        </is>
      </c>
      <c r="I163" s="17" t="inlineStr">
        <is>
          <t/>
        </is>
      </c>
      <c r="J163" s="18" t="inlineStr">
        <is>
          <t/>
        </is>
      </c>
      <c r="K163" s="19" t="inlineStr">
        <is>
          <t>Privately Held (backing)</t>
        </is>
      </c>
      <c r="L163" s="20" t="inlineStr">
        <is>
          <t>Angel-Backed</t>
        </is>
      </c>
      <c r="M163" s="21" t="n">
        <v>41138.0</v>
      </c>
      <c r="N163" s="22" t="inlineStr">
        <is>
          <t>Seed Round</t>
        </is>
      </c>
      <c r="O163" s="23" t="n">
        <v>1.0</v>
      </c>
      <c r="P163" s="101">
        <f>HYPERLINK("https://my.pitchbook.com?c=151189-12", "View company online")</f>
      </c>
    </row>
    <row r="164">
      <c r="A164" s="25" t="inlineStr">
        <is>
          <t>117692-74</t>
        </is>
      </c>
      <c r="B164" s="26" t="inlineStr">
        <is>
          <t>Worksurge</t>
        </is>
      </c>
      <c r="C164" s="27" t="inlineStr">
        <is>
          <t/>
        </is>
      </c>
      <c r="D164" s="28" t="inlineStr">
        <is>
          <t/>
        </is>
      </c>
      <c r="E164" s="29" t="inlineStr">
        <is>
          <t/>
        </is>
      </c>
      <c r="F164" s="30" t="inlineStr">
        <is>
          <t/>
        </is>
      </c>
      <c r="G164" s="31" t="inlineStr">
        <is>
          <t/>
        </is>
      </c>
      <c r="H164" s="32" t="inlineStr">
        <is>
          <t/>
        </is>
      </c>
      <c r="I164" s="33" t="inlineStr">
        <is>
          <t/>
        </is>
      </c>
      <c r="J164" s="34" t="inlineStr">
        <is>
          <t/>
        </is>
      </c>
      <c r="K164" s="35" t="inlineStr">
        <is>
          <t>Privately Held (backing)</t>
        </is>
      </c>
      <c r="L164" s="36" t="inlineStr">
        <is>
          <t>Angel-Backed</t>
        </is>
      </c>
      <c r="M164" s="37" t="n">
        <v>42256.0</v>
      </c>
      <c r="N164" s="38" t="inlineStr">
        <is>
          <t>Angel (individual)</t>
        </is>
      </c>
      <c r="O164" s="39" t="inlineStr">
        <is>
          <t/>
        </is>
      </c>
      <c r="P164" s="102">
        <f>HYPERLINK("https://my.pitchbook.com?c=117692-74", "View company online")</f>
      </c>
    </row>
    <row r="165">
      <c r="A165" s="9" t="inlineStr">
        <is>
          <t>109985-95</t>
        </is>
      </c>
      <c r="B165" s="10" t="inlineStr">
        <is>
          <t>Worksfire</t>
        </is>
      </c>
      <c r="C165" s="11" t="inlineStr">
        <is>
          <t/>
        </is>
      </c>
      <c r="D165" s="12" t="inlineStr">
        <is>
          <t/>
        </is>
      </c>
      <c r="E165" s="13" t="inlineStr">
        <is>
          <t/>
        </is>
      </c>
      <c r="F165" s="14" t="inlineStr">
        <is>
          <t/>
        </is>
      </c>
      <c r="G165" s="15" t="inlineStr">
        <is>
          <t/>
        </is>
      </c>
      <c r="H165" s="16" t="inlineStr">
        <is>
          <t/>
        </is>
      </c>
      <c r="I165" s="17" t="inlineStr">
        <is>
          <t/>
        </is>
      </c>
      <c r="J165" s="18" t="inlineStr">
        <is>
          <t/>
        </is>
      </c>
      <c r="K165" s="19" t="inlineStr">
        <is>
          <t>Privately Held (backing)</t>
        </is>
      </c>
      <c r="L165" s="20" t="inlineStr">
        <is>
          <t>Angel-Backed</t>
        </is>
      </c>
      <c r="M165" s="21" t="n">
        <v>42076.0</v>
      </c>
      <c r="N165" s="22" t="inlineStr">
        <is>
          <t>Seed Round</t>
        </is>
      </c>
      <c r="O165" s="23" t="n">
        <v>0.6</v>
      </c>
      <c r="P165" s="101">
        <f>HYPERLINK("https://my.pitchbook.com?c=109985-95", "View company online")</f>
      </c>
    </row>
    <row r="166">
      <c r="A166" s="25" t="inlineStr">
        <is>
          <t>118193-14</t>
        </is>
      </c>
      <c r="B166" s="26" t="inlineStr">
        <is>
          <t>Workr</t>
        </is>
      </c>
      <c r="C166" s="27" t="inlineStr">
        <is>
          <t/>
        </is>
      </c>
      <c r="D166" s="28" t="inlineStr">
        <is>
          <t/>
        </is>
      </c>
      <c r="E166" s="29" t="inlineStr">
        <is>
          <t/>
        </is>
      </c>
      <c r="F166" s="30" t="inlineStr">
        <is>
          <t/>
        </is>
      </c>
      <c r="G166" s="31" t="inlineStr">
        <is>
          <t/>
        </is>
      </c>
      <c r="H166" s="32" t="inlineStr">
        <is>
          <t/>
        </is>
      </c>
      <c r="I166" s="33" t="inlineStr">
        <is>
          <t/>
        </is>
      </c>
      <c r="J166" s="34" t="inlineStr">
        <is>
          <t/>
        </is>
      </c>
      <c r="K166" s="35" t="inlineStr">
        <is>
          <t>Privately Held (backing)</t>
        </is>
      </c>
      <c r="L166" s="36" t="inlineStr">
        <is>
          <t>Accelerator/Incubator Backed</t>
        </is>
      </c>
      <c r="M166" s="37" t="n">
        <v>42005.0</v>
      </c>
      <c r="N166" s="38" t="inlineStr">
        <is>
          <t>Accelerator/Incubator</t>
        </is>
      </c>
      <c r="O166" s="39" t="inlineStr">
        <is>
          <t/>
        </is>
      </c>
      <c r="P166" s="102">
        <f>HYPERLINK("https://my.pitchbook.com?c=118193-14", "View company online")</f>
      </c>
    </row>
    <row r="167">
      <c r="A167" s="9" t="inlineStr">
        <is>
          <t>136629-28</t>
        </is>
      </c>
      <c r="B167" s="10" t="inlineStr">
        <is>
          <t>Worklete</t>
        </is>
      </c>
      <c r="C167" s="11" t="inlineStr">
        <is>
          <t/>
        </is>
      </c>
      <c r="D167" s="12" t="inlineStr">
        <is>
          <t/>
        </is>
      </c>
      <c r="E167" s="13" t="inlineStr">
        <is>
          <t>FY 2017</t>
        </is>
      </c>
      <c r="F167" s="14" t="n">
        <v>1.0</v>
      </c>
      <c r="G167" s="15" t="inlineStr">
        <is>
          <t/>
        </is>
      </c>
      <c r="H167" s="16" t="inlineStr">
        <is>
          <t/>
        </is>
      </c>
      <c r="I167" s="17" t="inlineStr">
        <is>
          <t/>
        </is>
      </c>
      <c r="J167" s="18" t="inlineStr">
        <is>
          <t/>
        </is>
      </c>
      <c r="K167" s="19" t="inlineStr">
        <is>
          <t>Privately Held (backing)</t>
        </is>
      </c>
      <c r="L167" s="20" t="inlineStr">
        <is>
          <t>Accelerator/Incubator Backed</t>
        </is>
      </c>
      <c r="M167" s="21" t="n">
        <v>42422.0</v>
      </c>
      <c r="N167" s="22" t="inlineStr">
        <is>
          <t>Early Stage VC</t>
        </is>
      </c>
      <c r="O167" s="23" t="n">
        <v>0.3</v>
      </c>
      <c r="P167" s="101">
        <f>HYPERLINK("https://my.pitchbook.com?c=136629-28", "View company online")</f>
      </c>
    </row>
    <row r="168">
      <c r="A168" s="25" t="inlineStr">
        <is>
          <t>108599-68</t>
        </is>
      </c>
      <c r="B168" s="26" t="inlineStr">
        <is>
          <t>Working Not Working</t>
        </is>
      </c>
      <c r="C168" s="27" t="inlineStr">
        <is>
          <t/>
        </is>
      </c>
      <c r="D168" s="28" t="inlineStr">
        <is>
          <t/>
        </is>
      </c>
      <c r="E168" s="29" t="inlineStr">
        <is>
          <t/>
        </is>
      </c>
      <c r="F168" s="30" t="inlineStr">
        <is>
          <t/>
        </is>
      </c>
      <c r="G168" s="31" t="inlineStr">
        <is>
          <t/>
        </is>
      </c>
      <c r="H168" s="32" t="inlineStr">
        <is>
          <t/>
        </is>
      </c>
      <c r="I168" s="33" t="inlineStr">
        <is>
          <t/>
        </is>
      </c>
      <c r="J168" s="34" t="inlineStr">
        <is>
          <t/>
        </is>
      </c>
      <c r="K168" s="35" t="inlineStr">
        <is>
          <t>Privately Held (backing)</t>
        </is>
      </c>
      <c r="L168" s="36" t="inlineStr">
        <is>
          <t>Angel-Backed</t>
        </is>
      </c>
      <c r="M168" s="37" t="n">
        <v>42615.0</v>
      </c>
      <c r="N168" s="38" t="inlineStr">
        <is>
          <t>Angel (individual)</t>
        </is>
      </c>
      <c r="O168" s="39" t="n">
        <v>0.3</v>
      </c>
      <c r="P168" s="102">
        <f>HYPERLINK("https://my.pitchbook.com?c=108599-68", "View company online")</f>
      </c>
    </row>
    <row r="169">
      <c r="A169" s="9" t="inlineStr">
        <is>
          <t>153361-00</t>
        </is>
      </c>
      <c r="B169" s="10" t="inlineStr">
        <is>
          <t>WorkGenius</t>
        </is>
      </c>
      <c r="C169" s="11" t="inlineStr">
        <is>
          <t/>
        </is>
      </c>
      <c r="D169" s="12" t="inlineStr">
        <is>
          <t/>
        </is>
      </c>
      <c r="E169" s="13" t="inlineStr">
        <is>
          <t/>
        </is>
      </c>
      <c r="F169" s="14" t="inlineStr">
        <is>
          <t/>
        </is>
      </c>
      <c r="G169" s="15" t="inlineStr">
        <is>
          <t/>
        </is>
      </c>
      <c r="H169" s="16" t="inlineStr">
        <is>
          <t/>
        </is>
      </c>
      <c r="I169" s="17" t="inlineStr">
        <is>
          <t/>
        </is>
      </c>
      <c r="J169" s="18" t="inlineStr">
        <is>
          <t/>
        </is>
      </c>
      <c r="K169" s="19" t="inlineStr">
        <is>
          <t>Privately Held (backing)</t>
        </is>
      </c>
      <c r="L169" s="20" t="inlineStr">
        <is>
          <t>Accelerator/Incubator Backed</t>
        </is>
      </c>
      <c r="M169" s="21" t="n">
        <v>42396.0</v>
      </c>
      <c r="N169" s="22" t="inlineStr">
        <is>
          <t>Accelerator/Incubator</t>
        </is>
      </c>
      <c r="O169" s="23" t="n">
        <v>0.13</v>
      </c>
      <c r="P169" s="101">
        <f>HYPERLINK("https://my.pitchbook.com?c=153361-00", "View company online")</f>
      </c>
    </row>
    <row r="170">
      <c r="A170" s="25" t="inlineStr">
        <is>
          <t>175448-89</t>
        </is>
      </c>
      <c r="B170" s="26" t="inlineStr">
        <is>
          <t>Worker Bee Solutions</t>
        </is>
      </c>
      <c r="C170" s="78">
        <f>HYPERLINK("https://my.pitchbook.com?rrp=175448-89&amp;type=c", "This Company's information is not available to download. Need this Company? Request availability")</f>
      </c>
      <c r="D170" s="28" t="inlineStr">
        <is>
          <t/>
        </is>
      </c>
      <c r="E170" s="29" t="inlineStr">
        <is>
          <t/>
        </is>
      </c>
      <c r="F170" s="30" t="inlineStr">
        <is>
          <t/>
        </is>
      </c>
      <c r="G170" s="31" t="inlineStr">
        <is>
          <t/>
        </is>
      </c>
      <c r="H170" s="32" t="inlineStr">
        <is>
          <t/>
        </is>
      </c>
      <c r="I170" s="33" t="inlineStr">
        <is>
          <t/>
        </is>
      </c>
      <c r="J170" s="34" t="inlineStr">
        <is>
          <t/>
        </is>
      </c>
      <c r="K170" s="35" t="inlineStr">
        <is>
          <t/>
        </is>
      </c>
      <c r="L170" s="36" t="inlineStr">
        <is>
          <t/>
        </is>
      </c>
      <c r="M170" s="37" t="inlineStr">
        <is>
          <t/>
        </is>
      </c>
      <c r="N170" s="38" t="inlineStr">
        <is>
          <t/>
        </is>
      </c>
      <c r="O170" s="39" t="inlineStr">
        <is>
          <t/>
        </is>
      </c>
      <c r="P170" s="40" t="inlineStr">
        <is>
          <t/>
        </is>
      </c>
    </row>
    <row r="171">
      <c r="A171" s="9" t="inlineStr">
        <is>
          <t>104503-15</t>
        </is>
      </c>
      <c r="B171" s="10" t="inlineStr">
        <is>
          <t>Wordinaire</t>
        </is>
      </c>
      <c r="C171" s="11" t="inlineStr">
        <is>
          <t/>
        </is>
      </c>
      <c r="D171" s="12" t="inlineStr">
        <is>
          <t/>
        </is>
      </c>
      <c r="E171" s="13" t="inlineStr">
        <is>
          <t/>
        </is>
      </c>
      <c r="F171" s="14" t="inlineStr">
        <is>
          <t/>
        </is>
      </c>
      <c r="G171" s="15" t="inlineStr">
        <is>
          <t/>
        </is>
      </c>
      <c r="H171" s="16" t="inlineStr">
        <is>
          <t/>
        </is>
      </c>
      <c r="I171" s="17" t="inlineStr">
        <is>
          <t/>
        </is>
      </c>
      <c r="J171" s="18" t="inlineStr">
        <is>
          <t/>
        </is>
      </c>
      <c r="K171" s="19" t="inlineStr">
        <is>
          <t>Privately Held (backing)</t>
        </is>
      </c>
      <c r="L171" s="20" t="inlineStr">
        <is>
          <t>Angel-Backed</t>
        </is>
      </c>
      <c r="M171" s="21" t="n">
        <v>41893.0</v>
      </c>
      <c r="N171" s="22" t="inlineStr">
        <is>
          <t>Seed Round</t>
        </is>
      </c>
      <c r="O171" s="23" t="n">
        <v>0.14</v>
      </c>
      <c r="P171" s="101">
        <f>HYPERLINK("https://my.pitchbook.com?c=104503-15", "View company online")</f>
      </c>
    </row>
    <row r="172">
      <c r="A172" s="25" t="inlineStr">
        <is>
          <t>178656-58</t>
        </is>
      </c>
      <c r="B172" s="26" t="inlineStr">
        <is>
          <t>Wooji</t>
        </is>
      </c>
      <c r="C172" s="78">
        <f>HYPERLINK("https://my.pitchbook.com?rrp=178656-58&amp;type=c", "This Company's information is not available to download. Need this Company? Request availability")</f>
      </c>
      <c r="D172" s="28" t="inlineStr">
        <is>
          <t/>
        </is>
      </c>
      <c r="E172" s="29" t="inlineStr">
        <is>
          <t/>
        </is>
      </c>
      <c r="F172" s="30" t="inlineStr">
        <is>
          <t/>
        </is>
      </c>
      <c r="G172" s="31" t="inlineStr">
        <is>
          <t/>
        </is>
      </c>
      <c r="H172" s="32" t="inlineStr">
        <is>
          <t/>
        </is>
      </c>
      <c r="I172" s="33" t="inlineStr">
        <is>
          <t/>
        </is>
      </c>
      <c r="J172" s="34" t="inlineStr">
        <is>
          <t/>
        </is>
      </c>
      <c r="K172" s="35" t="inlineStr">
        <is>
          <t/>
        </is>
      </c>
      <c r="L172" s="36" t="inlineStr">
        <is>
          <t/>
        </is>
      </c>
      <c r="M172" s="37" t="inlineStr">
        <is>
          <t/>
        </is>
      </c>
      <c r="N172" s="38" t="inlineStr">
        <is>
          <t/>
        </is>
      </c>
      <c r="O172" s="39" t="inlineStr">
        <is>
          <t/>
        </is>
      </c>
      <c r="P172" s="40" t="inlineStr">
        <is>
          <t/>
        </is>
      </c>
    </row>
    <row r="173">
      <c r="A173" s="9" t="inlineStr">
        <is>
          <t>166228-39</t>
        </is>
      </c>
      <c r="B173" s="10" t="inlineStr">
        <is>
          <t>Woodspur Farms</t>
        </is>
      </c>
      <c r="C173" s="11" t="inlineStr">
        <is>
          <t/>
        </is>
      </c>
      <c r="D173" s="12" t="inlineStr">
        <is>
          <t/>
        </is>
      </c>
      <c r="E173" s="13" t="inlineStr">
        <is>
          <t/>
        </is>
      </c>
      <c r="F173" s="14" t="inlineStr">
        <is>
          <t/>
        </is>
      </c>
      <c r="G173" s="15" t="inlineStr">
        <is>
          <t/>
        </is>
      </c>
      <c r="H173" s="16" t="inlineStr">
        <is>
          <t/>
        </is>
      </c>
      <c r="I173" s="17" t="inlineStr">
        <is>
          <t/>
        </is>
      </c>
      <c r="J173" s="18" t="inlineStr">
        <is>
          <t/>
        </is>
      </c>
      <c r="K173" s="19" t="inlineStr">
        <is>
          <t>Privately Held (backing)</t>
        </is>
      </c>
      <c r="L173" s="20" t="inlineStr">
        <is>
          <t>Angel-Backed</t>
        </is>
      </c>
      <c r="M173" s="21" t="inlineStr">
        <is>
          <t/>
        </is>
      </c>
      <c r="N173" s="22" t="inlineStr">
        <is>
          <t>Angel (individual)</t>
        </is>
      </c>
      <c r="O173" s="23" t="inlineStr">
        <is>
          <t/>
        </is>
      </c>
      <c r="P173" s="101">
        <f>HYPERLINK("https://my.pitchbook.com?c=166228-39", "View company online")</f>
      </c>
    </row>
    <row r="174">
      <c r="A174" s="25" t="inlineStr">
        <is>
          <t>153150-22</t>
        </is>
      </c>
      <c r="B174" s="26" t="inlineStr">
        <is>
          <t>Wood Ranch BBQ &amp; Grill</t>
        </is>
      </c>
      <c r="C174" s="27" t="inlineStr">
        <is>
          <t/>
        </is>
      </c>
      <c r="D174" s="28" t="inlineStr">
        <is>
          <t/>
        </is>
      </c>
      <c r="E174" s="29" t="inlineStr">
        <is>
          <t/>
        </is>
      </c>
      <c r="F174" s="30" t="inlineStr">
        <is>
          <t/>
        </is>
      </c>
      <c r="G174" s="31" t="inlineStr">
        <is>
          <t/>
        </is>
      </c>
      <c r="H174" s="32" t="inlineStr">
        <is>
          <t/>
        </is>
      </c>
      <c r="I174" s="33" t="inlineStr">
        <is>
          <t/>
        </is>
      </c>
      <c r="J174" s="34" t="inlineStr">
        <is>
          <t/>
        </is>
      </c>
      <c r="K174" s="35" t="inlineStr">
        <is>
          <t>Privately Held (backing)</t>
        </is>
      </c>
      <c r="L174" s="36" t="inlineStr">
        <is>
          <t>Angel-Backed</t>
        </is>
      </c>
      <c r="M174" s="37" t="n">
        <v>42394.0</v>
      </c>
      <c r="N174" s="38" t="inlineStr">
        <is>
          <t>Angel (individual)</t>
        </is>
      </c>
      <c r="O174" s="39" t="n">
        <v>2.0</v>
      </c>
      <c r="P174" s="102">
        <f>HYPERLINK("https://my.pitchbook.com?c=153150-22", "View company online")</f>
      </c>
    </row>
    <row r="175">
      <c r="A175" s="9" t="inlineStr">
        <is>
          <t>169329-61</t>
        </is>
      </c>
      <c r="B175" s="10" t="inlineStr">
        <is>
          <t>Wondery</t>
        </is>
      </c>
      <c r="C175" s="11" t="inlineStr">
        <is>
          <t/>
        </is>
      </c>
      <c r="D175" s="12" t="inlineStr">
        <is>
          <t/>
        </is>
      </c>
      <c r="E175" s="13" t="inlineStr">
        <is>
          <t/>
        </is>
      </c>
      <c r="F175" s="14" t="inlineStr">
        <is>
          <t/>
        </is>
      </c>
      <c r="G175" s="15" t="inlineStr">
        <is>
          <t/>
        </is>
      </c>
      <c r="H175" s="16" t="inlineStr">
        <is>
          <t/>
        </is>
      </c>
      <c r="I175" s="17" t="inlineStr">
        <is>
          <t/>
        </is>
      </c>
      <c r="J175" s="18" t="inlineStr">
        <is>
          <t/>
        </is>
      </c>
      <c r="K175" s="19" t="inlineStr">
        <is>
          <t>Privately Held (backing)</t>
        </is>
      </c>
      <c r="L175" s="20" t="inlineStr">
        <is>
          <t>Accelerator/Incubator Backed</t>
        </is>
      </c>
      <c r="M175" s="21" t="n">
        <v>42461.0</v>
      </c>
      <c r="N175" s="22" t="inlineStr">
        <is>
          <t>Accelerator/Incubator</t>
        </is>
      </c>
      <c r="O175" s="23" t="n">
        <v>0.03</v>
      </c>
      <c r="P175" s="101">
        <f>HYPERLINK("https://my.pitchbook.com?c=169329-61", "View company online")</f>
      </c>
    </row>
    <row r="176">
      <c r="A176" s="25" t="inlineStr">
        <is>
          <t>175888-27</t>
        </is>
      </c>
      <c r="B176" s="26" t="inlineStr">
        <is>
          <t>Wonder Media</t>
        </is>
      </c>
      <c r="C176" s="78">
        <f>HYPERLINK("https://my.pitchbook.com?rrp=175888-27&amp;type=c", "This Company's information is not available to download. Need this Company? Request availability")</f>
      </c>
      <c r="D176" s="28" t="inlineStr">
        <is>
          <t/>
        </is>
      </c>
      <c r="E176" s="29" t="inlineStr">
        <is>
          <t/>
        </is>
      </c>
      <c r="F176" s="30" t="inlineStr">
        <is>
          <t/>
        </is>
      </c>
      <c r="G176" s="31" t="inlineStr">
        <is>
          <t/>
        </is>
      </c>
      <c r="H176" s="32" t="inlineStr">
        <is>
          <t/>
        </is>
      </c>
      <c r="I176" s="33" t="inlineStr">
        <is>
          <t/>
        </is>
      </c>
      <c r="J176" s="34" t="inlineStr">
        <is>
          <t/>
        </is>
      </c>
      <c r="K176" s="35" t="inlineStr">
        <is>
          <t/>
        </is>
      </c>
      <c r="L176" s="36" t="inlineStr">
        <is>
          <t/>
        </is>
      </c>
      <c r="M176" s="37" t="inlineStr">
        <is>
          <t/>
        </is>
      </c>
      <c r="N176" s="38" t="inlineStr">
        <is>
          <t/>
        </is>
      </c>
      <c r="O176" s="39" t="inlineStr">
        <is>
          <t/>
        </is>
      </c>
      <c r="P176" s="40" t="inlineStr">
        <is>
          <t/>
        </is>
      </c>
    </row>
    <row r="177">
      <c r="A177" s="9" t="inlineStr">
        <is>
          <t>103727-89</t>
        </is>
      </c>
      <c r="B177" s="10" t="inlineStr">
        <is>
          <t>Women Who Code</t>
        </is>
      </c>
      <c r="C177" s="11" t="inlineStr">
        <is>
          <t/>
        </is>
      </c>
      <c r="D177" s="12" t="inlineStr">
        <is>
          <t/>
        </is>
      </c>
      <c r="E177" s="13" t="inlineStr">
        <is>
          <t/>
        </is>
      </c>
      <c r="F177" s="14" t="inlineStr">
        <is>
          <t/>
        </is>
      </c>
      <c r="G177" s="15" t="inlineStr">
        <is>
          <t/>
        </is>
      </c>
      <c r="H177" s="16" t="inlineStr">
        <is>
          <t/>
        </is>
      </c>
      <c r="I177" s="17" t="inlineStr">
        <is>
          <t/>
        </is>
      </c>
      <c r="J177" s="18" t="inlineStr">
        <is>
          <t/>
        </is>
      </c>
      <c r="K177" s="19" t="inlineStr">
        <is>
          <t>Privately Held (backing)</t>
        </is>
      </c>
      <c r="L177" s="20" t="inlineStr">
        <is>
          <t>Accelerator/Incubator Backed</t>
        </is>
      </c>
      <c r="M177" s="21" t="n">
        <v>42523.0</v>
      </c>
      <c r="N177" s="22" t="inlineStr">
        <is>
          <t>Accelerator/Incubator</t>
        </is>
      </c>
      <c r="O177" s="23" t="n">
        <v>0.12</v>
      </c>
      <c r="P177" s="101">
        <f>HYPERLINK("https://my.pitchbook.com?c=103727-89", "View company online")</f>
      </c>
    </row>
    <row r="178">
      <c r="A178" s="25" t="inlineStr">
        <is>
          <t>103733-20</t>
        </is>
      </c>
      <c r="B178" s="26" t="inlineStr">
        <is>
          <t>Women 2.0</t>
        </is>
      </c>
      <c r="C178" s="78">
        <f>HYPERLINK("https://my.pitchbook.com?rrp=103733-20&amp;type=c", "This Company's information is not available to download. Need this Company? Request availability")</f>
      </c>
      <c r="D178" s="28" t="inlineStr">
        <is>
          <t/>
        </is>
      </c>
      <c r="E178" s="29" t="inlineStr">
        <is>
          <t/>
        </is>
      </c>
      <c r="F178" s="30" t="inlineStr">
        <is>
          <t/>
        </is>
      </c>
      <c r="G178" s="31" t="inlineStr">
        <is>
          <t/>
        </is>
      </c>
      <c r="H178" s="32" t="inlineStr">
        <is>
          <t/>
        </is>
      </c>
      <c r="I178" s="33" t="inlineStr">
        <is>
          <t/>
        </is>
      </c>
      <c r="J178" s="34" t="inlineStr">
        <is>
          <t/>
        </is>
      </c>
      <c r="K178" s="35" t="inlineStr">
        <is>
          <t/>
        </is>
      </c>
      <c r="L178" s="36" t="inlineStr">
        <is>
          <t/>
        </is>
      </c>
      <c r="M178" s="37" t="inlineStr">
        <is>
          <t/>
        </is>
      </c>
      <c r="N178" s="38" t="inlineStr">
        <is>
          <t/>
        </is>
      </c>
      <c r="O178" s="39" t="inlineStr">
        <is>
          <t/>
        </is>
      </c>
      <c r="P178" s="40" t="inlineStr">
        <is>
          <t/>
        </is>
      </c>
    </row>
    <row r="179">
      <c r="A179" s="9" t="inlineStr">
        <is>
          <t>103727-62</t>
        </is>
      </c>
      <c r="B179" s="10" t="inlineStr">
        <is>
          <t>Wolken Software</t>
        </is>
      </c>
      <c r="C179" s="11" t="inlineStr">
        <is>
          <t/>
        </is>
      </c>
      <c r="D179" s="12" t="inlineStr">
        <is>
          <t/>
        </is>
      </c>
      <c r="E179" s="13" t="inlineStr">
        <is>
          <t/>
        </is>
      </c>
      <c r="F179" s="14" t="inlineStr">
        <is>
          <t/>
        </is>
      </c>
      <c r="G179" s="15" t="inlineStr">
        <is>
          <t/>
        </is>
      </c>
      <c r="H179" s="16" t="inlineStr">
        <is>
          <t/>
        </is>
      </c>
      <c r="I179" s="17" t="inlineStr">
        <is>
          <t/>
        </is>
      </c>
      <c r="J179" s="18" t="inlineStr">
        <is>
          <t/>
        </is>
      </c>
      <c r="K179" s="19" t="inlineStr">
        <is>
          <t>Privately Held (backing)</t>
        </is>
      </c>
      <c r="L179" s="20" t="inlineStr">
        <is>
          <t>Angel-Backed</t>
        </is>
      </c>
      <c r="M179" s="21" t="inlineStr">
        <is>
          <t/>
        </is>
      </c>
      <c r="N179" s="22" t="inlineStr">
        <is>
          <t>Angel (individual)</t>
        </is>
      </c>
      <c r="O179" s="23" t="inlineStr">
        <is>
          <t/>
        </is>
      </c>
      <c r="P179" s="101">
        <f>HYPERLINK("https://my.pitchbook.com?c=103727-62", "View company online")</f>
      </c>
    </row>
    <row r="180">
      <c r="A180" s="25" t="inlineStr">
        <is>
          <t>117089-92</t>
        </is>
      </c>
      <c r="B180" s="26" t="inlineStr">
        <is>
          <t>Wolfprint 3D</t>
        </is>
      </c>
      <c r="C180" s="27" t="inlineStr">
        <is>
          <t/>
        </is>
      </c>
      <c r="D180" s="28" t="inlineStr">
        <is>
          <t/>
        </is>
      </c>
      <c r="E180" s="29" t="inlineStr">
        <is>
          <t/>
        </is>
      </c>
      <c r="F180" s="30" t="inlineStr">
        <is>
          <t/>
        </is>
      </c>
      <c r="G180" s="31" t="inlineStr">
        <is>
          <t/>
        </is>
      </c>
      <c r="H180" s="32" t="inlineStr">
        <is>
          <t/>
        </is>
      </c>
      <c r="I180" s="33" t="inlineStr">
        <is>
          <t/>
        </is>
      </c>
      <c r="J180" s="34" t="inlineStr">
        <is>
          <t/>
        </is>
      </c>
      <c r="K180" s="35" t="inlineStr">
        <is>
          <t>Privately Held (backing)</t>
        </is>
      </c>
      <c r="L180" s="36" t="inlineStr">
        <is>
          <t>Angel-Backed</t>
        </is>
      </c>
      <c r="M180" s="37" t="n">
        <v>42768.0</v>
      </c>
      <c r="N180" s="38" t="inlineStr">
        <is>
          <t>Angel (individual)</t>
        </is>
      </c>
      <c r="O180" s="39" t="n">
        <v>0.42</v>
      </c>
      <c r="P180" s="102">
        <f>HYPERLINK("https://my.pitchbook.com?c=117089-92", "View company online")</f>
      </c>
    </row>
    <row r="181">
      <c r="A181" s="9" t="inlineStr">
        <is>
          <t>156672-91</t>
        </is>
      </c>
      <c r="B181" s="10" t="inlineStr">
        <is>
          <t>Wolfee Technologies</t>
        </is>
      </c>
      <c r="C181" s="11" t="inlineStr">
        <is>
          <t/>
        </is>
      </c>
      <c r="D181" s="12" t="inlineStr">
        <is>
          <t/>
        </is>
      </c>
      <c r="E181" s="13" t="inlineStr">
        <is>
          <t/>
        </is>
      </c>
      <c r="F181" s="14" t="inlineStr">
        <is>
          <t/>
        </is>
      </c>
      <c r="G181" s="15" t="inlineStr">
        <is>
          <t/>
        </is>
      </c>
      <c r="H181" s="16" t="inlineStr">
        <is>
          <t/>
        </is>
      </c>
      <c r="I181" s="17" t="inlineStr">
        <is>
          <t/>
        </is>
      </c>
      <c r="J181" s="18" t="inlineStr">
        <is>
          <t/>
        </is>
      </c>
      <c r="K181" s="19" t="inlineStr">
        <is>
          <t>Privately Held (backing)</t>
        </is>
      </c>
      <c r="L181" s="20" t="inlineStr">
        <is>
          <t>Angel-Backed</t>
        </is>
      </c>
      <c r="M181" s="21" t="n">
        <v>42465.0</v>
      </c>
      <c r="N181" s="22" t="inlineStr">
        <is>
          <t>Convertible Debt</t>
        </is>
      </c>
      <c r="O181" s="23" t="n">
        <v>0.36</v>
      </c>
      <c r="P181" s="101">
        <f>HYPERLINK("https://my.pitchbook.com?c=156672-91", "View company online")</f>
      </c>
    </row>
    <row r="182">
      <c r="A182" s="25" t="inlineStr">
        <is>
          <t>174484-36</t>
        </is>
      </c>
      <c r="B182" s="26" t="inlineStr">
        <is>
          <t>WolfBlood ESports</t>
        </is>
      </c>
      <c r="C182" s="78">
        <f>HYPERLINK("https://my.pitchbook.com?rrp=174484-36&amp;type=c", "This Company's information is not available to download. Need this Company? Request availability")</f>
      </c>
      <c r="D182" s="28" t="inlineStr">
        <is>
          <t/>
        </is>
      </c>
      <c r="E182" s="29" t="inlineStr">
        <is>
          <t/>
        </is>
      </c>
      <c r="F182" s="30" t="inlineStr">
        <is>
          <t/>
        </is>
      </c>
      <c r="G182" s="31" t="inlineStr">
        <is>
          <t/>
        </is>
      </c>
      <c r="H182" s="32" t="inlineStr">
        <is>
          <t/>
        </is>
      </c>
      <c r="I182" s="33" t="inlineStr">
        <is>
          <t/>
        </is>
      </c>
      <c r="J182" s="34" t="inlineStr">
        <is>
          <t/>
        </is>
      </c>
      <c r="K182" s="35" t="inlineStr">
        <is>
          <t/>
        </is>
      </c>
      <c r="L182" s="36" t="inlineStr">
        <is>
          <t/>
        </is>
      </c>
      <c r="M182" s="37" t="inlineStr">
        <is>
          <t/>
        </is>
      </c>
      <c r="N182" s="38" t="inlineStr">
        <is>
          <t/>
        </is>
      </c>
      <c r="O182" s="39" t="inlineStr">
        <is>
          <t/>
        </is>
      </c>
      <c r="P182" s="40" t="inlineStr">
        <is>
          <t/>
        </is>
      </c>
    </row>
    <row r="183">
      <c r="A183" s="9" t="inlineStr">
        <is>
          <t>145501-21</t>
        </is>
      </c>
      <c r="B183" s="10" t="inlineStr">
        <is>
          <t>WoahStork</t>
        </is>
      </c>
      <c r="C183" s="11" t="inlineStr">
        <is>
          <t/>
        </is>
      </c>
      <c r="D183" s="12" t="inlineStr">
        <is>
          <t/>
        </is>
      </c>
      <c r="E183" s="13" t="inlineStr">
        <is>
          <t/>
        </is>
      </c>
      <c r="F183" s="14" t="inlineStr">
        <is>
          <t/>
        </is>
      </c>
      <c r="G183" s="15" t="inlineStr">
        <is>
          <t/>
        </is>
      </c>
      <c r="H183" s="16" t="inlineStr">
        <is>
          <t/>
        </is>
      </c>
      <c r="I183" s="17" t="inlineStr">
        <is>
          <t/>
        </is>
      </c>
      <c r="J183" s="18" t="inlineStr">
        <is>
          <t/>
        </is>
      </c>
      <c r="K183" s="19" t="inlineStr">
        <is>
          <t>Privately Held (backing)</t>
        </is>
      </c>
      <c r="L183" s="20" t="inlineStr">
        <is>
          <t>Angel-Backed</t>
        </is>
      </c>
      <c r="M183" s="21" t="n">
        <v>42339.0</v>
      </c>
      <c r="N183" s="22" t="inlineStr">
        <is>
          <t>Convertible Debt</t>
        </is>
      </c>
      <c r="O183" s="23" t="n">
        <v>0.18</v>
      </c>
      <c r="P183" s="101">
        <f>HYPERLINK("https://my.pitchbook.com?c=145501-21", "View company online")</f>
      </c>
    </row>
    <row r="184">
      <c r="A184" s="25" t="inlineStr">
        <is>
          <t>173905-48</t>
        </is>
      </c>
      <c r="B184" s="26" t="inlineStr">
        <is>
          <t>Wizion.com</t>
        </is>
      </c>
      <c r="C184" s="78">
        <f>HYPERLINK("https://my.pitchbook.com?rrp=173905-48&amp;type=c", "This Company's information is not available to download. Need this Company? Request availability")</f>
      </c>
      <c r="D184" s="28" t="inlineStr">
        <is>
          <t/>
        </is>
      </c>
      <c r="E184" s="29" t="inlineStr">
        <is>
          <t/>
        </is>
      </c>
      <c r="F184" s="30" t="inlineStr">
        <is>
          <t/>
        </is>
      </c>
      <c r="G184" s="31" t="inlineStr">
        <is>
          <t/>
        </is>
      </c>
      <c r="H184" s="32" t="inlineStr">
        <is>
          <t/>
        </is>
      </c>
      <c r="I184" s="33" t="inlineStr">
        <is>
          <t/>
        </is>
      </c>
      <c r="J184" s="34" t="inlineStr">
        <is>
          <t/>
        </is>
      </c>
      <c r="K184" s="35" t="inlineStr">
        <is>
          <t/>
        </is>
      </c>
      <c r="L184" s="36" t="inlineStr">
        <is>
          <t/>
        </is>
      </c>
      <c r="M184" s="37" t="inlineStr">
        <is>
          <t/>
        </is>
      </c>
      <c r="N184" s="38" t="inlineStr">
        <is>
          <t/>
        </is>
      </c>
      <c r="O184" s="39" t="inlineStr">
        <is>
          <t/>
        </is>
      </c>
      <c r="P184" s="40" t="inlineStr">
        <is>
          <t/>
        </is>
      </c>
    </row>
    <row r="185">
      <c r="A185" s="9" t="inlineStr">
        <is>
          <t>177703-03</t>
        </is>
      </c>
      <c r="B185" s="10" t="inlineStr">
        <is>
          <t>Wizar</t>
        </is>
      </c>
      <c r="C185" s="77">
        <f>HYPERLINK("https://my.pitchbook.com?rrp=177703-03&amp;type=c", "This Company's information is not available to download. Need this Company? Request availability")</f>
      </c>
      <c r="D185" s="12" t="inlineStr">
        <is>
          <t/>
        </is>
      </c>
      <c r="E185" s="13" t="inlineStr">
        <is>
          <t/>
        </is>
      </c>
      <c r="F185" s="14" t="inlineStr">
        <is>
          <t/>
        </is>
      </c>
      <c r="G185" s="15" t="inlineStr">
        <is>
          <t/>
        </is>
      </c>
      <c r="H185" s="16" t="inlineStr">
        <is>
          <t/>
        </is>
      </c>
      <c r="I185" s="17" t="inlineStr">
        <is>
          <t/>
        </is>
      </c>
      <c r="J185" s="18" t="inlineStr">
        <is>
          <t/>
        </is>
      </c>
      <c r="K185" s="19" t="inlineStr">
        <is>
          <t/>
        </is>
      </c>
      <c r="L185" s="20" t="inlineStr">
        <is>
          <t/>
        </is>
      </c>
      <c r="M185" s="21" t="inlineStr">
        <is>
          <t/>
        </is>
      </c>
      <c r="N185" s="22" t="inlineStr">
        <is>
          <t/>
        </is>
      </c>
      <c r="O185" s="23" t="inlineStr">
        <is>
          <t/>
        </is>
      </c>
      <c r="P185" s="24" t="inlineStr">
        <is>
          <t/>
        </is>
      </c>
    </row>
    <row r="186">
      <c r="A186" s="25" t="inlineStr">
        <is>
          <t>103630-15</t>
        </is>
      </c>
      <c r="B186" s="26" t="inlineStr">
        <is>
          <t>Wiz Maps</t>
        </is>
      </c>
      <c r="C186" s="27" t="inlineStr">
        <is>
          <t/>
        </is>
      </c>
      <c r="D186" s="28" t="inlineStr">
        <is>
          <t/>
        </is>
      </c>
      <c r="E186" s="29" t="inlineStr">
        <is>
          <t/>
        </is>
      </c>
      <c r="F186" s="30" t="inlineStr">
        <is>
          <t/>
        </is>
      </c>
      <c r="G186" s="31" t="inlineStr">
        <is>
          <t/>
        </is>
      </c>
      <c r="H186" s="32" t="inlineStr">
        <is>
          <t/>
        </is>
      </c>
      <c r="I186" s="33" t="inlineStr">
        <is>
          <t/>
        </is>
      </c>
      <c r="J186" s="34" t="inlineStr">
        <is>
          <t/>
        </is>
      </c>
      <c r="K186" s="35" t="inlineStr">
        <is>
          <t>Privately Held (backing)</t>
        </is>
      </c>
      <c r="L186" s="36" t="inlineStr">
        <is>
          <t>Angel-Backed</t>
        </is>
      </c>
      <c r="M186" s="37" t="n">
        <v>41901.0</v>
      </c>
      <c r="N186" s="38" t="inlineStr">
        <is>
          <t>Angel (individual)</t>
        </is>
      </c>
      <c r="O186" s="39" t="n">
        <v>0.4</v>
      </c>
      <c r="P186" s="102">
        <f>HYPERLINK("https://my.pitchbook.com?c=103630-15", "View company online")</f>
      </c>
    </row>
    <row r="187">
      <c r="A187" s="9" t="inlineStr">
        <is>
          <t>159203-98</t>
        </is>
      </c>
      <c r="B187" s="10" t="inlineStr">
        <is>
          <t>Wivity</t>
        </is>
      </c>
      <c r="C187" s="11" t="inlineStr">
        <is>
          <t/>
        </is>
      </c>
      <c r="D187" s="12" t="inlineStr">
        <is>
          <t/>
        </is>
      </c>
      <c r="E187" s="13" t="inlineStr">
        <is>
          <t/>
        </is>
      </c>
      <c r="F187" s="14" t="inlineStr">
        <is>
          <t/>
        </is>
      </c>
      <c r="G187" s="15" t="inlineStr">
        <is>
          <t/>
        </is>
      </c>
      <c r="H187" s="16" t="inlineStr">
        <is>
          <t/>
        </is>
      </c>
      <c r="I187" s="17" t="inlineStr">
        <is>
          <t/>
        </is>
      </c>
      <c r="J187" s="18" t="inlineStr">
        <is>
          <t/>
        </is>
      </c>
      <c r="K187" s="19" t="inlineStr">
        <is>
          <t>Privately Held (backing)</t>
        </is>
      </c>
      <c r="L187" s="20" t="inlineStr">
        <is>
          <t>Accelerator/Incubator Backed</t>
        </is>
      </c>
      <c r="M187" s="21" t="n">
        <v>42506.0</v>
      </c>
      <c r="N187" s="22" t="inlineStr">
        <is>
          <t>Accelerator/Incubator</t>
        </is>
      </c>
      <c r="O187" s="23" t="n">
        <v>0.13</v>
      </c>
      <c r="P187" s="101">
        <f>HYPERLINK("https://my.pitchbook.com?c=159203-98", "View company online")</f>
      </c>
    </row>
    <row r="188">
      <c r="A188" s="25" t="inlineStr">
        <is>
          <t>172228-87</t>
        </is>
      </c>
      <c r="B188" s="26" t="inlineStr">
        <is>
          <t>Witlee</t>
        </is>
      </c>
      <c r="C188" s="78">
        <f>HYPERLINK("https://my.pitchbook.com?rrp=172228-87&amp;type=c", "This Company's information is not available to download. Need this Company? Request availability")</f>
      </c>
      <c r="D188" s="28" t="inlineStr">
        <is>
          <t/>
        </is>
      </c>
      <c r="E188" s="29" t="inlineStr">
        <is>
          <t/>
        </is>
      </c>
      <c r="F188" s="30" t="inlineStr">
        <is>
          <t/>
        </is>
      </c>
      <c r="G188" s="31" t="inlineStr">
        <is>
          <t/>
        </is>
      </c>
      <c r="H188" s="32" t="inlineStr">
        <is>
          <t/>
        </is>
      </c>
      <c r="I188" s="33" t="inlineStr">
        <is>
          <t/>
        </is>
      </c>
      <c r="J188" s="34" t="inlineStr">
        <is>
          <t/>
        </is>
      </c>
      <c r="K188" s="35" t="inlineStr">
        <is>
          <t/>
        </is>
      </c>
      <c r="L188" s="36" t="inlineStr">
        <is>
          <t/>
        </is>
      </c>
      <c r="M188" s="37" t="inlineStr">
        <is>
          <t/>
        </is>
      </c>
      <c r="N188" s="38" t="inlineStr">
        <is>
          <t/>
        </is>
      </c>
      <c r="O188" s="39" t="inlineStr">
        <is>
          <t/>
        </is>
      </c>
      <c r="P188" s="40" t="inlineStr">
        <is>
          <t/>
        </is>
      </c>
    </row>
    <row r="189">
      <c r="A189" s="9" t="inlineStr">
        <is>
          <t>113732-20</t>
        </is>
      </c>
      <c r="B189" s="10" t="inlineStr">
        <is>
          <t>WITHIN</t>
        </is>
      </c>
      <c r="C189" s="77">
        <f>HYPERLINK("https://my.pitchbook.com?rrp=113732-20&amp;type=c", "This Company's information is not available to download. Need this Company? Request availability")</f>
      </c>
      <c r="D189" s="12" t="inlineStr">
        <is>
          <t/>
        </is>
      </c>
      <c r="E189" s="13" t="inlineStr">
        <is>
          <t/>
        </is>
      </c>
      <c r="F189" s="14" t="inlineStr">
        <is>
          <t/>
        </is>
      </c>
      <c r="G189" s="15" t="inlineStr">
        <is>
          <t/>
        </is>
      </c>
      <c r="H189" s="16" t="inlineStr">
        <is>
          <t/>
        </is>
      </c>
      <c r="I189" s="17" t="inlineStr">
        <is>
          <t/>
        </is>
      </c>
      <c r="J189" s="18" t="inlineStr">
        <is>
          <t/>
        </is>
      </c>
      <c r="K189" s="19" t="inlineStr">
        <is>
          <t/>
        </is>
      </c>
      <c r="L189" s="20" t="inlineStr">
        <is>
          <t/>
        </is>
      </c>
      <c r="M189" s="21" t="inlineStr">
        <is>
          <t/>
        </is>
      </c>
      <c r="N189" s="22" t="inlineStr">
        <is>
          <t/>
        </is>
      </c>
      <c r="O189" s="23" t="inlineStr">
        <is>
          <t/>
        </is>
      </c>
      <c r="P189" s="24" t="inlineStr">
        <is>
          <t/>
        </is>
      </c>
    </row>
    <row r="190">
      <c r="A190" s="25" t="inlineStr">
        <is>
          <t>103620-70</t>
        </is>
      </c>
      <c r="B190" s="26" t="inlineStr">
        <is>
          <t>WiTech (Wireless Technologies)</t>
        </is>
      </c>
      <c r="C190" s="27" t="inlineStr">
        <is>
          <t/>
        </is>
      </c>
      <c r="D190" s="28" t="inlineStr">
        <is>
          <t/>
        </is>
      </c>
      <c r="E190" s="29" t="inlineStr">
        <is>
          <t/>
        </is>
      </c>
      <c r="F190" s="30" t="inlineStr">
        <is>
          <t/>
        </is>
      </c>
      <c r="G190" s="31" t="inlineStr">
        <is>
          <t/>
        </is>
      </c>
      <c r="H190" s="32" t="inlineStr">
        <is>
          <t/>
        </is>
      </c>
      <c r="I190" s="33" t="inlineStr">
        <is>
          <t/>
        </is>
      </c>
      <c r="J190" s="34" t="inlineStr">
        <is>
          <t/>
        </is>
      </c>
      <c r="K190" s="35" t="inlineStr">
        <is>
          <t>Privately Held (backing)</t>
        </is>
      </c>
      <c r="L190" s="36" t="inlineStr">
        <is>
          <t>Angel-Backed</t>
        </is>
      </c>
      <c r="M190" s="37" t="n">
        <v>40796.0</v>
      </c>
      <c r="N190" s="38" t="inlineStr">
        <is>
          <t>Angel (individual)</t>
        </is>
      </c>
      <c r="O190" s="39" t="n">
        <v>0.08</v>
      </c>
      <c r="P190" s="102">
        <f>HYPERLINK("https://my.pitchbook.com?c=103620-70", "View company online")</f>
      </c>
    </row>
    <row r="191">
      <c r="A191" s="9" t="inlineStr">
        <is>
          <t>147426-40</t>
        </is>
      </c>
      <c r="B191" s="10" t="inlineStr">
        <is>
          <t>Wisran</t>
        </is>
      </c>
      <c r="C191" s="11" t="inlineStr">
        <is>
          <t/>
        </is>
      </c>
      <c r="D191" s="12" t="inlineStr">
        <is>
          <t/>
        </is>
      </c>
      <c r="E191" s="13" t="inlineStr">
        <is>
          <t/>
        </is>
      </c>
      <c r="F191" s="14" t="inlineStr">
        <is>
          <t/>
        </is>
      </c>
      <c r="G191" s="15" t="inlineStr">
        <is>
          <t/>
        </is>
      </c>
      <c r="H191" s="16" t="inlineStr">
        <is>
          <t/>
        </is>
      </c>
      <c r="I191" s="17" t="inlineStr">
        <is>
          <t/>
        </is>
      </c>
      <c r="J191" s="18" t="inlineStr">
        <is>
          <t/>
        </is>
      </c>
      <c r="K191" s="19" t="inlineStr">
        <is>
          <t>Privately Held (backing)</t>
        </is>
      </c>
      <c r="L191" s="20" t="inlineStr">
        <is>
          <t>Accelerator/Incubator Backed</t>
        </is>
      </c>
      <c r="M191" s="21" t="n">
        <v>42536.0</v>
      </c>
      <c r="N191" s="22" t="inlineStr">
        <is>
          <t>Accelerator/Incubator</t>
        </is>
      </c>
      <c r="O191" s="23" t="inlineStr">
        <is>
          <t/>
        </is>
      </c>
      <c r="P191" s="101">
        <f>HYPERLINK("https://my.pitchbook.com?c=147426-40", "View company online")</f>
      </c>
    </row>
    <row r="192">
      <c r="A192" s="25" t="inlineStr">
        <is>
          <t>180305-65</t>
        </is>
      </c>
      <c r="B192" s="26" t="inlineStr">
        <is>
          <t>WISP</t>
        </is>
      </c>
      <c r="C192" s="78">
        <f>HYPERLINK("https://my.pitchbook.com?rrp=180305-65&amp;type=c", "This Company's information is not available to download. Need this Company? Request availability")</f>
      </c>
      <c r="D192" s="28" t="inlineStr">
        <is>
          <t/>
        </is>
      </c>
      <c r="E192" s="29" t="inlineStr">
        <is>
          <t/>
        </is>
      </c>
      <c r="F192" s="30" t="inlineStr">
        <is>
          <t/>
        </is>
      </c>
      <c r="G192" s="31" t="inlineStr">
        <is>
          <t/>
        </is>
      </c>
      <c r="H192" s="32" t="inlineStr">
        <is>
          <t/>
        </is>
      </c>
      <c r="I192" s="33" t="inlineStr">
        <is>
          <t/>
        </is>
      </c>
      <c r="J192" s="34" t="inlineStr">
        <is>
          <t/>
        </is>
      </c>
      <c r="K192" s="35" t="inlineStr">
        <is>
          <t/>
        </is>
      </c>
      <c r="L192" s="36" t="inlineStr">
        <is>
          <t/>
        </is>
      </c>
      <c r="M192" s="37" t="inlineStr">
        <is>
          <t/>
        </is>
      </c>
      <c r="N192" s="38" t="inlineStr">
        <is>
          <t/>
        </is>
      </c>
      <c r="O192" s="39" t="inlineStr">
        <is>
          <t/>
        </is>
      </c>
      <c r="P192" s="40" t="inlineStr">
        <is>
          <t/>
        </is>
      </c>
    </row>
    <row r="193">
      <c r="A193" s="9" t="inlineStr">
        <is>
          <t>119297-98</t>
        </is>
      </c>
      <c r="B193" s="10" t="inlineStr">
        <is>
          <t>Wishorb</t>
        </is>
      </c>
      <c r="C193" s="11" t="inlineStr">
        <is>
          <t/>
        </is>
      </c>
      <c r="D193" s="12" t="inlineStr">
        <is>
          <t/>
        </is>
      </c>
      <c r="E193" s="13" t="inlineStr">
        <is>
          <t/>
        </is>
      </c>
      <c r="F193" s="14" t="inlineStr">
        <is>
          <t/>
        </is>
      </c>
      <c r="G193" s="15" t="inlineStr">
        <is>
          <t/>
        </is>
      </c>
      <c r="H193" s="16" t="inlineStr">
        <is>
          <t/>
        </is>
      </c>
      <c r="I193" s="17" t="inlineStr">
        <is>
          <t/>
        </is>
      </c>
      <c r="J193" s="18" t="inlineStr">
        <is>
          <t/>
        </is>
      </c>
      <c r="K193" s="19" t="inlineStr">
        <is>
          <t>Privately Held (backing)</t>
        </is>
      </c>
      <c r="L193" s="20" t="inlineStr">
        <is>
          <t>Accelerator/Incubator Backed</t>
        </is>
      </c>
      <c r="M193" s="21" t="n">
        <v>40208.0</v>
      </c>
      <c r="N193" s="22" t="inlineStr">
        <is>
          <t>Accelerator/Incubator</t>
        </is>
      </c>
      <c r="O193" s="23" t="inlineStr">
        <is>
          <t/>
        </is>
      </c>
      <c r="P193" s="101">
        <f>HYPERLINK("https://my.pitchbook.com?c=119297-98", "View company online")</f>
      </c>
    </row>
    <row r="194">
      <c r="A194" s="25" t="inlineStr">
        <is>
          <t>103620-34</t>
        </is>
      </c>
      <c r="B194" s="26" t="inlineStr">
        <is>
          <t>Wishbone.org</t>
        </is>
      </c>
      <c r="C194" s="27" t="inlineStr">
        <is>
          <t/>
        </is>
      </c>
      <c r="D194" s="28" t="inlineStr">
        <is>
          <t/>
        </is>
      </c>
      <c r="E194" s="29" t="inlineStr">
        <is>
          <t/>
        </is>
      </c>
      <c r="F194" s="30" t="inlineStr">
        <is>
          <t/>
        </is>
      </c>
      <c r="G194" s="31" t="inlineStr">
        <is>
          <t/>
        </is>
      </c>
      <c r="H194" s="32" t="inlineStr">
        <is>
          <t/>
        </is>
      </c>
      <c r="I194" s="33" t="inlineStr">
        <is>
          <t/>
        </is>
      </c>
      <c r="J194" s="34" t="inlineStr">
        <is>
          <t/>
        </is>
      </c>
      <c r="K194" s="35" t="inlineStr">
        <is>
          <t>Privately Held (backing)</t>
        </is>
      </c>
      <c r="L194" s="36" t="inlineStr">
        <is>
          <t>Angel-Backed</t>
        </is>
      </c>
      <c r="M194" s="37" t="n">
        <v>40909.0</v>
      </c>
      <c r="N194" s="38" t="inlineStr">
        <is>
          <t>Angel (individual)</t>
        </is>
      </c>
      <c r="O194" s="39" t="inlineStr">
        <is>
          <t/>
        </is>
      </c>
      <c r="P194" s="102">
        <f>HYPERLINK("https://my.pitchbook.com?c=103620-34", "View company online")</f>
      </c>
    </row>
    <row r="195">
      <c r="A195" s="9" t="inlineStr">
        <is>
          <t>60266-44</t>
        </is>
      </c>
      <c r="B195" s="10" t="inlineStr">
        <is>
          <t>Wisemuv</t>
        </is>
      </c>
      <c r="C195" s="11" t="inlineStr">
        <is>
          <t/>
        </is>
      </c>
      <c r="D195" s="12" t="inlineStr">
        <is>
          <t/>
        </is>
      </c>
      <c r="E195" s="13" t="inlineStr">
        <is>
          <t/>
        </is>
      </c>
      <c r="F195" s="14" t="inlineStr">
        <is>
          <t/>
        </is>
      </c>
      <c r="G195" s="15" t="inlineStr">
        <is>
          <t/>
        </is>
      </c>
      <c r="H195" s="16" t="inlineStr">
        <is>
          <t/>
        </is>
      </c>
      <c r="I195" s="17" t="inlineStr">
        <is>
          <t/>
        </is>
      </c>
      <c r="J195" s="18" t="inlineStr">
        <is>
          <t/>
        </is>
      </c>
      <c r="K195" s="19" t="inlineStr">
        <is>
          <t>Privately Held (backing)</t>
        </is>
      </c>
      <c r="L195" s="20" t="inlineStr">
        <is>
          <t>Accelerator/Incubator Backed</t>
        </is>
      </c>
      <c r="M195" s="21" t="n">
        <v>41093.0</v>
      </c>
      <c r="N195" s="22" t="inlineStr">
        <is>
          <t>Seed Round</t>
        </is>
      </c>
      <c r="O195" s="23" t="inlineStr">
        <is>
          <t/>
        </is>
      </c>
      <c r="P195" s="101">
        <f>HYPERLINK("https://my.pitchbook.com?c=60266-44", "View company online")</f>
      </c>
    </row>
    <row r="196">
      <c r="A196" s="25" t="inlineStr">
        <is>
          <t>126146-44</t>
        </is>
      </c>
      <c r="B196" s="26" t="inlineStr">
        <is>
          <t>Wise King Media</t>
        </is>
      </c>
      <c r="C196" s="27" t="inlineStr">
        <is>
          <t/>
        </is>
      </c>
      <c r="D196" s="28" t="inlineStr">
        <is>
          <t/>
        </is>
      </c>
      <c r="E196" s="29" t="inlineStr">
        <is>
          <t/>
        </is>
      </c>
      <c r="F196" s="30" t="inlineStr">
        <is>
          <t/>
        </is>
      </c>
      <c r="G196" s="31" t="inlineStr">
        <is>
          <t/>
        </is>
      </c>
      <c r="H196" s="32" t="inlineStr">
        <is>
          <t/>
        </is>
      </c>
      <c r="I196" s="33" t="inlineStr">
        <is>
          <t/>
        </is>
      </c>
      <c r="J196" s="34" t="inlineStr">
        <is>
          <t/>
        </is>
      </c>
      <c r="K196" s="35" t="inlineStr">
        <is>
          <t>Privately Held (backing)</t>
        </is>
      </c>
      <c r="L196" s="36" t="inlineStr">
        <is>
          <t>Angel-Backed</t>
        </is>
      </c>
      <c r="M196" s="37" t="n">
        <v>42296.0</v>
      </c>
      <c r="N196" s="38" t="inlineStr">
        <is>
          <t>Angel (individual)</t>
        </is>
      </c>
      <c r="O196" s="39" t="n">
        <v>0.1</v>
      </c>
      <c r="P196" s="102">
        <f>HYPERLINK("https://my.pitchbook.com?c=126146-44", "View company online")</f>
      </c>
    </row>
    <row r="197">
      <c r="A197" s="9" t="inlineStr">
        <is>
          <t>99692-38</t>
        </is>
      </c>
      <c r="B197" s="10" t="inlineStr">
        <is>
          <t>Wireless Diagnostic Systems</t>
        </is>
      </c>
      <c r="C197" s="11" t="inlineStr">
        <is>
          <t/>
        </is>
      </c>
      <c r="D197" s="12" t="inlineStr">
        <is>
          <t/>
        </is>
      </c>
      <c r="E197" s="13" t="inlineStr">
        <is>
          <t/>
        </is>
      </c>
      <c r="F197" s="14" t="inlineStr">
        <is>
          <t/>
        </is>
      </c>
      <c r="G197" s="15" t="inlineStr">
        <is>
          <t/>
        </is>
      </c>
      <c r="H197" s="16" t="inlineStr">
        <is>
          <t/>
        </is>
      </c>
      <c r="I197" s="17" t="inlineStr">
        <is>
          <t/>
        </is>
      </c>
      <c r="J197" s="18" t="inlineStr">
        <is>
          <t/>
        </is>
      </c>
      <c r="K197" s="19" t="inlineStr">
        <is>
          <t>Privately Held (backing)</t>
        </is>
      </c>
      <c r="L197" s="20" t="inlineStr">
        <is>
          <t>Angel-Backed</t>
        </is>
      </c>
      <c r="M197" s="21" t="n">
        <v>41992.0</v>
      </c>
      <c r="N197" s="22" t="inlineStr">
        <is>
          <t>Angel (individual)</t>
        </is>
      </c>
      <c r="O197" s="23" t="n">
        <v>1.21</v>
      </c>
      <c r="P197" s="101">
        <f>HYPERLINK("https://my.pitchbook.com?c=99692-38", "View company online")</f>
      </c>
    </row>
    <row r="198">
      <c r="A198" s="25" t="inlineStr">
        <is>
          <t>169895-08</t>
        </is>
      </c>
      <c r="B198" s="26" t="inlineStr">
        <is>
          <t>WireFlare</t>
        </is>
      </c>
      <c r="C198" s="27" t="inlineStr">
        <is>
          <t/>
        </is>
      </c>
      <c r="D198" s="28" t="inlineStr">
        <is>
          <t/>
        </is>
      </c>
      <c r="E198" s="29" t="inlineStr">
        <is>
          <t/>
        </is>
      </c>
      <c r="F198" s="30" t="inlineStr">
        <is>
          <t/>
        </is>
      </c>
      <c r="G198" s="31" t="inlineStr">
        <is>
          <t/>
        </is>
      </c>
      <c r="H198" s="32" t="inlineStr">
        <is>
          <t/>
        </is>
      </c>
      <c r="I198" s="33" t="inlineStr">
        <is>
          <t/>
        </is>
      </c>
      <c r="J198" s="34" t="inlineStr">
        <is>
          <t/>
        </is>
      </c>
      <c r="K198" s="35" t="inlineStr">
        <is>
          <t>Privately Held (backing)</t>
        </is>
      </c>
      <c r="L198" s="36" t="inlineStr">
        <is>
          <t>Angel-Backed</t>
        </is>
      </c>
      <c r="M198" s="37" t="n">
        <v>42644.0</v>
      </c>
      <c r="N198" s="38" t="inlineStr">
        <is>
          <t>Seed Round</t>
        </is>
      </c>
      <c r="O198" s="39" t="n">
        <v>0.3</v>
      </c>
      <c r="P198" s="102">
        <f>HYPERLINK("https://my.pitchbook.com?c=169895-08", "View company online")</f>
      </c>
    </row>
    <row r="199">
      <c r="A199" s="9" t="inlineStr">
        <is>
          <t>64942-84</t>
        </is>
      </c>
      <c r="B199" s="10" t="inlineStr">
        <is>
          <t>Wiper</t>
        </is>
      </c>
      <c r="C199" s="11" t="inlineStr">
        <is>
          <t/>
        </is>
      </c>
      <c r="D199" s="12" t="inlineStr">
        <is>
          <t/>
        </is>
      </c>
      <c r="E199" s="13" t="inlineStr">
        <is>
          <t/>
        </is>
      </c>
      <c r="F199" s="14" t="inlineStr">
        <is>
          <t/>
        </is>
      </c>
      <c r="G199" s="15" t="inlineStr">
        <is>
          <t/>
        </is>
      </c>
      <c r="H199" s="16" t="inlineStr">
        <is>
          <t/>
        </is>
      </c>
      <c r="I199" s="17" t="inlineStr">
        <is>
          <t/>
        </is>
      </c>
      <c r="J199" s="18" t="inlineStr">
        <is>
          <t/>
        </is>
      </c>
      <c r="K199" s="19" t="inlineStr">
        <is>
          <t>Privately Held (backing)</t>
        </is>
      </c>
      <c r="L199" s="20" t="inlineStr">
        <is>
          <t>Angel-Backed</t>
        </is>
      </c>
      <c r="M199" s="21" t="n">
        <v>42405.0</v>
      </c>
      <c r="N199" s="22" t="inlineStr">
        <is>
          <t>Seed Round</t>
        </is>
      </c>
      <c r="O199" s="23" t="n">
        <v>2.0</v>
      </c>
      <c r="P199" s="101">
        <f>HYPERLINK("https://my.pitchbook.com?c=64942-84", "View company online")</f>
      </c>
    </row>
    <row r="200">
      <c r="A200" s="25" t="inlineStr">
        <is>
          <t>121356-73</t>
        </is>
      </c>
      <c r="B200" s="26" t="inlineStr">
        <is>
          <t>Winz</t>
        </is>
      </c>
      <c r="C200" s="27" t="inlineStr">
        <is>
          <t/>
        </is>
      </c>
      <c r="D200" s="28" t="inlineStr">
        <is>
          <t/>
        </is>
      </c>
      <c r="E200" s="29" t="inlineStr">
        <is>
          <t/>
        </is>
      </c>
      <c r="F200" s="30" t="inlineStr">
        <is>
          <t/>
        </is>
      </c>
      <c r="G200" s="31" t="inlineStr">
        <is>
          <t/>
        </is>
      </c>
      <c r="H200" s="32" t="inlineStr">
        <is>
          <t/>
        </is>
      </c>
      <c r="I200" s="33" t="inlineStr">
        <is>
          <t/>
        </is>
      </c>
      <c r="J200" s="34" t="inlineStr">
        <is>
          <t/>
        </is>
      </c>
      <c r="K200" s="35" t="inlineStr">
        <is>
          <t>Privately Held (backing)</t>
        </is>
      </c>
      <c r="L200" s="36" t="inlineStr">
        <is>
          <t>Accelerator/Incubator Backed</t>
        </is>
      </c>
      <c r="M200" s="37" t="n">
        <v>42082.0</v>
      </c>
      <c r="N200" s="38" t="inlineStr">
        <is>
          <t>Accelerator/Incubator</t>
        </is>
      </c>
      <c r="O200" s="39" t="inlineStr">
        <is>
          <t/>
        </is>
      </c>
      <c r="P200" s="102">
        <f>HYPERLINK("https://my.pitchbook.com?c=121356-73", "View company online")</f>
      </c>
    </row>
    <row r="201">
      <c r="A201" s="9" t="inlineStr">
        <is>
          <t>170397-37</t>
        </is>
      </c>
      <c r="B201" s="10" t="inlineStr">
        <is>
          <t>Win-Win</t>
        </is>
      </c>
      <c r="C201" s="11" t="inlineStr">
        <is>
          <t/>
        </is>
      </c>
      <c r="D201" s="12" t="inlineStr">
        <is>
          <t/>
        </is>
      </c>
      <c r="E201" s="13" t="inlineStr">
        <is>
          <t/>
        </is>
      </c>
      <c r="F201" s="14" t="inlineStr">
        <is>
          <t/>
        </is>
      </c>
      <c r="G201" s="15" t="inlineStr">
        <is>
          <t/>
        </is>
      </c>
      <c r="H201" s="16" t="inlineStr">
        <is>
          <t/>
        </is>
      </c>
      <c r="I201" s="17" t="inlineStr">
        <is>
          <t/>
        </is>
      </c>
      <c r="J201" s="18" t="inlineStr">
        <is>
          <t/>
        </is>
      </c>
      <c r="K201" s="19" t="inlineStr">
        <is>
          <t>Privately Held (backing)</t>
        </is>
      </c>
      <c r="L201" s="20" t="inlineStr">
        <is>
          <t>Accelerator/Incubator Backed</t>
        </is>
      </c>
      <c r="M201" s="21" t="n">
        <v>42774.0</v>
      </c>
      <c r="N201" s="22" t="inlineStr">
        <is>
          <t>Accelerator/Incubator</t>
        </is>
      </c>
      <c r="O201" s="23" t="n">
        <v>0.15</v>
      </c>
      <c r="P201" s="101">
        <f>HYPERLINK("https://my.pitchbook.com?c=170397-37", "View company online")</f>
      </c>
    </row>
    <row r="202">
      <c r="A202" s="25" t="inlineStr">
        <is>
          <t>148740-76</t>
        </is>
      </c>
      <c r="B202" s="26" t="inlineStr">
        <is>
          <t>Wink Health</t>
        </is>
      </c>
      <c r="C202" s="27" t="inlineStr">
        <is>
          <t/>
        </is>
      </c>
      <c r="D202" s="28" t="inlineStr">
        <is>
          <t/>
        </is>
      </c>
      <c r="E202" s="29" t="inlineStr">
        <is>
          <t/>
        </is>
      </c>
      <c r="F202" s="30" t="inlineStr">
        <is>
          <t/>
        </is>
      </c>
      <c r="G202" s="31" t="inlineStr">
        <is>
          <t/>
        </is>
      </c>
      <c r="H202" s="32" t="inlineStr">
        <is>
          <t/>
        </is>
      </c>
      <c r="I202" s="33" t="inlineStr">
        <is>
          <t/>
        </is>
      </c>
      <c r="J202" s="34" t="inlineStr">
        <is>
          <t/>
        </is>
      </c>
      <c r="K202" s="35" t="inlineStr">
        <is>
          <t>Privately Held (backing)</t>
        </is>
      </c>
      <c r="L202" s="36" t="inlineStr">
        <is>
          <t>Angel-Backed</t>
        </is>
      </c>
      <c r="M202" s="37" t="n">
        <v>42282.0</v>
      </c>
      <c r="N202" s="38" t="inlineStr">
        <is>
          <t>Angel (individual)</t>
        </is>
      </c>
      <c r="O202" s="39" t="n">
        <v>0.25</v>
      </c>
      <c r="P202" s="102">
        <f>HYPERLINK("https://my.pitchbook.com?c=148740-76", "View company online")</f>
      </c>
    </row>
    <row r="203">
      <c r="A203" s="9" t="inlineStr">
        <is>
          <t>152409-25</t>
        </is>
      </c>
      <c r="B203" s="10" t="inlineStr">
        <is>
          <t>Wingo</t>
        </is>
      </c>
      <c r="C203" s="11" t="inlineStr">
        <is>
          <t/>
        </is>
      </c>
      <c r="D203" s="12" t="inlineStr">
        <is>
          <t/>
        </is>
      </c>
      <c r="E203" s="13" t="inlineStr">
        <is>
          <t/>
        </is>
      </c>
      <c r="F203" s="14" t="inlineStr">
        <is>
          <t/>
        </is>
      </c>
      <c r="G203" s="15" t="inlineStr">
        <is>
          <t/>
        </is>
      </c>
      <c r="H203" s="16" t="inlineStr">
        <is>
          <t/>
        </is>
      </c>
      <c r="I203" s="17" t="inlineStr">
        <is>
          <t/>
        </is>
      </c>
      <c r="J203" s="18" t="inlineStr">
        <is>
          <t/>
        </is>
      </c>
      <c r="K203" s="19" t="inlineStr">
        <is>
          <t>Privately Held (backing)</t>
        </is>
      </c>
      <c r="L203" s="20" t="inlineStr">
        <is>
          <t>Angel-Backed</t>
        </is>
      </c>
      <c r="M203" s="21" t="n">
        <v>42390.0</v>
      </c>
      <c r="N203" s="22" t="inlineStr">
        <is>
          <t>Angel (individual)</t>
        </is>
      </c>
      <c r="O203" s="23" t="n">
        <v>0.16</v>
      </c>
      <c r="P203" s="101">
        <f>HYPERLINK("https://my.pitchbook.com?c=152409-25", "View company online")</f>
      </c>
    </row>
    <row r="204">
      <c r="A204" s="25" t="inlineStr">
        <is>
          <t>109137-34</t>
        </is>
      </c>
      <c r="B204" s="26" t="inlineStr">
        <is>
          <t>Wi-Next</t>
        </is>
      </c>
      <c r="C204" s="27" t="inlineStr">
        <is>
          <t/>
        </is>
      </c>
      <c r="D204" s="28" t="inlineStr">
        <is>
          <t/>
        </is>
      </c>
      <c r="E204" s="29" t="inlineStr">
        <is>
          <t/>
        </is>
      </c>
      <c r="F204" s="30" t="inlineStr">
        <is>
          <t/>
        </is>
      </c>
      <c r="G204" s="31" t="inlineStr">
        <is>
          <t/>
        </is>
      </c>
      <c r="H204" s="32" t="inlineStr">
        <is>
          <t/>
        </is>
      </c>
      <c r="I204" s="33" t="inlineStr">
        <is>
          <t/>
        </is>
      </c>
      <c r="J204" s="34" t="inlineStr">
        <is>
          <t/>
        </is>
      </c>
      <c r="K204" s="35" t="inlineStr">
        <is>
          <t>Privately Held (backing)</t>
        </is>
      </c>
      <c r="L204" s="36" t="inlineStr">
        <is>
          <t>Accelerator/Incubator Backed</t>
        </is>
      </c>
      <c r="M204" s="37" t="inlineStr">
        <is>
          <t/>
        </is>
      </c>
      <c r="N204" s="38" t="inlineStr">
        <is>
          <t>Accelerator/Incubator</t>
        </is>
      </c>
      <c r="O204" s="39" t="inlineStr">
        <is>
          <t/>
        </is>
      </c>
      <c r="P204" s="102">
        <f>HYPERLINK("https://my.pitchbook.com?c=109137-34", "View company online")</f>
      </c>
    </row>
    <row r="205">
      <c r="A205" s="9" t="inlineStr">
        <is>
          <t>121182-40</t>
        </is>
      </c>
      <c r="B205" s="10" t="inlineStr">
        <is>
          <t>WineSeq</t>
        </is>
      </c>
      <c r="C205" s="11" t="inlineStr">
        <is>
          <t/>
        </is>
      </c>
      <c r="D205" s="12" t="inlineStr">
        <is>
          <t/>
        </is>
      </c>
      <c r="E205" s="13" t="inlineStr">
        <is>
          <t/>
        </is>
      </c>
      <c r="F205" s="14" t="inlineStr">
        <is>
          <t/>
        </is>
      </c>
      <c r="G205" s="15" t="inlineStr">
        <is>
          <t/>
        </is>
      </c>
      <c r="H205" s="16" t="inlineStr">
        <is>
          <t/>
        </is>
      </c>
      <c r="I205" s="17" t="inlineStr">
        <is>
          <t/>
        </is>
      </c>
      <c r="J205" s="18" t="inlineStr">
        <is>
          <t/>
        </is>
      </c>
      <c r="K205" s="19" t="inlineStr">
        <is>
          <t>Privately Held (backing)</t>
        </is>
      </c>
      <c r="L205" s="20" t="inlineStr">
        <is>
          <t>Accelerator/Incubator Backed</t>
        </is>
      </c>
      <c r="M205" s="21" t="n">
        <v>42661.0</v>
      </c>
      <c r="N205" s="22" t="inlineStr">
        <is>
          <t>Seed Round</t>
        </is>
      </c>
      <c r="O205" s="23" t="n">
        <v>2.2</v>
      </c>
      <c r="P205" s="101">
        <f>HYPERLINK("https://my.pitchbook.com?c=121182-40", "View company online")</f>
      </c>
    </row>
    <row r="206">
      <c r="A206" s="25" t="inlineStr">
        <is>
          <t>103778-29</t>
        </is>
      </c>
      <c r="B206" s="26" t="inlineStr">
        <is>
          <t>WineMaps</t>
        </is>
      </c>
      <c r="C206" s="27" t="inlineStr">
        <is>
          <t/>
        </is>
      </c>
      <c r="D206" s="28" t="inlineStr">
        <is>
          <t/>
        </is>
      </c>
      <c r="E206" s="29" t="inlineStr">
        <is>
          <t/>
        </is>
      </c>
      <c r="F206" s="30" t="inlineStr">
        <is>
          <t/>
        </is>
      </c>
      <c r="G206" s="31" t="inlineStr">
        <is>
          <t/>
        </is>
      </c>
      <c r="H206" s="32" t="inlineStr">
        <is>
          <t/>
        </is>
      </c>
      <c r="I206" s="33" t="inlineStr">
        <is>
          <t/>
        </is>
      </c>
      <c r="J206" s="34" t="inlineStr">
        <is>
          <t/>
        </is>
      </c>
      <c r="K206" s="35" t="inlineStr">
        <is>
          <t>Privately Held (backing)</t>
        </is>
      </c>
      <c r="L206" s="36" t="inlineStr">
        <is>
          <t>Angel-Backed</t>
        </is>
      </c>
      <c r="M206" s="37" t="n">
        <v>41030.0</v>
      </c>
      <c r="N206" s="38" t="inlineStr">
        <is>
          <t>Product Crowdfunding</t>
        </is>
      </c>
      <c r="O206" s="39" t="n">
        <v>0.01</v>
      </c>
      <c r="P206" s="102">
        <f>HYPERLINK("https://my.pitchbook.com?c=103778-29", "View company online")</f>
      </c>
    </row>
    <row r="207">
      <c r="A207" s="9" t="inlineStr">
        <is>
          <t>172668-79</t>
        </is>
      </c>
      <c r="B207" s="10" t="inlineStr">
        <is>
          <t>Winecrasher.com</t>
        </is>
      </c>
      <c r="C207" s="77">
        <f>HYPERLINK("https://my.pitchbook.com?rrp=172668-79&amp;type=c", "This Company's information is not available to download. Need this Company? Request availability")</f>
      </c>
      <c r="D207" s="12" t="inlineStr">
        <is>
          <t/>
        </is>
      </c>
      <c r="E207" s="13" t="inlineStr">
        <is>
          <t/>
        </is>
      </c>
      <c r="F207" s="14" t="inlineStr">
        <is>
          <t/>
        </is>
      </c>
      <c r="G207" s="15" t="inlineStr">
        <is>
          <t/>
        </is>
      </c>
      <c r="H207" s="16" t="inlineStr">
        <is>
          <t/>
        </is>
      </c>
      <c r="I207" s="17" t="inlineStr">
        <is>
          <t/>
        </is>
      </c>
      <c r="J207" s="18" t="inlineStr">
        <is>
          <t/>
        </is>
      </c>
      <c r="K207" s="19" t="inlineStr">
        <is>
          <t/>
        </is>
      </c>
      <c r="L207" s="20" t="inlineStr">
        <is>
          <t/>
        </is>
      </c>
      <c r="M207" s="21" t="inlineStr">
        <is>
          <t/>
        </is>
      </c>
      <c r="N207" s="22" t="inlineStr">
        <is>
          <t/>
        </is>
      </c>
      <c r="O207" s="23" t="inlineStr">
        <is>
          <t/>
        </is>
      </c>
      <c r="P207" s="24" t="inlineStr">
        <is>
          <t/>
        </is>
      </c>
    </row>
    <row r="208">
      <c r="A208" s="25" t="inlineStr">
        <is>
          <t>111398-41</t>
        </is>
      </c>
      <c r="B208" s="26" t="inlineStr">
        <is>
          <t>Wine Hooligans</t>
        </is>
      </c>
      <c r="C208" s="27" t="inlineStr">
        <is>
          <t/>
        </is>
      </c>
      <c r="D208" s="28" t="inlineStr">
        <is>
          <t/>
        </is>
      </c>
      <c r="E208" s="29" t="inlineStr">
        <is>
          <t/>
        </is>
      </c>
      <c r="F208" s="30" t="inlineStr">
        <is>
          <t/>
        </is>
      </c>
      <c r="G208" s="31" t="inlineStr">
        <is>
          <t/>
        </is>
      </c>
      <c r="H208" s="32" t="inlineStr">
        <is>
          <t/>
        </is>
      </c>
      <c r="I208" s="33" t="inlineStr">
        <is>
          <t/>
        </is>
      </c>
      <c r="J208" s="34" t="inlineStr">
        <is>
          <t/>
        </is>
      </c>
      <c r="K208" s="35" t="inlineStr">
        <is>
          <t>Privately Held (backing)</t>
        </is>
      </c>
      <c r="L208" s="36" t="inlineStr">
        <is>
          <t>Angel-Backed</t>
        </is>
      </c>
      <c r="M208" s="37" t="n">
        <v>42103.0</v>
      </c>
      <c r="N208" s="38" t="inlineStr">
        <is>
          <t>Angel (individual)</t>
        </is>
      </c>
      <c r="O208" s="39" t="n">
        <v>1.15</v>
      </c>
      <c r="P208" s="102">
        <f>HYPERLINK("https://my.pitchbook.com?c=111398-41", "View company online")</f>
      </c>
    </row>
    <row r="209">
      <c r="A209" s="9" t="inlineStr">
        <is>
          <t>124573-24</t>
        </is>
      </c>
      <c r="B209" s="10" t="inlineStr">
        <is>
          <t>Window Street Financial</t>
        </is>
      </c>
      <c r="C209" s="11" t="inlineStr">
        <is>
          <t/>
        </is>
      </c>
      <c r="D209" s="12" t="inlineStr">
        <is>
          <t/>
        </is>
      </c>
      <c r="E209" s="13" t="inlineStr">
        <is>
          <t/>
        </is>
      </c>
      <c r="F209" s="14" t="inlineStr">
        <is>
          <t/>
        </is>
      </c>
      <c r="G209" s="15" t="inlineStr">
        <is>
          <t/>
        </is>
      </c>
      <c r="H209" s="16" t="inlineStr">
        <is>
          <t/>
        </is>
      </c>
      <c r="I209" s="17" t="inlineStr">
        <is>
          <t/>
        </is>
      </c>
      <c r="J209" s="18" t="inlineStr">
        <is>
          <t/>
        </is>
      </c>
      <c r="K209" s="19" t="inlineStr">
        <is>
          <t>Privately Held (backing)</t>
        </is>
      </c>
      <c r="L209" s="20" t="inlineStr">
        <is>
          <t>Accelerator/Incubator Backed</t>
        </is>
      </c>
      <c r="M209" s="21" t="n">
        <v>42192.0</v>
      </c>
      <c r="N209" s="22" t="inlineStr">
        <is>
          <t>Accelerator/Incubator</t>
        </is>
      </c>
      <c r="O209" s="23" t="inlineStr">
        <is>
          <t/>
        </is>
      </c>
      <c r="P209" s="101">
        <f>HYPERLINK("https://my.pitchbook.com?c=124573-24", "View company online")</f>
      </c>
    </row>
    <row r="210">
      <c r="A210" s="25" t="inlineStr">
        <is>
          <t>171363-07</t>
        </is>
      </c>
      <c r="B210" s="26" t="inlineStr">
        <is>
          <t>Windfall Data</t>
        </is>
      </c>
      <c r="C210" s="78">
        <f>HYPERLINK("https://my.pitchbook.com?rrp=171363-07&amp;type=c", "This Company's information is not available to download. Need this Company? Request availability")</f>
      </c>
      <c r="D210" s="28" t="inlineStr">
        <is>
          <t/>
        </is>
      </c>
      <c r="E210" s="29" t="inlineStr">
        <is>
          <t/>
        </is>
      </c>
      <c r="F210" s="30" t="inlineStr">
        <is>
          <t/>
        </is>
      </c>
      <c r="G210" s="31" t="inlineStr">
        <is>
          <t/>
        </is>
      </c>
      <c r="H210" s="32" t="inlineStr">
        <is>
          <t/>
        </is>
      </c>
      <c r="I210" s="33" t="inlineStr">
        <is>
          <t/>
        </is>
      </c>
      <c r="J210" s="34" t="inlineStr">
        <is>
          <t/>
        </is>
      </c>
      <c r="K210" s="35" t="inlineStr">
        <is>
          <t/>
        </is>
      </c>
      <c r="L210" s="36" t="inlineStr">
        <is>
          <t/>
        </is>
      </c>
      <c r="M210" s="37" t="inlineStr">
        <is>
          <t/>
        </is>
      </c>
      <c r="N210" s="38" t="inlineStr">
        <is>
          <t/>
        </is>
      </c>
      <c r="O210" s="39" t="inlineStr">
        <is>
          <t/>
        </is>
      </c>
      <c r="P210" s="40" t="inlineStr">
        <is>
          <t/>
        </is>
      </c>
    </row>
    <row r="211">
      <c r="A211" s="9" t="inlineStr">
        <is>
          <t>181820-80</t>
        </is>
      </c>
      <c r="B211" s="10" t="inlineStr">
        <is>
          <t>Windchime Health</t>
        </is>
      </c>
      <c r="C211" s="11" t="inlineStr">
        <is>
          <t/>
        </is>
      </c>
      <c r="D211" s="12" t="inlineStr">
        <is>
          <t/>
        </is>
      </c>
      <c r="E211" s="13" t="inlineStr">
        <is>
          <t/>
        </is>
      </c>
      <c r="F211" s="14" t="inlineStr">
        <is>
          <t/>
        </is>
      </c>
      <c r="G211" s="15" t="inlineStr">
        <is>
          <t/>
        </is>
      </c>
      <c r="H211" s="16" t="inlineStr">
        <is>
          <t/>
        </is>
      </c>
      <c r="I211" s="17" t="inlineStr">
        <is>
          <t/>
        </is>
      </c>
      <c r="J211" s="18" t="inlineStr">
        <is>
          <t/>
        </is>
      </c>
      <c r="K211" s="19" t="inlineStr">
        <is>
          <t>Privately Held (backing)</t>
        </is>
      </c>
      <c r="L211" s="20" t="inlineStr">
        <is>
          <t>Angel-Backed</t>
        </is>
      </c>
      <c r="M211" s="21" t="n">
        <v>42888.0</v>
      </c>
      <c r="N211" s="22" t="inlineStr">
        <is>
          <t>Angel (individual)</t>
        </is>
      </c>
      <c r="O211" s="23" t="n">
        <v>0.18</v>
      </c>
      <c r="P211" s="101">
        <f>HYPERLINK("https://my.pitchbook.com?c=181820-80", "View company online")</f>
      </c>
    </row>
    <row r="212">
      <c r="A212" s="25" t="inlineStr">
        <is>
          <t>103043-17</t>
        </is>
      </c>
      <c r="B212" s="26" t="inlineStr">
        <is>
          <t>Windation Energy Systems</t>
        </is>
      </c>
      <c r="C212" s="27" t="inlineStr">
        <is>
          <t/>
        </is>
      </c>
      <c r="D212" s="28" t="inlineStr">
        <is>
          <t/>
        </is>
      </c>
      <c r="E212" s="29" t="inlineStr">
        <is>
          <t/>
        </is>
      </c>
      <c r="F212" s="30" t="inlineStr">
        <is>
          <t/>
        </is>
      </c>
      <c r="G212" s="31" t="inlineStr">
        <is>
          <t/>
        </is>
      </c>
      <c r="H212" s="32" t="inlineStr">
        <is>
          <t/>
        </is>
      </c>
      <c r="I212" s="33" t="inlineStr">
        <is>
          <t/>
        </is>
      </c>
      <c r="J212" s="34" t="inlineStr">
        <is>
          <t/>
        </is>
      </c>
      <c r="K212" s="35" t="inlineStr">
        <is>
          <t>Privately Held (backing)</t>
        </is>
      </c>
      <c r="L212" s="36" t="inlineStr">
        <is>
          <t>Angel-Backed</t>
        </is>
      </c>
      <c r="M212" s="37" t="n">
        <v>40233.0</v>
      </c>
      <c r="N212" s="38" t="inlineStr">
        <is>
          <t>Convertible Debt</t>
        </is>
      </c>
      <c r="O212" s="39" t="n">
        <v>0.08</v>
      </c>
      <c r="P212" s="102">
        <f>HYPERLINK("https://my.pitchbook.com?c=103043-17", "View company online")</f>
      </c>
    </row>
    <row r="213">
      <c r="A213" s="9" t="inlineStr">
        <is>
          <t>109789-39</t>
        </is>
      </c>
      <c r="B213" s="10" t="inlineStr">
        <is>
          <t>Windameer</t>
        </is>
      </c>
      <c r="C213" s="11" t="inlineStr">
        <is>
          <t/>
        </is>
      </c>
      <c r="D213" s="12" t="inlineStr">
        <is>
          <t/>
        </is>
      </c>
      <c r="E213" s="13" t="inlineStr">
        <is>
          <t/>
        </is>
      </c>
      <c r="F213" s="14" t="inlineStr">
        <is>
          <t/>
        </is>
      </c>
      <c r="G213" s="15" t="inlineStr">
        <is>
          <t/>
        </is>
      </c>
      <c r="H213" s="16" t="inlineStr">
        <is>
          <t/>
        </is>
      </c>
      <c r="I213" s="17" t="inlineStr">
        <is>
          <t/>
        </is>
      </c>
      <c r="J213" s="18" t="inlineStr">
        <is>
          <t/>
        </is>
      </c>
      <c r="K213" s="19" t="inlineStr">
        <is>
          <t>Privately Held (backing)</t>
        </is>
      </c>
      <c r="L213" s="20" t="inlineStr">
        <is>
          <t>Accelerator/Incubator Backed</t>
        </is>
      </c>
      <c r="M213" s="21" t="n">
        <v>41640.0</v>
      </c>
      <c r="N213" s="22" t="inlineStr">
        <is>
          <t>Accelerator/Incubator</t>
        </is>
      </c>
      <c r="O213" s="23" t="inlineStr">
        <is>
          <t/>
        </is>
      </c>
      <c r="P213" s="101">
        <f>HYPERLINK("https://my.pitchbook.com?c=109789-39", "View company online")</f>
      </c>
    </row>
    <row r="214">
      <c r="A214" s="25" t="inlineStr">
        <is>
          <t>174219-31</t>
        </is>
      </c>
      <c r="B214" s="26" t="inlineStr">
        <is>
          <t>WinApp</t>
        </is>
      </c>
      <c r="C214" s="78">
        <f>HYPERLINK("https://my.pitchbook.com?rrp=174219-31&amp;type=c", "This Company's information is not available to download. Need this Company? Request availability")</f>
      </c>
      <c r="D214" s="28" t="inlineStr">
        <is>
          <t/>
        </is>
      </c>
      <c r="E214" s="29" t="inlineStr">
        <is>
          <t/>
        </is>
      </c>
      <c r="F214" s="30" t="inlineStr">
        <is>
          <t/>
        </is>
      </c>
      <c r="G214" s="31" t="inlineStr">
        <is>
          <t/>
        </is>
      </c>
      <c r="H214" s="32" t="inlineStr">
        <is>
          <t/>
        </is>
      </c>
      <c r="I214" s="33" t="inlineStr">
        <is>
          <t/>
        </is>
      </c>
      <c r="J214" s="34" t="inlineStr">
        <is>
          <t/>
        </is>
      </c>
      <c r="K214" s="35" t="inlineStr">
        <is>
          <t/>
        </is>
      </c>
      <c r="L214" s="36" t="inlineStr">
        <is>
          <t/>
        </is>
      </c>
      <c r="M214" s="37" t="inlineStr">
        <is>
          <t/>
        </is>
      </c>
      <c r="N214" s="38" t="inlineStr">
        <is>
          <t/>
        </is>
      </c>
      <c r="O214" s="39" t="inlineStr">
        <is>
          <t/>
        </is>
      </c>
      <c r="P214" s="40" t="inlineStr">
        <is>
          <t/>
        </is>
      </c>
    </row>
    <row r="215">
      <c r="A215" s="9" t="inlineStr">
        <is>
          <t>179853-40</t>
        </is>
      </c>
      <c r="B215" s="10" t="inlineStr">
        <is>
          <t>Willow Neuroscience</t>
        </is>
      </c>
      <c r="C215" s="11" t="inlineStr">
        <is>
          <t/>
        </is>
      </c>
      <c r="D215" s="12" t="inlineStr">
        <is>
          <t/>
        </is>
      </c>
      <c r="E215" s="13" t="inlineStr">
        <is>
          <t/>
        </is>
      </c>
      <c r="F215" s="14" t="inlineStr">
        <is>
          <t/>
        </is>
      </c>
      <c r="G215" s="15" t="inlineStr">
        <is>
          <t/>
        </is>
      </c>
      <c r="H215" s="16" t="inlineStr">
        <is>
          <t/>
        </is>
      </c>
      <c r="I215" s="17" t="inlineStr">
        <is>
          <t/>
        </is>
      </c>
      <c r="J215" s="18" t="inlineStr">
        <is>
          <t/>
        </is>
      </c>
      <c r="K215" s="19" t="inlineStr">
        <is>
          <t>Privately Held (backing)</t>
        </is>
      </c>
      <c r="L215" s="20" t="inlineStr">
        <is>
          <t>Angel-Backed</t>
        </is>
      </c>
      <c r="M215" s="21" t="n">
        <v>42830.0</v>
      </c>
      <c r="N215" s="22" t="inlineStr">
        <is>
          <t>Angel (individual)</t>
        </is>
      </c>
      <c r="O215" s="23" t="n">
        <v>0.01</v>
      </c>
      <c r="P215" s="101">
        <f>HYPERLINK("https://my.pitchbook.com?c=179853-40", "View company online")</f>
      </c>
    </row>
    <row r="216">
      <c r="A216" s="25" t="inlineStr">
        <is>
          <t>156617-83</t>
        </is>
      </c>
      <c r="B216" s="26" t="inlineStr">
        <is>
          <t>Willow Cup</t>
        </is>
      </c>
      <c r="C216" s="27" t="inlineStr">
        <is>
          <t/>
        </is>
      </c>
      <c r="D216" s="28" t="inlineStr">
        <is>
          <t/>
        </is>
      </c>
      <c r="E216" s="29" t="inlineStr">
        <is>
          <t/>
        </is>
      </c>
      <c r="F216" s="30" t="inlineStr">
        <is>
          <t/>
        </is>
      </c>
      <c r="G216" s="31" t="inlineStr">
        <is>
          <t/>
        </is>
      </c>
      <c r="H216" s="32" t="inlineStr">
        <is>
          <t/>
        </is>
      </c>
      <c r="I216" s="33" t="inlineStr">
        <is>
          <t/>
        </is>
      </c>
      <c r="J216" s="34" t="inlineStr">
        <is>
          <t/>
        </is>
      </c>
      <c r="K216" s="35" t="inlineStr">
        <is>
          <t>Privately Held (backing)</t>
        </is>
      </c>
      <c r="L216" s="36" t="inlineStr">
        <is>
          <t>Accelerator/Incubator Backed</t>
        </is>
      </c>
      <c r="M216" s="37" t="n">
        <v>42790.0</v>
      </c>
      <c r="N216" s="38" t="inlineStr">
        <is>
          <t>Accelerator/Incubator</t>
        </is>
      </c>
      <c r="O216" s="39" t="n">
        <v>0.06</v>
      </c>
      <c r="P216" s="102">
        <f>HYPERLINK("https://my.pitchbook.com?c=156617-83", "View company online")</f>
      </c>
    </row>
    <row r="217">
      <c r="A217" s="9" t="inlineStr">
        <is>
          <t>169425-10</t>
        </is>
      </c>
      <c r="B217" s="10" t="inlineStr">
        <is>
          <t>Wild Daisy</t>
        </is>
      </c>
      <c r="C217" s="11" t="inlineStr">
        <is>
          <t/>
        </is>
      </c>
      <c r="D217" s="12" t="inlineStr">
        <is>
          <t/>
        </is>
      </c>
      <c r="E217" s="13" t="inlineStr">
        <is>
          <t/>
        </is>
      </c>
      <c r="F217" s="14" t="inlineStr">
        <is>
          <t/>
        </is>
      </c>
      <c r="G217" s="15" t="inlineStr">
        <is>
          <t/>
        </is>
      </c>
      <c r="H217" s="16" t="inlineStr">
        <is>
          <t/>
        </is>
      </c>
      <c r="I217" s="17" t="inlineStr">
        <is>
          <t/>
        </is>
      </c>
      <c r="J217" s="18" t="inlineStr">
        <is>
          <t/>
        </is>
      </c>
      <c r="K217" s="19" t="inlineStr">
        <is>
          <t>Privately Held (backing)</t>
        </is>
      </c>
      <c r="L217" s="20" t="inlineStr">
        <is>
          <t>Accelerator/Incubator Backed</t>
        </is>
      </c>
      <c r="M217" s="21" t="n">
        <v>42217.0</v>
      </c>
      <c r="N217" s="22" t="inlineStr">
        <is>
          <t>Accelerator/Incubator</t>
        </is>
      </c>
      <c r="O217" s="23" t="inlineStr">
        <is>
          <t/>
        </is>
      </c>
      <c r="P217" s="101">
        <f>HYPERLINK("https://my.pitchbook.com?c=169425-10", "View company online")</f>
      </c>
    </row>
    <row r="218">
      <c r="A218" s="25" t="inlineStr">
        <is>
          <t>104278-78</t>
        </is>
      </c>
      <c r="B218" s="26" t="inlineStr">
        <is>
          <t>WikiRealty</t>
        </is>
      </c>
      <c r="C218" s="27" t="inlineStr">
        <is>
          <t/>
        </is>
      </c>
      <c r="D218" s="28" t="inlineStr">
        <is>
          <t/>
        </is>
      </c>
      <c r="E218" s="29" t="inlineStr">
        <is>
          <t/>
        </is>
      </c>
      <c r="F218" s="30" t="inlineStr">
        <is>
          <t/>
        </is>
      </c>
      <c r="G218" s="31" t="inlineStr">
        <is>
          <t/>
        </is>
      </c>
      <c r="H218" s="32" t="inlineStr">
        <is>
          <t/>
        </is>
      </c>
      <c r="I218" s="33" t="inlineStr">
        <is>
          <t/>
        </is>
      </c>
      <c r="J218" s="34" t="inlineStr">
        <is>
          <t/>
        </is>
      </c>
      <c r="K218" s="35" t="inlineStr">
        <is>
          <t>Privately Held (backing)</t>
        </is>
      </c>
      <c r="L218" s="36" t="inlineStr">
        <is>
          <t>Angel-Backed</t>
        </is>
      </c>
      <c r="M218" s="37" t="n">
        <v>42095.0</v>
      </c>
      <c r="N218" s="38" t="inlineStr">
        <is>
          <t>Seed Round</t>
        </is>
      </c>
      <c r="O218" s="39" t="n">
        <v>1.9</v>
      </c>
      <c r="P218" s="102">
        <f>HYPERLINK("https://my.pitchbook.com?c=104278-78", "View company online")</f>
      </c>
    </row>
    <row r="219">
      <c r="A219" s="9" t="inlineStr">
        <is>
          <t>60290-29</t>
        </is>
      </c>
      <c r="B219" s="10" t="inlineStr">
        <is>
          <t>WiFi Rail</t>
        </is>
      </c>
      <c r="C219" s="11" t="inlineStr">
        <is>
          <t/>
        </is>
      </c>
      <c r="D219" s="12" t="inlineStr">
        <is>
          <t/>
        </is>
      </c>
      <c r="E219" s="13" t="inlineStr">
        <is>
          <t/>
        </is>
      </c>
      <c r="F219" s="14" t="inlineStr">
        <is>
          <t/>
        </is>
      </c>
      <c r="G219" s="15" t="inlineStr">
        <is>
          <t/>
        </is>
      </c>
      <c r="H219" s="16" t="inlineStr">
        <is>
          <t/>
        </is>
      </c>
      <c r="I219" s="17" t="inlineStr">
        <is>
          <t/>
        </is>
      </c>
      <c r="J219" s="18" t="inlineStr">
        <is>
          <t/>
        </is>
      </c>
      <c r="K219" s="19" t="inlineStr">
        <is>
          <t>Privately Held (backing)</t>
        </is>
      </c>
      <c r="L219" s="20" t="inlineStr">
        <is>
          <t>Angel-Backed</t>
        </is>
      </c>
      <c r="M219" s="21" t="n">
        <v>40555.0</v>
      </c>
      <c r="N219" s="22" t="inlineStr">
        <is>
          <t>Angel (individual)</t>
        </is>
      </c>
      <c r="O219" s="23" t="n">
        <v>5.11</v>
      </c>
      <c r="P219" s="101">
        <f>HYPERLINK("https://my.pitchbook.com?c=60290-29", "View company online")</f>
      </c>
    </row>
    <row r="220">
      <c r="A220" s="25" t="inlineStr">
        <is>
          <t>99065-71</t>
        </is>
      </c>
      <c r="B220" s="26" t="inlineStr">
        <is>
          <t>Wicked Loot</t>
        </is>
      </c>
      <c r="C220" s="27" t="inlineStr">
        <is>
          <t/>
        </is>
      </c>
      <c r="D220" s="28" t="inlineStr">
        <is>
          <t/>
        </is>
      </c>
      <c r="E220" s="29" t="inlineStr">
        <is>
          <t/>
        </is>
      </c>
      <c r="F220" s="30" t="inlineStr">
        <is>
          <t/>
        </is>
      </c>
      <c r="G220" s="31" t="inlineStr">
        <is>
          <t/>
        </is>
      </c>
      <c r="H220" s="32" t="inlineStr">
        <is>
          <t/>
        </is>
      </c>
      <c r="I220" s="33" t="inlineStr">
        <is>
          <t/>
        </is>
      </c>
      <c r="J220" s="34" t="inlineStr">
        <is>
          <t/>
        </is>
      </c>
      <c r="K220" s="35" t="inlineStr">
        <is>
          <t>Privately Held (backing)</t>
        </is>
      </c>
      <c r="L220" s="36" t="inlineStr">
        <is>
          <t>Accelerator/Incubator Backed</t>
        </is>
      </c>
      <c r="M220" s="37" t="n">
        <v>41578.0</v>
      </c>
      <c r="N220" s="38" t="inlineStr">
        <is>
          <t>Product Crowdfunding</t>
        </is>
      </c>
      <c r="O220" s="39" t="n">
        <v>0.02</v>
      </c>
      <c r="P220" s="102">
        <f>HYPERLINK("https://my.pitchbook.com?c=99065-71", "View company online")</f>
      </c>
    </row>
    <row r="221">
      <c r="A221" s="9" t="inlineStr">
        <is>
          <t>172653-22</t>
        </is>
      </c>
      <c r="B221" s="10" t="inlineStr">
        <is>
          <t>Whooos Reading</t>
        </is>
      </c>
      <c r="C221" s="77">
        <f>HYPERLINK("https://my.pitchbook.com?rrp=172653-22&amp;type=c", "This Company's information is not available to download. Need this Company? Request availability")</f>
      </c>
      <c r="D221" s="12" t="inlineStr">
        <is>
          <t/>
        </is>
      </c>
      <c r="E221" s="13" t="inlineStr">
        <is>
          <t/>
        </is>
      </c>
      <c r="F221" s="14" t="inlineStr">
        <is>
          <t/>
        </is>
      </c>
      <c r="G221" s="15" t="inlineStr">
        <is>
          <t/>
        </is>
      </c>
      <c r="H221" s="16" t="inlineStr">
        <is>
          <t/>
        </is>
      </c>
      <c r="I221" s="17" t="inlineStr">
        <is>
          <t/>
        </is>
      </c>
      <c r="J221" s="18" t="inlineStr">
        <is>
          <t/>
        </is>
      </c>
      <c r="K221" s="19" t="inlineStr">
        <is>
          <t/>
        </is>
      </c>
      <c r="L221" s="20" t="inlineStr">
        <is>
          <t/>
        </is>
      </c>
      <c r="M221" s="21" t="inlineStr">
        <is>
          <t/>
        </is>
      </c>
      <c r="N221" s="22" t="inlineStr">
        <is>
          <t/>
        </is>
      </c>
      <c r="O221" s="23" t="inlineStr">
        <is>
          <t/>
        </is>
      </c>
      <c r="P221" s="24" t="inlineStr">
        <is>
          <t/>
        </is>
      </c>
    </row>
    <row r="222">
      <c r="A222" s="25" t="inlineStr">
        <is>
          <t>152942-32</t>
        </is>
      </c>
      <c r="B222" s="26" t="inlineStr">
        <is>
          <t>Wholemeaning Technologies</t>
        </is>
      </c>
      <c r="C222" s="27" t="inlineStr">
        <is>
          <t/>
        </is>
      </c>
      <c r="D222" s="28" t="inlineStr">
        <is>
          <t/>
        </is>
      </c>
      <c r="E222" s="29" t="inlineStr">
        <is>
          <t/>
        </is>
      </c>
      <c r="F222" s="30" t="inlineStr">
        <is>
          <t/>
        </is>
      </c>
      <c r="G222" s="31" t="inlineStr">
        <is>
          <t/>
        </is>
      </c>
      <c r="H222" s="32" t="inlineStr">
        <is>
          <t/>
        </is>
      </c>
      <c r="I222" s="33" t="inlineStr">
        <is>
          <t/>
        </is>
      </c>
      <c r="J222" s="34" t="inlineStr">
        <is>
          <t/>
        </is>
      </c>
      <c r="K222" s="35" t="inlineStr">
        <is>
          <t>Privately Held (backing)</t>
        </is>
      </c>
      <c r="L222" s="36" t="inlineStr">
        <is>
          <t>Accelerator/Incubator Backed</t>
        </is>
      </c>
      <c r="M222" s="37" t="n">
        <v>42248.0</v>
      </c>
      <c r="N222" s="38" t="inlineStr">
        <is>
          <t>Accelerator/Incubator</t>
        </is>
      </c>
      <c r="O222" s="39" t="n">
        <v>2.5</v>
      </c>
      <c r="P222" s="102">
        <f>HYPERLINK("https://my.pitchbook.com?c=152942-32", "View company online")</f>
      </c>
    </row>
    <row r="223">
      <c r="A223" s="9" t="inlineStr">
        <is>
          <t>61007-41</t>
        </is>
      </c>
      <c r="B223" s="10" t="inlineStr">
        <is>
          <t>WhoAPI</t>
        </is>
      </c>
      <c r="C223" s="11" t="inlineStr">
        <is>
          <t/>
        </is>
      </c>
      <c r="D223" s="12" t="inlineStr">
        <is>
          <t/>
        </is>
      </c>
      <c r="E223" s="13" t="inlineStr">
        <is>
          <t/>
        </is>
      </c>
      <c r="F223" s="14" t="inlineStr">
        <is>
          <t/>
        </is>
      </c>
      <c r="G223" s="15" t="inlineStr">
        <is>
          <t/>
        </is>
      </c>
      <c r="H223" s="16" t="inlineStr">
        <is>
          <t/>
        </is>
      </c>
      <c r="I223" s="17" t="inlineStr">
        <is>
          <t/>
        </is>
      </c>
      <c r="J223" s="18" t="inlineStr">
        <is>
          <t/>
        </is>
      </c>
      <c r="K223" s="19" t="inlineStr">
        <is>
          <t>Privately Held (backing)</t>
        </is>
      </c>
      <c r="L223" s="20" t="inlineStr">
        <is>
          <t>Accelerator/Incubator Backed</t>
        </is>
      </c>
      <c r="M223" s="21" t="n">
        <v>42093.0</v>
      </c>
      <c r="N223" s="22" t="inlineStr">
        <is>
          <t>Accelerator/Incubator</t>
        </is>
      </c>
      <c r="O223" s="23" t="n">
        <v>0.05</v>
      </c>
      <c r="P223" s="101">
        <f>HYPERLINK("https://my.pitchbook.com?c=61007-41", "View company online")</f>
      </c>
    </row>
    <row r="224">
      <c r="A224" s="25" t="inlineStr">
        <is>
          <t>121653-46</t>
        </is>
      </c>
      <c r="B224" s="26" t="inlineStr">
        <is>
          <t>Whizz Systems</t>
        </is>
      </c>
      <c r="C224" s="78">
        <f>HYPERLINK("https://my.pitchbook.com?rrp=121653-46&amp;type=c", "This Company's information is not available to download. Need this Company? Request availability")</f>
      </c>
      <c r="D224" s="28" t="inlineStr">
        <is>
          <t/>
        </is>
      </c>
      <c r="E224" s="29" t="inlineStr">
        <is>
          <t/>
        </is>
      </c>
      <c r="F224" s="30" t="inlineStr">
        <is>
          <t/>
        </is>
      </c>
      <c r="G224" s="31" t="inlineStr">
        <is>
          <t/>
        </is>
      </c>
      <c r="H224" s="32" t="inlineStr">
        <is>
          <t/>
        </is>
      </c>
      <c r="I224" s="33" t="inlineStr">
        <is>
          <t/>
        </is>
      </c>
      <c r="J224" s="34" t="inlineStr">
        <is>
          <t/>
        </is>
      </c>
      <c r="K224" s="35" t="inlineStr">
        <is>
          <t/>
        </is>
      </c>
      <c r="L224" s="36" t="inlineStr">
        <is>
          <t/>
        </is>
      </c>
      <c r="M224" s="37" t="inlineStr">
        <is>
          <t/>
        </is>
      </c>
      <c r="N224" s="38" t="inlineStr">
        <is>
          <t/>
        </is>
      </c>
      <c r="O224" s="39" t="inlineStr">
        <is>
          <t/>
        </is>
      </c>
      <c r="P224" s="40" t="inlineStr">
        <is>
          <t/>
        </is>
      </c>
    </row>
    <row r="225">
      <c r="A225" s="9" t="inlineStr">
        <is>
          <t>171219-70</t>
        </is>
      </c>
      <c r="B225" s="10" t="inlineStr">
        <is>
          <t>Whiz Tutor</t>
        </is>
      </c>
      <c r="C225" s="77">
        <f>HYPERLINK("https://my.pitchbook.com?rrp=171219-70&amp;type=c", "This Company's information is not available to download. Need this Company? Request availability")</f>
      </c>
      <c r="D225" s="12" t="inlineStr">
        <is>
          <t/>
        </is>
      </c>
      <c r="E225" s="13" t="inlineStr">
        <is>
          <t/>
        </is>
      </c>
      <c r="F225" s="14" t="inlineStr">
        <is>
          <t/>
        </is>
      </c>
      <c r="G225" s="15" t="inlineStr">
        <is>
          <t/>
        </is>
      </c>
      <c r="H225" s="16" t="inlineStr">
        <is>
          <t/>
        </is>
      </c>
      <c r="I225" s="17" t="inlineStr">
        <is>
          <t/>
        </is>
      </c>
      <c r="J225" s="18" t="inlineStr">
        <is>
          <t/>
        </is>
      </c>
      <c r="K225" s="19" t="inlineStr">
        <is>
          <t/>
        </is>
      </c>
      <c r="L225" s="20" t="inlineStr">
        <is>
          <t/>
        </is>
      </c>
      <c r="M225" s="21" t="inlineStr">
        <is>
          <t/>
        </is>
      </c>
      <c r="N225" s="22" t="inlineStr">
        <is>
          <t/>
        </is>
      </c>
      <c r="O225" s="23" t="inlineStr">
        <is>
          <t/>
        </is>
      </c>
      <c r="P225" s="24" t="inlineStr">
        <is>
          <t/>
        </is>
      </c>
    </row>
    <row r="226">
      <c r="A226" s="25" t="inlineStr">
        <is>
          <t>151568-47</t>
        </is>
      </c>
      <c r="B226" s="26" t="inlineStr">
        <is>
          <t>WhiteCoat</t>
        </is>
      </c>
      <c r="C226" s="27" t="inlineStr">
        <is>
          <t/>
        </is>
      </c>
      <c r="D226" s="28" t="inlineStr">
        <is>
          <t/>
        </is>
      </c>
      <c r="E226" s="29" t="inlineStr">
        <is>
          <t/>
        </is>
      </c>
      <c r="F226" s="30" t="inlineStr">
        <is>
          <t/>
        </is>
      </c>
      <c r="G226" s="31" t="inlineStr">
        <is>
          <t/>
        </is>
      </c>
      <c r="H226" s="32" t="inlineStr">
        <is>
          <t/>
        </is>
      </c>
      <c r="I226" s="33" t="inlineStr">
        <is>
          <t/>
        </is>
      </c>
      <c r="J226" s="34" t="inlineStr">
        <is>
          <t/>
        </is>
      </c>
      <c r="K226" s="35" t="inlineStr">
        <is>
          <t>Privately Held (backing)</t>
        </is>
      </c>
      <c r="L226" s="36" t="inlineStr">
        <is>
          <t>Angel-Backed</t>
        </is>
      </c>
      <c r="M226" s="37" t="n">
        <v>42366.0</v>
      </c>
      <c r="N226" s="38" t="inlineStr">
        <is>
          <t>Angel (individual)</t>
        </is>
      </c>
      <c r="O226" s="39" t="n">
        <v>0.68</v>
      </c>
      <c r="P226" s="102">
        <f>HYPERLINK("https://my.pitchbook.com?c=151568-47", "View company online")</f>
      </c>
    </row>
    <row r="227">
      <c r="A227" s="9" t="inlineStr">
        <is>
          <t>124234-03</t>
        </is>
      </c>
      <c r="B227" s="10" t="inlineStr">
        <is>
          <t>White Tie Fantasy</t>
        </is>
      </c>
      <c r="C227" s="11" t="inlineStr">
        <is>
          <t/>
        </is>
      </c>
      <c r="D227" s="12" t="inlineStr">
        <is>
          <t/>
        </is>
      </c>
      <c r="E227" s="13" t="inlineStr">
        <is>
          <t/>
        </is>
      </c>
      <c r="F227" s="14" t="inlineStr">
        <is>
          <t/>
        </is>
      </c>
      <c r="G227" s="15" t="inlineStr">
        <is>
          <t/>
        </is>
      </c>
      <c r="H227" s="16" t="inlineStr">
        <is>
          <t/>
        </is>
      </c>
      <c r="I227" s="17" t="inlineStr">
        <is>
          <t/>
        </is>
      </c>
      <c r="J227" s="18" t="inlineStr">
        <is>
          <t/>
        </is>
      </c>
      <c r="K227" s="19" t="inlineStr">
        <is>
          <t>Privately Held (backing)</t>
        </is>
      </c>
      <c r="L227" s="20" t="inlineStr">
        <is>
          <t>Accelerator/Incubator Backed</t>
        </is>
      </c>
      <c r="M227" s="21" t="n">
        <v>42262.0</v>
      </c>
      <c r="N227" s="22" t="inlineStr">
        <is>
          <t>Angel (individual)</t>
        </is>
      </c>
      <c r="O227" s="23" t="inlineStr">
        <is>
          <t/>
        </is>
      </c>
      <c r="P227" s="101">
        <f>HYPERLINK("https://my.pitchbook.com?c=124234-03", "View company online")</f>
      </c>
    </row>
    <row r="228">
      <c r="A228" s="25" t="inlineStr">
        <is>
          <t>156737-71</t>
        </is>
      </c>
      <c r="B228" s="26" t="inlineStr">
        <is>
          <t>White Goods Technologies</t>
        </is>
      </c>
      <c r="C228" s="27" t="inlineStr">
        <is>
          <t/>
        </is>
      </c>
      <c r="D228" s="28" t="inlineStr">
        <is>
          <t/>
        </is>
      </c>
      <c r="E228" s="29" t="inlineStr">
        <is>
          <t/>
        </is>
      </c>
      <c r="F228" s="30" t="inlineStr">
        <is>
          <t/>
        </is>
      </c>
      <c r="G228" s="31" t="inlineStr">
        <is>
          <t/>
        </is>
      </c>
      <c r="H228" s="32" t="inlineStr">
        <is>
          <t/>
        </is>
      </c>
      <c r="I228" s="33" t="inlineStr">
        <is>
          <t/>
        </is>
      </c>
      <c r="J228" s="34" t="inlineStr">
        <is>
          <t/>
        </is>
      </c>
      <c r="K228" s="35" t="inlineStr">
        <is>
          <t>Privately Held (backing)</t>
        </is>
      </c>
      <c r="L228" s="36" t="inlineStr">
        <is>
          <t>Angel-Backed</t>
        </is>
      </c>
      <c r="M228" s="37" t="inlineStr">
        <is>
          <t/>
        </is>
      </c>
      <c r="N228" s="38" t="inlineStr">
        <is>
          <t>Angel (individual)</t>
        </is>
      </c>
      <c r="O228" s="39" t="inlineStr">
        <is>
          <t/>
        </is>
      </c>
      <c r="P228" s="102">
        <f>HYPERLINK("https://my.pitchbook.com?c=156737-71", "View company online")</f>
      </c>
    </row>
    <row r="229">
      <c r="A229" s="9" t="inlineStr">
        <is>
          <t>167441-59</t>
        </is>
      </c>
      <c r="B229" s="10" t="inlineStr">
        <is>
          <t>Whistle (Telecommunications)</t>
        </is>
      </c>
      <c r="C229" s="11" t="inlineStr">
        <is>
          <t/>
        </is>
      </c>
      <c r="D229" s="12" t="inlineStr">
        <is>
          <t/>
        </is>
      </c>
      <c r="E229" s="13" t="inlineStr">
        <is>
          <t/>
        </is>
      </c>
      <c r="F229" s="14" t="inlineStr">
        <is>
          <t/>
        </is>
      </c>
      <c r="G229" s="15" t="inlineStr">
        <is>
          <t/>
        </is>
      </c>
      <c r="H229" s="16" t="inlineStr">
        <is>
          <t/>
        </is>
      </c>
      <c r="I229" s="17" t="inlineStr">
        <is>
          <t/>
        </is>
      </c>
      <c r="J229" s="18" t="inlineStr">
        <is>
          <t/>
        </is>
      </c>
      <c r="K229" s="19" t="inlineStr">
        <is>
          <t>Privately Held (backing)</t>
        </is>
      </c>
      <c r="L229" s="20" t="inlineStr">
        <is>
          <t>Angel-Backed</t>
        </is>
      </c>
      <c r="M229" s="21" t="inlineStr">
        <is>
          <t/>
        </is>
      </c>
      <c r="N229" s="22" t="inlineStr">
        <is>
          <t>Early Stage VC</t>
        </is>
      </c>
      <c r="O229" s="23" t="inlineStr">
        <is>
          <t/>
        </is>
      </c>
      <c r="P229" s="101">
        <f>HYPERLINK("https://my.pitchbook.com?c=167441-59", "View company online")</f>
      </c>
    </row>
    <row r="230">
      <c r="A230" s="25" t="inlineStr">
        <is>
          <t>118050-49</t>
        </is>
      </c>
      <c r="B230" s="26" t="inlineStr">
        <is>
          <t>Whil</t>
        </is>
      </c>
      <c r="C230" s="27" t="inlineStr">
        <is>
          <t/>
        </is>
      </c>
      <c r="D230" s="28" t="inlineStr">
        <is>
          <t/>
        </is>
      </c>
      <c r="E230" s="29" t="inlineStr">
        <is>
          <t/>
        </is>
      </c>
      <c r="F230" s="30" t="inlineStr">
        <is>
          <t/>
        </is>
      </c>
      <c r="G230" s="31" t="inlineStr">
        <is>
          <t/>
        </is>
      </c>
      <c r="H230" s="32" t="inlineStr">
        <is>
          <t/>
        </is>
      </c>
      <c r="I230" s="33" t="inlineStr">
        <is>
          <t/>
        </is>
      </c>
      <c r="J230" s="34" t="inlineStr">
        <is>
          <t/>
        </is>
      </c>
      <c r="K230" s="35" t="inlineStr">
        <is>
          <t>Privately Held (backing)</t>
        </is>
      </c>
      <c r="L230" s="36" t="inlineStr">
        <is>
          <t>Accelerator/Incubator Backed</t>
        </is>
      </c>
      <c r="M230" s="37" t="n">
        <v>42370.0</v>
      </c>
      <c r="N230" s="38" t="inlineStr">
        <is>
          <t>Angel (individual)</t>
        </is>
      </c>
      <c r="O230" s="39" t="n">
        <v>15.0</v>
      </c>
      <c r="P230" s="102">
        <f>HYPERLINK("https://my.pitchbook.com?c=118050-49", "View company online")</f>
      </c>
    </row>
    <row r="231">
      <c r="A231" s="9" t="inlineStr">
        <is>
          <t>122411-17</t>
        </is>
      </c>
      <c r="B231" s="10" t="inlineStr">
        <is>
          <t>WhereWithWho</t>
        </is>
      </c>
      <c r="C231" s="11" t="inlineStr">
        <is>
          <t/>
        </is>
      </c>
      <c r="D231" s="12" t="inlineStr">
        <is>
          <t/>
        </is>
      </c>
      <c r="E231" s="13" t="inlineStr">
        <is>
          <t/>
        </is>
      </c>
      <c r="F231" s="14" t="inlineStr">
        <is>
          <t/>
        </is>
      </c>
      <c r="G231" s="15" t="inlineStr">
        <is>
          <t/>
        </is>
      </c>
      <c r="H231" s="16" t="inlineStr">
        <is>
          <t/>
        </is>
      </c>
      <c r="I231" s="17" t="inlineStr">
        <is>
          <t/>
        </is>
      </c>
      <c r="J231" s="18" t="inlineStr">
        <is>
          <t/>
        </is>
      </c>
      <c r="K231" s="19" t="inlineStr">
        <is>
          <t>Privately Held (backing)</t>
        </is>
      </c>
      <c r="L231" s="20" t="inlineStr">
        <is>
          <t>Angel-Backed</t>
        </is>
      </c>
      <c r="M231" s="21" t="n">
        <v>41764.0</v>
      </c>
      <c r="N231" s="22" t="inlineStr">
        <is>
          <t>Angel (individual)</t>
        </is>
      </c>
      <c r="O231" s="23" t="inlineStr">
        <is>
          <t/>
        </is>
      </c>
      <c r="P231" s="101">
        <f>HYPERLINK("https://my.pitchbook.com?c=122411-17", "View company online")</f>
      </c>
    </row>
    <row r="232">
      <c r="A232" s="25" t="inlineStr">
        <is>
          <t>104797-63</t>
        </is>
      </c>
      <c r="B232" s="26" t="inlineStr">
        <is>
          <t>When You Wish</t>
        </is>
      </c>
      <c r="C232" s="27" t="inlineStr">
        <is>
          <t/>
        </is>
      </c>
      <c r="D232" s="28" t="inlineStr">
        <is>
          <t/>
        </is>
      </c>
      <c r="E232" s="29" t="inlineStr">
        <is>
          <t/>
        </is>
      </c>
      <c r="F232" s="30" t="inlineStr">
        <is>
          <t/>
        </is>
      </c>
      <c r="G232" s="31" t="inlineStr">
        <is>
          <t/>
        </is>
      </c>
      <c r="H232" s="32" t="inlineStr">
        <is>
          <t/>
        </is>
      </c>
      <c r="I232" s="33" t="inlineStr">
        <is>
          <t/>
        </is>
      </c>
      <c r="J232" s="34" t="inlineStr">
        <is>
          <t/>
        </is>
      </c>
      <c r="K232" s="35" t="inlineStr">
        <is>
          <t>Privately Held (backing)</t>
        </is>
      </c>
      <c r="L232" s="36" t="inlineStr">
        <is>
          <t>Angel-Backed</t>
        </is>
      </c>
      <c r="M232" s="37" t="n">
        <v>40575.0</v>
      </c>
      <c r="N232" s="38" t="inlineStr">
        <is>
          <t>Angel (individual)</t>
        </is>
      </c>
      <c r="O232" s="39" t="n">
        <v>1.5</v>
      </c>
      <c r="P232" s="102">
        <f>HYPERLINK("https://my.pitchbook.com?c=104797-63", "View company online")</f>
      </c>
    </row>
    <row r="233">
      <c r="A233" s="9" t="inlineStr">
        <is>
          <t>104274-73</t>
        </is>
      </c>
      <c r="B233" s="10" t="inlineStr">
        <is>
          <t>WhatsOpen</t>
        </is>
      </c>
      <c r="C233" s="11" t="inlineStr">
        <is>
          <t/>
        </is>
      </c>
      <c r="D233" s="12" t="inlineStr">
        <is>
          <t/>
        </is>
      </c>
      <c r="E233" s="13" t="inlineStr">
        <is>
          <t/>
        </is>
      </c>
      <c r="F233" s="14" t="inlineStr">
        <is>
          <t/>
        </is>
      </c>
      <c r="G233" s="15" t="inlineStr">
        <is>
          <t/>
        </is>
      </c>
      <c r="H233" s="16" t="inlineStr">
        <is>
          <t/>
        </is>
      </c>
      <c r="I233" s="17" t="inlineStr">
        <is>
          <t/>
        </is>
      </c>
      <c r="J233" s="18" t="inlineStr">
        <is>
          <t/>
        </is>
      </c>
      <c r="K233" s="19" t="inlineStr">
        <is>
          <t>Privately Held (backing)</t>
        </is>
      </c>
      <c r="L233" s="20" t="inlineStr">
        <is>
          <t>Accelerator/Incubator Backed</t>
        </is>
      </c>
      <c r="M233" s="21" t="n">
        <v>39192.0</v>
      </c>
      <c r="N233" s="22" t="inlineStr">
        <is>
          <t>Accelerator/Incubator</t>
        </is>
      </c>
      <c r="O233" s="23" t="n">
        <v>0.1</v>
      </c>
      <c r="P233" s="101">
        <f>HYPERLINK("https://my.pitchbook.com?c=104274-73", "View company online")</f>
      </c>
    </row>
    <row r="234">
      <c r="A234" s="25" t="inlineStr">
        <is>
          <t>173981-26</t>
        </is>
      </c>
      <c r="B234" s="26" t="inlineStr">
        <is>
          <t>WhatsCrackin</t>
        </is>
      </c>
      <c r="C234" s="78">
        <f>HYPERLINK("https://my.pitchbook.com?rrp=173981-26&amp;type=c", "This Company's information is not available to download. Need this Company? Request availability")</f>
      </c>
      <c r="D234" s="28" t="inlineStr">
        <is>
          <t/>
        </is>
      </c>
      <c r="E234" s="29" t="inlineStr">
        <is>
          <t/>
        </is>
      </c>
      <c r="F234" s="30" t="inlineStr">
        <is>
          <t/>
        </is>
      </c>
      <c r="G234" s="31" t="inlineStr">
        <is>
          <t/>
        </is>
      </c>
      <c r="H234" s="32" t="inlineStr">
        <is>
          <t/>
        </is>
      </c>
      <c r="I234" s="33" t="inlineStr">
        <is>
          <t/>
        </is>
      </c>
      <c r="J234" s="34" t="inlineStr">
        <is>
          <t/>
        </is>
      </c>
      <c r="K234" s="35" t="inlineStr">
        <is>
          <t/>
        </is>
      </c>
      <c r="L234" s="36" t="inlineStr">
        <is>
          <t/>
        </is>
      </c>
      <c r="M234" s="37" t="inlineStr">
        <is>
          <t/>
        </is>
      </c>
      <c r="N234" s="38" t="inlineStr">
        <is>
          <t/>
        </is>
      </c>
      <c r="O234" s="39" t="inlineStr">
        <is>
          <t/>
        </is>
      </c>
      <c r="P234" s="40" t="inlineStr">
        <is>
          <t/>
        </is>
      </c>
    </row>
    <row r="235">
      <c r="A235" s="9" t="inlineStr">
        <is>
          <t>111300-22</t>
        </is>
      </c>
      <c r="B235" s="10" t="inlineStr">
        <is>
          <t>What's Up Moms</t>
        </is>
      </c>
      <c r="C235" s="11" t="inlineStr">
        <is>
          <t/>
        </is>
      </c>
      <c r="D235" s="12" t="inlineStr">
        <is>
          <t/>
        </is>
      </c>
      <c r="E235" s="13" t="inlineStr">
        <is>
          <t/>
        </is>
      </c>
      <c r="F235" s="14" t="inlineStr">
        <is>
          <t/>
        </is>
      </c>
      <c r="G235" s="15" t="inlineStr">
        <is>
          <t/>
        </is>
      </c>
      <c r="H235" s="16" t="inlineStr">
        <is>
          <t/>
        </is>
      </c>
      <c r="I235" s="17" t="inlineStr">
        <is>
          <t/>
        </is>
      </c>
      <c r="J235" s="18" t="inlineStr">
        <is>
          <t/>
        </is>
      </c>
      <c r="K235" s="19" t="inlineStr">
        <is>
          <t>Privately Held (backing)</t>
        </is>
      </c>
      <c r="L235" s="20" t="inlineStr">
        <is>
          <t>Angel-Backed</t>
        </is>
      </c>
      <c r="M235" s="21" t="n">
        <v>42101.0</v>
      </c>
      <c r="N235" s="22" t="inlineStr">
        <is>
          <t>Angel (individual)</t>
        </is>
      </c>
      <c r="O235" s="23" t="n">
        <v>0.6</v>
      </c>
      <c r="P235" s="101">
        <f>HYPERLINK("https://my.pitchbook.com?c=111300-22", "View company online")</f>
      </c>
    </row>
    <row r="236">
      <c r="A236" s="25" t="inlineStr">
        <is>
          <t>99749-62</t>
        </is>
      </c>
      <c r="B236" s="26" t="inlineStr">
        <is>
          <t>What Say You</t>
        </is>
      </c>
      <c r="C236" s="27" t="inlineStr">
        <is>
          <t/>
        </is>
      </c>
      <c r="D236" s="28" t="inlineStr">
        <is>
          <t/>
        </is>
      </c>
      <c r="E236" s="29" t="inlineStr">
        <is>
          <t/>
        </is>
      </c>
      <c r="F236" s="30" t="inlineStr">
        <is>
          <t/>
        </is>
      </c>
      <c r="G236" s="31" t="inlineStr">
        <is>
          <t/>
        </is>
      </c>
      <c r="H236" s="32" t="inlineStr">
        <is>
          <t/>
        </is>
      </c>
      <c r="I236" s="33" t="inlineStr">
        <is>
          <t/>
        </is>
      </c>
      <c r="J236" s="34" t="inlineStr">
        <is>
          <t/>
        </is>
      </c>
      <c r="K236" s="35" t="inlineStr">
        <is>
          <t>Privately Held (backing)</t>
        </is>
      </c>
      <c r="L236" s="36" t="inlineStr">
        <is>
          <t>Accelerator/Incubator Backed</t>
        </is>
      </c>
      <c r="M236" s="37" t="n">
        <v>42090.0</v>
      </c>
      <c r="N236" s="38" t="inlineStr">
        <is>
          <t>Accelerator/Incubator</t>
        </is>
      </c>
      <c r="O236" s="39" t="inlineStr">
        <is>
          <t/>
        </is>
      </c>
      <c r="P236" s="102">
        <f>HYPERLINK("https://my.pitchbook.com?c=99749-62", "View company online")</f>
      </c>
    </row>
    <row r="237">
      <c r="A237" s="9" t="inlineStr">
        <is>
          <t>113823-01</t>
        </is>
      </c>
      <c r="B237" s="10" t="inlineStr">
        <is>
          <t>WhaleAlerts</t>
        </is>
      </c>
      <c r="C237" s="77">
        <f>HYPERLINK("https://my.pitchbook.com?rrp=113823-01&amp;type=c", "This Company's information is not available to download. Need this Company? Request availability")</f>
      </c>
      <c r="D237" s="12" t="inlineStr">
        <is>
          <t/>
        </is>
      </c>
      <c r="E237" s="13" t="inlineStr">
        <is>
          <t/>
        </is>
      </c>
      <c r="F237" s="14" t="inlineStr">
        <is>
          <t/>
        </is>
      </c>
      <c r="G237" s="15" t="inlineStr">
        <is>
          <t/>
        </is>
      </c>
      <c r="H237" s="16" t="inlineStr">
        <is>
          <t/>
        </is>
      </c>
      <c r="I237" s="17" t="inlineStr">
        <is>
          <t/>
        </is>
      </c>
      <c r="J237" s="18" t="inlineStr">
        <is>
          <t/>
        </is>
      </c>
      <c r="K237" s="19" t="inlineStr">
        <is>
          <t/>
        </is>
      </c>
      <c r="L237" s="20" t="inlineStr">
        <is>
          <t/>
        </is>
      </c>
      <c r="M237" s="21" t="inlineStr">
        <is>
          <t/>
        </is>
      </c>
      <c r="N237" s="22" t="inlineStr">
        <is>
          <t/>
        </is>
      </c>
      <c r="O237" s="23" t="inlineStr">
        <is>
          <t/>
        </is>
      </c>
      <c r="P237" s="24" t="inlineStr">
        <is>
          <t/>
        </is>
      </c>
    </row>
    <row r="238">
      <c r="A238" s="25" t="inlineStr">
        <is>
          <t>172949-23</t>
        </is>
      </c>
      <c r="B238" s="26" t="inlineStr">
        <is>
          <t>WeTrust</t>
        </is>
      </c>
      <c r="C238" s="27" t="inlineStr">
        <is>
          <t/>
        </is>
      </c>
      <c r="D238" s="28" t="inlineStr">
        <is>
          <t/>
        </is>
      </c>
      <c r="E238" s="29" t="inlineStr">
        <is>
          <t/>
        </is>
      </c>
      <c r="F238" s="30" t="inlineStr">
        <is>
          <t/>
        </is>
      </c>
      <c r="G238" s="31" t="inlineStr">
        <is>
          <t/>
        </is>
      </c>
      <c r="H238" s="32" t="inlineStr">
        <is>
          <t/>
        </is>
      </c>
      <c r="I238" s="33" t="inlineStr">
        <is>
          <t/>
        </is>
      </c>
      <c r="J238" s="34" t="inlineStr">
        <is>
          <t/>
        </is>
      </c>
      <c r="K238" s="35" t="inlineStr">
        <is>
          <t>Privately Held (backing)</t>
        </is>
      </c>
      <c r="L238" s="36" t="inlineStr">
        <is>
          <t>Angel-Backed</t>
        </is>
      </c>
      <c r="M238" s="37" t="n">
        <v>42839.0</v>
      </c>
      <c r="N238" s="38" t="inlineStr">
        <is>
          <t>Product Crowdfunding</t>
        </is>
      </c>
      <c r="O238" s="39" t="n">
        <v>5.0</v>
      </c>
      <c r="P238" s="102">
        <f>HYPERLINK("https://my.pitchbook.com?c=172949-23", "View company online")</f>
      </c>
    </row>
    <row r="239">
      <c r="A239" s="9" t="inlineStr">
        <is>
          <t>61381-27</t>
        </is>
      </c>
      <c r="B239" s="10" t="inlineStr">
        <is>
          <t>Westward Leaning</t>
        </is>
      </c>
      <c r="C239" s="11" t="inlineStr">
        <is>
          <t/>
        </is>
      </c>
      <c r="D239" s="12" t="inlineStr">
        <is>
          <t/>
        </is>
      </c>
      <c r="E239" s="13" t="inlineStr">
        <is>
          <t/>
        </is>
      </c>
      <c r="F239" s="14" t="inlineStr">
        <is>
          <t/>
        </is>
      </c>
      <c r="G239" s="15" t="inlineStr">
        <is>
          <t/>
        </is>
      </c>
      <c r="H239" s="16" t="inlineStr">
        <is>
          <t/>
        </is>
      </c>
      <c r="I239" s="17" t="inlineStr">
        <is>
          <t/>
        </is>
      </c>
      <c r="J239" s="18" t="inlineStr">
        <is>
          <t/>
        </is>
      </c>
      <c r="K239" s="19" t="inlineStr">
        <is>
          <t>Privately Held (backing)</t>
        </is>
      </c>
      <c r="L239" s="20" t="inlineStr">
        <is>
          <t>Angel-Backed</t>
        </is>
      </c>
      <c r="M239" s="21" t="n">
        <v>42044.0</v>
      </c>
      <c r="N239" s="22" t="inlineStr">
        <is>
          <t>Angel (individual)</t>
        </is>
      </c>
      <c r="O239" s="23" t="inlineStr">
        <is>
          <t/>
        </is>
      </c>
      <c r="P239" s="101">
        <f>HYPERLINK("https://my.pitchbook.com?c=61381-27", "View company online")</f>
      </c>
    </row>
    <row r="240">
      <c r="A240" s="25" t="inlineStr">
        <is>
          <t>92407-51</t>
        </is>
      </c>
      <c r="B240" s="26" t="inlineStr">
        <is>
          <t>West Shore Technologies</t>
        </is>
      </c>
      <c r="C240" s="27" t="inlineStr">
        <is>
          <t/>
        </is>
      </c>
      <c r="D240" s="28" t="inlineStr">
        <is>
          <t/>
        </is>
      </c>
      <c r="E240" s="29" t="inlineStr">
        <is>
          <t/>
        </is>
      </c>
      <c r="F240" s="30" t="inlineStr">
        <is>
          <t/>
        </is>
      </c>
      <c r="G240" s="31" t="inlineStr">
        <is>
          <t/>
        </is>
      </c>
      <c r="H240" s="32" t="inlineStr">
        <is>
          <t/>
        </is>
      </c>
      <c r="I240" s="33" t="inlineStr">
        <is>
          <t/>
        </is>
      </c>
      <c r="J240" s="34" t="inlineStr">
        <is>
          <t/>
        </is>
      </c>
      <c r="K240" s="35" t="inlineStr">
        <is>
          <t>Privately Held (backing)</t>
        </is>
      </c>
      <c r="L240" s="36" t="inlineStr">
        <is>
          <t>Angel-Backed</t>
        </is>
      </c>
      <c r="M240" s="37" t="n">
        <v>41333.0</v>
      </c>
      <c r="N240" s="38" t="inlineStr">
        <is>
          <t>Seed Round</t>
        </is>
      </c>
      <c r="O240" s="39" t="n">
        <v>2.35</v>
      </c>
      <c r="P240" s="102">
        <f>HYPERLINK("https://my.pitchbook.com?c=92407-51", "View company online")</f>
      </c>
    </row>
    <row r="241">
      <c r="A241" s="9" t="inlineStr">
        <is>
          <t>172569-61</t>
        </is>
      </c>
      <c r="B241" s="10" t="inlineStr">
        <is>
          <t>West Bio Services</t>
        </is>
      </c>
      <c r="C241" s="77">
        <f>HYPERLINK("https://my.pitchbook.com?rrp=172569-61&amp;type=c", "This Company's information is not available to download. Need this Company? Request availability")</f>
      </c>
      <c r="D241" s="12" t="inlineStr">
        <is>
          <t/>
        </is>
      </c>
      <c r="E241" s="13" t="inlineStr">
        <is>
          <t/>
        </is>
      </c>
      <c r="F241" s="14" t="inlineStr">
        <is>
          <t/>
        </is>
      </c>
      <c r="G241" s="15" t="inlineStr">
        <is>
          <t/>
        </is>
      </c>
      <c r="H241" s="16" t="inlineStr">
        <is>
          <t/>
        </is>
      </c>
      <c r="I241" s="17" t="inlineStr">
        <is>
          <t/>
        </is>
      </c>
      <c r="J241" s="18" t="inlineStr">
        <is>
          <t/>
        </is>
      </c>
      <c r="K241" s="19" t="inlineStr">
        <is>
          <t/>
        </is>
      </c>
      <c r="L241" s="20" t="inlineStr">
        <is>
          <t/>
        </is>
      </c>
      <c r="M241" s="21" t="inlineStr">
        <is>
          <t/>
        </is>
      </c>
      <c r="N241" s="22" t="inlineStr">
        <is>
          <t/>
        </is>
      </c>
      <c r="O241" s="23" t="inlineStr">
        <is>
          <t/>
        </is>
      </c>
      <c r="P241" s="24" t="inlineStr">
        <is>
          <t/>
        </is>
      </c>
    </row>
    <row r="242">
      <c r="A242" s="25" t="inlineStr">
        <is>
          <t>178703-56</t>
        </is>
      </c>
      <c r="B242" s="26" t="inlineStr">
        <is>
          <t>WeRecover</t>
        </is>
      </c>
      <c r="C242" s="78">
        <f>HYPERLINK("https://my.pitchbook.com?rrp=178703-56&amp;type=c", "This Company's information is not available to download. Need this Company? Request availability")</f>
      </c>
      <c r="D242" s="28" t="inlineStr">
        <is>
          <t/>
        </is>
      </c>
      <c r="E242" s="29" t="inlineStr">
        <is>
          <t/>
        </is>
      </c>
      <c r="F242" s="30" t="inlineStr">
        <is>
          <t/>
        </is>
      </c>
      <c r="G242" s="31" t="inlineStr">
        <is>
          <t/>
        </is>
      </c>
      <c r="H242" s="32" t="inlineStr">
        <is>
          <t/>
        </is>
      </c>
      <c r="I242" s="33" t="inlineStr">
        <is>
          <t/>
        </is>
      </c>
      <c r="J242" s="34" t="inlineStr">
        <is>
          <t/>
        </is>
      </c>
      <c r="K242" s="35" t="inlineStr">
        <is>
          <t/>
        </is>
      </c>
      <c r="L242" s="36" t="inlineStr">
        <is>
          <t/>
        </is>
      </c>
      <c r="M242" s="37" t="inlineStr">
        <is>
          <t/>
        </is>
      </c>
      <c r="N242" s="38" t="inlineStr">
        <is>
          <t/>
        </is>
      </c>
      <c r="O242" s="39" t="inlineStr">
        <is>
          <t/>
        </is>
      </c>
      <c r="P242" s="40" t="inlineStr">
        <is>
          <t/>
        </is>
      </c>
    </row>
    <row r="243">
      <c r="A243" s="9" t="inlineStr">
        <is>
          <t>103536-91</t>
        </is>
      </c>
      <c r="B243" s="10" t="inlineStr">
        <is>
          <t>Wepower Eco</t>
        </is>
      </c>
      <c r="C243" s="11" t="inlineStr">
        <is>
          <t/>
        </is>
      </c>
      <c r="D243" s="12" t="inlineStr">
        <is>
          <t/>
        </is>
      </c>
      <c r="E243" s="13" t="inlineStr">
        <is>
          <t/>
        </is>
      </c>
      <c r="F243" s="14" t="inlineStr">
        <is>
          <t/>
        </is>
      </c>
      <c r="G243" s="15" t="inlineStr">
        <is>
          <t/>
        </is>
      </c>
      <c r="H243" s="16" t="inlineStr">
        <is>
          <t/>
        </is>
      </c>
      <c r="I243" s="17" t="inlineStr">
        <is>
          <t/>
        </is>
      </c>
      <c r="J243" s="18" t="inlineStr">
        <is>
          <t/>
        </is>
      </c>
      <c r="K243" s="19" t="inlineStr">
        <is>
          <t>Privately Held (backing)</t>
        </is>
      </c>
      <c r="L243" s="20" t="inlineStr">
        <is>
          <t>Angel-Backed</t>
        </is>
      </c>
      <c r="M243" s="21" t="n">
        <v>40444.0</v>
      </c>
      <c r="N243" s="22" t="inlineStr">
        <is>
          <t>Convertible Debt</t>
        </is>
      </c>
      <c r="O243" s="23" t="n">
        <v>0.2</v>
      </c>
      <c r="P243" s="101">
        <f>HYPERLINK("https://my.pitchbook.com?c=103536-91", "View company online")</f>
      </c>
    </row>
    <row r="244">
      <c r="A244" s="25" t="inlineStr">
        <is>
          <t>172318-60</t>
        </is>
      </c>
      <c r="B244" s="26" t="inlineStr">
        <is>
          <t>Wemersive</t>
        </is>
      </c>
      <c r="C244" s="78">
        <f>HYPERLINK("https://my.pitchbook.com?rrp=172318-60&amp;type=c", "This Company's information is not available to download. Need this Company? Request availability")</f>
      </c>
      <c r="D244" s="28" t="inlineStr">
        <is>
          <t/>
        </is>
      </c>
      <c r="E244" s="29" t="inlineStr">
        <is>
          <t/>
        </is>
      </c>
      <c r="F244" s="30" t="inlineStr">
        <is>
          <t/>
        </is>
      </c>
      <c r="G244" s="31" t="inlineStr">
        <is>
          <t/>
        </is>
      </c>
      <c r="H244" s="32" t="inlineStr">
        <is>
          <t/>
        </is>
      </c>
      <c r="I244" s="33" t="inlineStr">
        <is>
          <t/>
        </is>
      </c>
      <c r="J244" s="34" t="inlineStr">
        <is>
          <t/>
        </is>
      </c>
      <c r="K244" s="35" t="inlineStr">
        <is>
          <t/>
        </is>
      </c>
      <c r="L244" s="36" t="inlineStr">
        <is>
          <t/>
        </is>
      </c>
      <c r="M244" s="37" t="inlineStr">
        <is>
          <t/>
        </is>
      </c>
      <c r="N244" s="38" t="inlineStr">
        <is>
          <t/>
        </is>
      </c>
      <c r="O244" s="39" t="inlineStr">
        <is>
          <t/>
        </is>
      </c>
      <c r="P244" s="40" t="inlineStr">
        <is>
          <t/>
        </is>
      </c>
    </row>
    <row r="245">
      <c r="A245" s="9" t="inlineStr">
        <is>
          <t>103649-05</t>
        </is>
      </c>
      <c r="B245" s="10" t="inlineStr">
        <is>
          <t>Wembli</t>
        </is>
      </c>
      <c r="C245" s="11" t="inlineStr">
        <is>
          <t/>
        </is>
      </c>
      <c r="D245" s="12" t="inlineStr">
        <is>
          <t/>
        </is>
      </c>
      <c r="E245" s="13" t="inlineStr">
        <is>
          <t/>
        </is>
      </c>
      <c r="F245" s="14" t="inlineStr">
        <is>
          <t/>
        </is>
      </c>
      <c r="G245" s="15" t="inlineStr">
        <is>
          <t/>
        </is>
      </c>
      <c r="H245" s="16" t="inlineStr">
        <is>
          <t/>
        </is>
      </c>
      <c r="I245" s="17" t="inlineStr">
        <is>
          <t/>
        </is>
      </c>
      <c r="J245" s="18" t="inlineStr">
        <is>
          <t/>
        </is>
      </c>
      <c r="K245" s="19" t="inlineStr">
        <is>
          <t>Privately Held (backing)</t>
        </is>
      </c>
      <c r="L245" s="20" t="inlineStr">
        <is>
          <t>Accelerator/Incubator Backed</t>
        </is>
      </c>
      <c r="M245" s="21" t="n">
        <v>40907.0</v>
      </c>
      <c r="N245" s="22" t="inlineStr">
        <is>
          <t>Accelerator/Incubator</t>
        </is>
      </c>
      <c r="O245" s="23" t="inlineStr">
        <is>
          <t/>
        </is>
      </c>
      <c r="P245" s="101">
        <f>HYPERLINK("https://my.pitchbook.com?c=103649-05", "View company online")</f>
      </c>
    </row>
    <row r="246">
      <c r="A246" s="25" t="inlineStr">
        <is>
          <t>110558-35</t>
        </is>
      </c>
      <c r="B246" s="26" t="inlineStr">
        <is>
          <t>Wellspring Biosciences</t>
        </is>
      </c>
      <c r="C246" s="27" t="inlineStr">
        <is>
          <t/>
        </is>
      </c>
      <c r="D246" s="28" t="inlineStr">
        <is>
          <t/>
        </is>
      </c>
      <c r="E246" s="29" t="inlineStr">
        <is>
          <t/>
        </is>
      </c>
      <c r="F246" s="30" t="inlineStr">
        <is>
          <t/>
        </is>
      </c>
      <c r="G246" s="31" t="inlineStr">
        <is>
          <t/>
        </is>
      </c>
      <c r="H246" s="32" t="inlineStr">
        <is>
          <t/>
        </is>
      </c>
      <c r="I246" s="33" t="inlineStr">
        <is>
          <t/>
        </is>
      </c>
      <c r="J246" s="34" t="inlineStr">
        <is>
          <t/>
        </is>
      </c>
      <c r="K246" s="35" t="inlineStr">
        <is>
          <t>Privately Held (backing)</t>
        </is>
      </c>
      <c r="L246" s="36" t="inlineStr">
        <is>
          <t>Accelerator/Incubator Backed</t>
        </is>
      </c>
      <c r="M246" s="37" t="n">
        <v>41640.0</v>
      </c>
      <c r="N246" s="38" t="inlineStr">
        <is>
          <t>Grant</t>
        </is>
      </c>
      <c r="O246" s="39" t="n">
        <v>0.44</v>
      </c>
      <c r="P246" s="102">
        <f>HYPERLINK("https://my.pitchbook.com?c=110558-35", "View company online")</f>
      </c>
    </row>
    <row r="247">
      <c r="A247" s="9" t="inlineStr">
        <is>
          <t>54834-58</t>
        </is>
      </c>
      <c r="B247" s="10" t="inlineStr">
        <is>
          <t>WellFX</t>
        </is>
      </c>
      <c r="C247" s="11" t="inlineStr">
        <is>
          <t/>
        </is>
      </c>
      <c r="D247" s="12" t="inlineStr">
        <is>
          <t/>
        </is>
      </c>
      <c r="E247" s="13" t="inlineStr">
        <is>
          <t/>
        </is>
      </c>
      <c r="F247" s="14" t="inlineStr">
        <is>
          <t/>
        </is>
      </c>
      <c r="G247" s="15" t="inlineStr">
        <is>
          <t/>
        </is>
      </c>
      <c r="H247" s="16" t="inlineStr">
        <is>
          <t/>
        </is>
      </c>
      <c r="I247" s="17" t="inlineStr">
        <is>
          <t/>
        </is>
      </c>
      <c r="J247" s="18" t="inlineStr">
        <is>
          <t/>
        </is>
      </c>
      <c r="K247" s="19" t="inlineStr">
        <is>
          <t>Privately Held (backing)</t>
        </is>
      </c>
      <c r="L247" s="20" t="inlineStr">
        <is>
          <t>Angel-Backed</t>
        </is>
      </c>
      <c r="M247" s="21" t="n">
        <v>41106.0</v>
      </c>
      <c r="N247" s="22" t="inlineStr">
        <is>
          <t>Angel (individual)</t>
        </is>
      </c>
      <c r="O247" s="23" t="n">
        <v>5.0</v>
      </c>
      <c r="P247" s="101">
        <f>HYPERLINK("https://my.pitchbook.com?c=54834-58", "View company online")</f>
      </c>
    </row>
    <row r="248">
      <c r="A248" s="25" t="inlineStr">
        <is>
          <t>122206-51</t>
        </is>
      </c>
      <c r="B248" s="26" t="inlineStr">
        <is>
          <t>Wellcare Partners</t>
        </is>
      </c>
      <c r="C248" s="27" t="inlineStr">
        <is>
          <t/>
        </is>
      </c>
      <c r="D248" s="28" t="inlineStr">
        <is>
          <t/>
        </is>
      </c>
      <c r="E248" s="29" t="inlineStr">
        <is>
          <t/>
        </is>
      </c>
      <c r="F248" s="30" t="inlineStr">
        <is>
          <t/>
        </is>
      </c>
      <c r="G248" s="31" t="inlineStr">
        <is>
          <t/>
        </is>
      </c>
      <c r="H248" s="32" t="inlineStr">
        <is>
          <t/>
        </is>
      </c>
      <c r="I248" s="33" t="inlineStr">
        <is>
          <t/>
        </is>
      </c>
      <c r="J248" s="34" t="inlineStr">
        <is>
          <t/>
        </is>
      </c>
      <c r="K248" s="35" t="inlineStr">
        <is>
          <t>Privately Held (backing)</t>
        </is>
      </c>
      <c r="L248" s="36" t="inlineStr">
        <is>
          <t>Angel-Backed</t>
        </is>
      </c>
      <c r="M248" s="37" t="n">
        <v>42230.0</v>
      </c>
      <c r="N248" s="38" t="inlineStr">
        <is>
          <t>Angel (individual)</t>
        </is>
      </c>
      <c r="O248" s="39" t="n">
        <v>0.18</v>
      </c>
      <c r="P248" s="102">
        <f>HYPERLINK("https://my.pitchbook.com?c=122206-51", "View company online")</f>
      </c>
    </row>
    <row r="249">
      <c r="A249" s="9" t="inlineStr">
        <is>
          <t>154969-66</t>
        </is>
      </c>
      <c r="B249" s="10" t="inlineStr">
        <is>
          <t>WellBrain</t>
        </is>
      </c>
      <c r="C249" s="11" t="inlineStr">
        <is>
          <t/>
        </is>
      </c>
      <c r="D249" s="12" t="inlineStr">
        <is>
          <t/>
        </is>
      </c>
      <c r="E249" s="13" t="inlineStr">
        <is>
          <t/>
        </is>
      </c>
      <c r="F249" s="14" t="inlineStr">
        <is>
          <t/>
        </is>
      </c>
      <c r="G249" s="15" t="inlineStr">
        <is>
          <t/>
        </is>
      </c>
      <c r="H249" s="16" t="inlineStr">
        <is>
          <t/>
        </is>
      </c>
      <c r="I249" s="17" t="inlineStr">
        <is>
          <t/>
        </is>
      </c>
      <c r="J249" s="18" t="inlineStr">
        <is>
          <t/>
        </is>
      </c>
      <c r="K249" s="19" t="inlineStr">
        <is>
          <t>Privately Held (backing)</t>
        </is>
      </c>
      <c r="L249" s="20" t="inlineStr">
        <is>
          <t>Accelerator/Incubator Backed</t>
        </is>
      </c>
      <c r="M249" s="21" t="n">
        <v>42719.0</v>
      </c>
      <c r="N249" s="22" t="inlineStr">
        <is>
          <t>Angel (individual)</t>
        </is>
      </c>
      <c r="O249" s="23" t="n">
        <v>0.01</v>
      </c>
      <c r="P249" s="101">
        <f>HYPERLINK("https://my.pitchbook.com?c=154969-66", "View company online")</f>
      </c>
    </row>
    <row r="250">
      <c r="A250" s="25" t="inlineStr">
        <is>
          <t>54892-54</t>
        </is>
      </c>
      <c r="B250" s="26" t="inlineStr">
        <is>
          <t>WeLink</t>
        </is>
      </c>
      <c r="C250" s="27" t="inlineStr">
        <is>
          <t/>
        </is>
      </c>
      <c r="D250" s="28" t="inlineStr">
        <is>
          <t/>
        </is>
      </c>
      <c r="E250" s="29" t="inlineStr">
        <is>
          <t/>
        </is>
      </c>
      <c r="F250" s="30" t="inlineStr">
        <is>
          <t/>
        </is>
      </c>
      <c r="G250" s="31" t="inlineStr">
        <is>
          <t/>
        </is>
      </c>
      <c r="H250" s="32" t="inlineStr">
        <is>
          <t/>
        </is>
      </c>
      <c r="I250" s="33" t="inlineStr">
        <is>
          <t/>
        </is>
      </c>
      <c r="J250" s="34" t="inlineStr">
        <is>
          <t/>
        </is>
      </c>
      <c r="K250" s="35" t="inlineStr">
        <is>
          <t>Privately Held (backing)</t>
        </is>
      </c>
      <c r="L250" s="36" t="inlineStr">
        <is>
          <t>Accelerator/Incubator Backed</t>
        </is>
      </c>
      <c r="M250" s="37" t="n">
        <v>42467.0</v>
      </c>
      <c r="N250" s="38" t="inlineStr">
        <is>
          <t>Accelerator/Incubator</t>
        </is>
      </c>
      <c r="O250" s="39" t="n">
        <v>0.03</v>
      </c>
      <c r="P250" s="102">
        <f>HYPERLINK("https://my.pitchbook.com?c=54892-54", "View company online")</f>
      </c>
    </row>
    <row r="251">
      <c r="A251" s="9" t="inlineStr">
        <is>
          <t>166962-61</t>
        </is>
      </c>
      <c r="B251" s="10" t="inlineStr">
        <is>
          <t>WeFuel</t>
        </is>
      </c>
      <c r="C251" s="11" t="inlineStr">
        <is>
          <t/>
        </is>
      </c>
      <c r="D251" s="12" t="inlineStr">
        <is>
          <t/>
        </is>
      </c>
      <c r="E251" s="13" t="inlineStr">
        <is>
          <t/>
        </is>
      </c>
      <c r="F251" s="14" t="inlineStr">
        <is>
          <t/>
        </is>
      </c>
      <c r="G251" s="15" t="inlineStr">
        <is>
          <t/>
        </is>
      </c>
      <c r="H251" s="16" t="inlineStr">
        <is>
          <t/>
        </is>
      </c>
      <c r="I251" s="17" t="inlineStr">
        <is>
          <t/>
        </is>
      </c>
      <c r="J251" s="18" t="inlineStr">
        <is>
          <t/>
        </is>
      </c>
      <c r="K251" s="19" t="inlineStr">
        <is>
          <t>Privately Held (backing)</t>
        </is>
      </c>
      <c r="L251" s="20" t="inlineStr">
        <is>
          <t>Accelerator/Incubator Backed</t>
        </is>
      </c>
      <c r="M251" s="21" t="inlineStr">
        <is>
          <t/>
        </is>
      </c>
      <c r="N251" s="22" t="inlineStr">
        <is>
          <t>Accelerator/Incubator</t>
        </is>
      </c>
      <c r="O251" s="23" t="inlineStr">
        <is>
          <t/>
        </is>
      </c>
      <c r="P251" s="101">
        <f>HYPERLINK("https://my.pitchbook.com?c=166962-61", "View company online")</f>
      </c>
    </row>
    <row r="252">
      <c r="A252" s="25" t="inlineStr">
        <is>
          <t>102717-55</t>
        </is>
      </c>
      <c r="B252" s="26" t="inlineStr">
        <is>
          <t>weeSPIN</t>
        </is>
      </c>
      <c r="C252" s="27" t="inlineStr">
        <is>
          <t/>
        </is>
      </c>
      <c r="D252" s="28" t="inlineStr">
        <is>
          <t/>
        </is>
      </c>
      <c r="E252" s="29" t="inlineStr">
        <is>
          <t/>
        </is>
      </c>
      <c r="F252" s="30" t="inlineStr">
        <is>
          <t/>
        </is>
      </c>
      <c r="G252" s="31" t="inlineStr">
        <is>
          <t/>
        </is>
      </c>
      <c r="H252" s="32" t="inlineStr">
        <is>
          <t/>
        </is>
      </c>
      <c r="I252" s="33" t="inlineStr">
        <is>
          <t/>
        </is>
      </c>
      <c r="J252" s="34" t="inlineStr">
        <is>
          <t/>
        </is>
      </c>
      <c r="K252" s="35" t="inlineStr">
        <is>
          <t>Privately Held (backing)</t>
        </is>
      </c>
      <c r="L252" s="36" t="inlineStr">
        <is>
          <t>Angel-Backed</t>
        </is>
      </c>
      <c r="M252" s="37" t="n">
        <v>41788.0</v>
      </c>
      <c r="N252" s="38" t="inlineStr">
        <is>
          <t>Seed Round</t>
        </is>
      </c>
      <c r="O252" s="39" t="n">
        <v>0.2</v>
      </c>
      <c r="P252" s="102">
        <f>HYPERLINK("https://my.pitchbook.com?c=102717-55", "View company online")</f>
      </c>
    </row>
    <row r="253">
      <c r="A253" s="9" t="inlineStr">
        <is>
          <t>103720-96</t>
        </is>
      </c>
      <c r="B253" s="10" t="inlineStr">
        <is>
          <t>WeedWall</t>
        </is>
      </c>
      <c r="C253" s="11" t="inlineStr">
        <is>
          <t/>
        </is>
      </c>
      <c r="D253" s="12" t="inlineStr">
        <is>
          <t/>
        </is>
      </c>
      <c r="E253" s="13" t="inlineStr">
        <is>
          <t/>
        </is>
      </c>
      <c r="F253" s="14" t="inlineStr">
        <is>
          <t/>
        </is>
      </c>
      <c r="G253" s="15" t="inlineStr">
        <is>
          <t/>
        </is>
      </c>
      <c r="H253" s="16" t="inlineStr">
        <is>
          <t/>
        </is>
      </c>
      <c r="I253" s="17" t="inlineStr">
        <is>
          <t/>
        </is>
      </c>
      <c r="J253" s="18" t="inlineStr">
        <is>
          <t/>
        </is>
      </c>
      <c r="K253" s="19" t="inlineStr">
        <is>
          <t>Privately Held (backing)</t>
        </is>
      </c>
      <c r="L253" s="20" t="inlineStr">
        <is>
          <t>Angel-Backed</t>
        </is>
      </c>
      <c r="M253" s="21" t="n">
        <v>41159.0</v>
      </c>
      <c r="N253" s="22" t="inlineStr">
        <is>
          <t>Seed Round</t>
        </is>
      </c>
      <c r="O253" s="23" t="n">
        <v>0.03</v>
      </c>
      <c r="P253" s="101">
        <f>HYPERLINK("https://my.pitchbook.com?c=103720-96", "View company online")</f>
      </c>
    </row>
    <row r="254">
      <c r="A254" s="25" t="inlineStr">
        <is>
          <t>158853-34</t>
        </is>
      </c>
      <c r="B254" s="26" t="inlineStr">
        <is>
          <t>Weedeel</t>
        </is>
      </c>
      <c r="C254" s="27" t="inlineStr">
        <is>
          <t/>
        </is>
      </c>
      <c r="D254" s="28" t="inlineStr">
        <is>
          <t/>
        </is>
      </c>
      <c r="E254" s="29" t="inlineStr">
        <is>
          <t/>
        </is>
      </c>
      <c r="F254" s="30" t="inlineStr">
        <is>
          <t/>
        </is>
      </c>
      <c r="G254" s="31" t="inlineStr">
        <is>
          <t/>
        </is>
      </c>
      <c r="H254" s="32" t="inlineStr">
        <is>
          <t/>
        </is>
      </c>
      <c r="I254" s="33" t="inlineStr">
        <is>
          <t/>
        </is>
      </c>
      <c r="J254" s="34" t="inlineStr">
        <is>
          <t/>
        </is>
      </c>
      <c r="K254" s="35" t="inlineStr">
        <is>
          <t>Privately Held (backing)</t>
        </is>
      </c>
      <c r="L254" s="36" t="inlineStr">
        <is>
          <t>Accelerator/Incubator Backed</t>
        </is>
      </c>
      <c r="M254" s="37" t="n">
        <v>42309.0</v>
      </c>
      <c r="N254" s="38" t="inlineStr">
        <is>
          <t>Accelerator/Incubator</t>
        </is>
      </c>
      <c r="O254" s="39" t="inlineStr">
        <is>
          <t/>
        </is>
      </c>
      <c r="P254" s="102">
        <f>HYPERLINK("https://my.pitchbook.com?c=158853-34", "View company online")</f>
      </c>
    </row>
    <row r="255">
      <c r="A255" s="9" t="inlineStr">
        <is>
          <t>117272-17</t>
        </is>
      </c>
      <c r="B255" s="10" t="inlineStr">
        <is>
          <t>WeedClub</t>
        </is>
      </c>
      <c r="C255" s="11" t="inlineStr">
        <is>
          <t/>
        </is>
      </c>
      <c r="D255" s="12" t="inlineStr">
        <is>
          <t/>
        </is>
      </c>
      <c r="E255" s="13" t="inlineStr">
        <is>
          <t/>
        </is>
      </c>
      <c r="F255" s="14" t="inlineStr">
        <is>
          <t/>
        </is>
      </c>
      <c r="G255" s="15" t="inlineStr">
        <is>
          <t/>
        </is>
      </c>
      <c r="H255" s="16" t="inlineStr">
        <is>
          <t/>
        </is>
      </c>
      <c r="I255" s="17" t="inlineStr">
        <is>
          <t/>
        </is>
      </c>
      <c r="J255" s="18" t="inlineStr">
        <is>
          <t/>
        </is>
      </c>
      <c r="K255" s="19" t="inlineStr">
        <is>
          <t>Privately Held (backing)</t>
        </is>
      </c>
      <c r="L255" s="20" t="inlineStr">
        <is>
          <t>Accelerator/Incubator Backed</t>
        </is>
      </c>
      <c r="M255" s="21" t="inlineStr">
        <is>
          <t/>
        </is>
      </c>
      <c r="N255" s="22" t="inlineStr">
        <is>
          <t>Accelerator/Incubator</t>
        </is>
      </c>
      <c r="O255" s="23" t="inlineStr">
        <is>
          <t/>
        </is>
      </c>
      <c r="P255" s="101">
        <f>HYPERLINK("https://my.pitchbook.com?c=117272-17", "View company online")</f>
      </c>
    </row>
    <row r="256">
      <c r="A256" s="25" t="inlineStr">
        <is>
          <t>157904-74</t>
        </is>
      </c>
      <c r="B256" s="26" t="inlineStr">
        <is>
          <t>WeDo App</t>
        </is>
      </c>
      <c r="C256" s="27" t="inlineStr">
        <is>
          <t/>
        </is>
      </c>
      <c r="D256" s="28" t="inlineStr">
        <is>
          <t/>
        </is>
      </c>
      <c r="E256" s="29" t="inlineStr">
        <is>
          <t/>
        </is>
      </c>
      <c r="F256" s="30" t="inlineStr">
        <is>
          <t/>
        </is>
      </c>
      <c r="G256" s="31" t="inlineStr">
        <is>
          <t/>
        </is>
      </c>
      <c r="H256" s="32" t="inlineStr">
        <is>
          <t/>
        </is>
      </c>
      <c r="I256" s="33" t="inlineStr">
        <is>
          <t/>
        </is>
      </c>
      <c r="J256" s="34" t="inlineStr">
        <is>
          <t/>
        </is>
      </c>
      <c r="K256" s="35" t="inlineStr">
        <is>
          <t>Privately Held (backing)</t>
        </is>
      </c>
      <c r="L256" s="36" t="inlineStr">
        <is>
          <t>Angel-Backed</t>
        </is>
      </c>
      <c r="M256" s="37" t="n">
        <v>42486.0</v>
      </c>
      <c r="N256" s="38" t="inlineStr">
        <is>
          <t>Angel (individual)</t>
        </is>
      </c>
      <c r="O256" s="39" t="n">
        <v>1.0</v>
      </c>
      <c r="P256" s="102">
        <f>HYPERLINK("https://my.pitchbook.com?c=157904-74", "View company online")</f>
      </c>
    </row>
    <row r="257">
      <c r="A257" s="9" t="inlineStr">
        <is>
          <t>59090-68</t>
        </is>
      </c>
      <c r="B257" s="10" t="inlineStr">
        <is>
          <t>Wednesdays</t>
        </is>
      </c>
      <c r="C257" s="11" t="inlineStr">
        <is>
          <t/>
        </is>
      </c>
      <c r="D257" s="12" t="inlineStr">
        <is>
          <t/>
        </is>
      </c>
      <c r="E257" s="13" t="inlineStr">
        <is>
          <t/>
        </is>
      </c>
      <c r="F257" s="14" t="inlineStr">
        <is>
          <t/>
        </is>
      </c>
      <c r="G257" s="15" t="inlineStr">
        <is>
          <t/>
        </is>
      </c>
      <c r="H257" s="16" t="inlineStr">
        <is>
          <t/>
        </is>
      </c>
      <c r="I257" s="17" t="inlineStr">
        <is>
          <t/>
        </is>
      </c>
      <c r="J257" s="18" t="inlineStr">
        <is>
          <t/>
        </is>
      </c>
      <c r="K257" s="19" t="inlineStr">
        <is>
          <t>Privately Held (backing)</t>
        </is>
      </c>
      <c r="L257" s="20" t="inlineStr">
        <is>
          <t>Accelerator/Incubator Backed</t>
        </is>
      </c>
      <c r="M257" s="21" t="n">
        <v>40544.0</v>
      </c>
      <c r="N257" s="22" t="inlineStr">
        <is>
          <t>Accelerator/Incubator</t>
        </is>
      </c>
      <c r="O257" s="23" t="n">
        <v>0.06</v>
      </c>
      <c r="P257" s="101">
        <f>HYPERLINK("https://my.pitchbook.com?c=59090-68", "View company online")</f>
      </c>
    </row>
    <row r="258">
      <c r="A258" s="25" t="inlineStr">
        <is>
          <t>54795-97</t>
        </is>
      </c>
      <c r="B258" s="26" t="inlineStr">
        <is>
          <t>WeddingLovely</t>
        </is>
      </c>
      <c r="C258" s="27" t="inlineStr">
        <is>
          <t/>
        </is>
      </c>
      <c r="D258" s="28" t="inlineStr">
        <is>
          <t/>
        </is>
      </c>
      <c r="E258" s="29" t="inlineStr">
        <is>
          <t/>
        </is>
      </c>
      <c r="F258" s="30" t="inlineStr">
        <is>
          <t/>
        </is>
      </c>
      <c r="G258" s="31" t="inlineStr">
        <is>
          <t/>
        </is>
      </c>
      <c r="H258" s="32" t="inlineStr">
        <is>
          <t/>
        </is>
      </c>
      <c r="I258" s="33" t="inlineStr">
        <is>
          <t/>
        </is>
      </c>
      <c r="J258" s="34" t="inlineStr">
        <is>
          <t/>
        </is>
      </c>
      <c r="K258" s="35" t="inlineStr">
        <is>
          <t>Privately Held (backing)</t>
        </is>
      </c>
      <c r="L258" s="36" t="inlineStr">
        <is>
          <t>Accelerator/Incubator Backed</t>
        </is>
      </c>
      <c r="M258" s="37" t="n">
        <v>40847.0</v>
      </c>
      <c r="N258" s="38" t="inlineStr">
        <is>
          <t>Accelerator/Incubator</t>
        </is>
      </c>
      <c r="O258" s="39" t="n">
        <v>0.06</v>
      </c>
      <c r="P258" s="102">
        <f>HYPERLINK("https://my.pitchbook.com?c=54795-97", "View company online")</f>
      </c>
    </row>
    <row r="259">
      <c r="A259" s="9" t="inlineStr">
        <is>
          <t>171571-06</t>
        </is>
      </c>
      <c r="B259" s="10" t="inlineStr">
        <is>
          <t>WeBuyYourCar</t>
        </is>
      </c>
      <c r="C259" s="11" t="inlineStr">
        <is>
          <t/>
        </is>
      </c>
      <c r="D259" s="12" t="inlineStr">
        <is>
          <t/>
        </is>
      </c>
      <c r="E259" s="13" t="inlineStr">
        <is>
          <t/>
        </is>
      </c>
      <c r="F259" s="14" t="inlineStr">
        <is>
          <t/>
        </is>
      </c>
      <c r="G259" s="15" t="inlineStr">
        <is>
          <t/>
        </is>
      </c>
      <c r="H259" s="16" t="inlineStr">
        <is>
          <t/>
        </is>
      </c>
      <c r="I259" s="17" t="inlineStr">
        <is>
          <t/>
        </is>
      </c>
      <c r="J259" s="18" t="inlineStr">
        <is>
          <t/>
        </is>
      </c>
      <c r="K259" s="19" t="inlineStr">
        <is>
          <t>Privately Held (backing)</t>
        </is>
      </c>
      <c r="L259" s="20" t="inlineStr">
        <is>
          <t>Accelerator/Incubator Backed</t>
        </is>
      </c>
      <c r="M259" s="21" t="n">
        <v>42474.0</v>
      </c>
      <c r="N259" s="22" t="inlineStr">
        <is>
          <t>Accelerator/Incubator</t>
        </is>
      </c>
      <c r="O259" s="23" t="inlineStr">
        <is>
          <t/>
        </is>
      </c>
      <c r="P259" s="101">
        <f>HYPERLINK("https://my.pitchbook.com?c=171571-06", "View company online")</f>
      </c>
    </row>
    <row r="260">
      <c r="A260" s="25" t="inlineStr">
        <is>
          <t>55853-83</t>
        </is>
      </c>
      <c r="B260" s="26" t="inlineStr">
        <is>
          <t>Webtalk</t>
        </is>
      </c>
      <c r="C260" s="27" t="inlineStr">
        <is>
          <t/>
        </is>
      </c>
      <c r="D260" s="28" t="inlineStr">
        <is>
          <t/>
        </is>
      </c>
      <c r="E260" s="29" t="inlineStr">
        <is>
          <t/>
        </is>
      </c>
      <c r="F260" s="30" t="inlineStr">
        <is>
          <t/>
        </is>
      </c>
      <c r="G260" s="31" t="inlineStr">
        <is>
          <t/>
        </is>
      </c>
      <c r="H260" s="32" t="inlineStr">
        <is>
          <t/>
        </is>
      </c>
      <c r="I260" s="33" t="inlineStr">
        <is>
          <t/>
        </is>
      </c>
      <c r="J260" s="34" t="inlineStr">
        <is>
          <t/>
        </is>
      </c>
      <c r="K260" s="35" t="inlineStr">
        <is>
          <t>Privately Held (backing)</t>
        </is>
      </c>
      <c r="L260" s="36" t="inlineStr">
        <is>
          <t>Angel-Backed</t>
        </is>
      </c>
      <c r="M260" s="37" t="n">
        <v>41852.0</v>
      </c>
      <c r="N260" s="38" t="inlineStr">
        <is>
          <t>Angel (individual)</t>
        </is>
      </c>
      <c r="O260" s="39" t="n">
        <v>1.0</v>
      </c>
      <c r="P260" s="102">
        <f>HYPERLINK("https://my.pitchbook.com?c=55853-83", "View company online")</f>
      </c>
    </row>
    <row r="261">
      <c r="A261" s="9" t="inlineStr">
        <is>
          <t>170840-62</t>
        </is>
      </c>
      <c r="B261" s="10" t="inlineStr">
        <is>
          <t>Webpeer</t>
        </is>
      </c>
      <c r="C261" s="11" t="inlineStr">
        <is>
          <t/>
        </is>
      </c>
      <c r="D261" s="12" t="inlineStr">
        <is>
          <t/>
        </is>
      </c>
      <c r="E261" s="13" t="inlineStr">
        <is>
          <t/>
        </is>
      </c>
      <c r="F261" s="14" t="inlineStr">
        <is>
          <t/>
        </is>
      </c>
      <c r="G261" s="15" t="inlineStr">
        <is>
          <t/>
        </is>
      </c>
      <c r="H261" s="16" t="inlineStr">
        <is>
          <t/>
        </is>
      </c>
      <c r="I261" s="17" t="inlineStr">
        <is>
          <t/>
        </is>
      </c>
      <c r="J261" s="18" t="inlineStr">
        <is>
          <t/>
        </is>
      </c>
      <c r="K261" s="19" t="inlineStr">
        <is>
          <t>Privately Held (backing)</t>
        </is>
      </c>
      <c r="L261" s="20" t="inlineStr">
        <is>
          <t>Accelerator/Incubator Backed</t>
        </is>
      </c>
      <c r="M261" s="21" t="n">
        <v>42044.0</v>
      </c>
      <c r="N261" s="22" t="inlineStr">
        <is>
          <t>Angel (individual)</t>
        </is>
      </c>
      <c r="O261" s="23" t="n">
        <v>0.1</v>
      </c>
      <c r="P261" s="101">
        <f>HYPERLINK("https://my.pitchbook.com?c=170840-62", "View company online")</f>
      </c>
    </row>
    <row r="262">
      <c r="A262" s="25" t="inlineStr">
        <is>
          <t>113872-51</t>
        </is>
      </c>
      <c r="B262" s="26" t="inlineStr">
        <is>
          <t>WeBounty</t>
        </is>
      </c>
      <c r="C262" s="78">
        <f>HYPERLINK("https://my.pitchbook.com?rrp=113872-51&amp;type=c", "This Company's information is not available to download. Need this Company? Request availability")</f>
      </c>
      <c r="D262" s="28" t="inlineStr">
        <is>
          <t/>
        </is>
      </c>
      <c r="E262" s="29" t="inlineStr">
        <is>
          <t/>
        </is>
      </c>
      <c r="F262" s="30" t="inlineStr">
        <is>
          <t/>
        </is>
      </c>
      <c r="G262" s="31" t="inlineStr">
        <is>
          <t/>
        </is>
      </c>
      <c r="H262" s="32" t="inlineStr">
        <is>
          <t/>
        </is>
      </c>
      <c r="I262" s="33" t="inlineStr">
        <is>
          <t/>
        </is>
      </c>
      <c r="J262" s="34" t="inlineStr">
        <is>
          <t/>
        </is>
      </c>
      <c r="K262" s="35" t="inlineStr">
        <is>
          <t/>
        </is>
      </c>
      <c r="L262" s="36" t="inlineStr">
        <is>
          <t/>
        </is>
      </c>
      <c r="M262" s="37" t="inlineStr">
        <is>
          <t/>
        </is>
      </c>
      <c r="N262" s="38" t="inlineStr">
        <is>
          <t/>
        </is>
      </c>
      <c r="O262" s="39" t="inlineStr">
        <is>
          <t/>
        </is>
      </c>
      <c r="P262" s="40" t="inlineStr">
        <is>
          <t/>
        </is>
      </c>
    </row>
    <row r="263">
      <c r="A263" s="9" t="inlineStr">
        <is>
          <t>110416-24</t>
        </is>
      </c>
      <c r="B263" s="10" t="inlineStr">
        <is>
          <t>WebHostpro</t>
        </is>
      </c>
      <c r="C263" s="11" t="inlineStr">
        <is>
          <t/>
        </is>
      </c>
      <c r="D263" s="12" t="inlineStr">
        <is>
          <t/>
        </is>
      </c>
      <c r="E263" s="13" t="inlineStr">
        <is>
          <t/>
        </is>
      </c>
      <c r="F263" s="14" t="inlineStr">
        <is>
          <t/>
        </is>
      </c>
      <c r="G263" s="15" t="inlineStr">
        <is>
          <t/>
        </is>
      </c>
      <c r="H263" s="16" t="inlineStr">
        <is>
          <t/>
        </is>
      </c>
      <c r="I263" s="17" t="inlineStr">
        <is>
          <t/>
        </is>
      </c>
      <c r="J263" s="18" t="inlineStr">
        <is>
          <t/>
        </is>
      </c>
      <c r="K263" s="19" t="inlineStr">
        <is>
          <t>Privately Held (backing)</t>
        </is>
      </c>
      <c r="L263" s="20" t="inlineStr">
        <is>
          <t>Angel-Backed</t>
        </is>
      </c>
      <c r="M263" s="21" t="n">
        <v>42083.0</v>
      </c>
      <c r="N263" s="22" t="inlineStr">
        <is>
          <t>Undetermined</t>
        </is>
      </c>
      <c r="O263" s="23" t="inlineStr">
        <is>
          <t/>
        </is>
      </c>
      <c r="P263" s="101">
        <f>HYPERLINK("https://my.pitchbook.com?c=110416-24", "View company online")</f>
      </c>
    </row>
    <row r="264">
      <c r="A264" s="25" t="inlineStr">
        <is>
          <t>169575-58</t>
        </is>
      </c>
      <c r="B264" s="26" t="inlineStr">
        <is>
          <t>WebCMSNow</t>
        </is>
      </c>
      <c r="C264" s="27" t="inlineStr">
        <is>
          <t/>
        </is>
      </c>
      <c r="D264" s="28" t="inlineStr">
        <is>
          <t/>
        </is>
      </c>
      <c r="E264" s="29" t="inlineStr">
        <is>
          <t/>
        </is>
      </c>
      <c r="F264" s="30" t="inlineStr">
        <is>
          <t/>
        </is>
      </c>
      <c r="G264" s="31" t="inlineStr">
        <is>
          <t/>
        </is>
      </c>
      <c r="H264" s="32" t="inlineStr">
        <is>
          <t/>
        </is>
      </c>
      <c r="I264" s="33" t="inlineStr">
        <is>
          <t/>
        </is>
      </c>
      <c r="J264" s="34" t="inlineStr">
        <is>
          <t/>
        </is>
      </c>
      <c r="K264" s="35" t="inlineStr">
        <is>
          <t>Privately Held (backing)</t>
        </is>
      </c>
      <c r="L264" s="36" t="inlineStr">
        <is>
          <t>Accelerator/Incubator Backed</t>
        </is>
      </c>
      <c r="M264" s="37" t="inlineStr">
        <is>
          <t/>
        </is>
      </c>
      <c r="N264" s="38" t="inlineStr">
        <is>
          <t>Accelerator/Incubator</t>
        </is>
      </c>
      <c r="O264" s="39" t="inlineStr">
        <is>
          <t/>
        </is>
      </c>
      <c r="P264" s="102">
        <f>HYPERLINK("https://my.pitchbook.com?c=169575-58", "View company online")</f>
      </c>
    </row>
    <row r="265">
      <c r="A265" s="9" t="inlineStr">
        <is>
          <t>104481-64</t>
        </is>
      </c>
      <c r="B265" s="10" t="inlineStr">
        <is>
          <t>WebChalet</t>
        </is>
      </c>
      <c r="C265" s="11" t="inlineStr">
        <is>
          <t/>
        </is>
      </c>
      <c r="D265" s="12" t="inlineStr">
        <is>
          <t/>
        </is>
      </c>
      <c r="E265" s="13" t="inlineStr">
        <is>
          <t/>
        </is>
      </c>
      <c r="F265" s="14" t="inlineStr">
        <is>
          <t/>
        </is>
      </c>
      <c r="G265" s="15" t="inlineStr">
        <is>
          <t/>
        </is>
      </c>
      <c r="H265" s="16" t="inlineStr">
        <is>
          <t/>
        </is>
      </c>
      <c r="I265" s="17" t="inlineStr">
        <is>
          <t/>
        </is>
      </c>
      <c r="J265" s="18" t="inlineStr">
        <is>
          <t/>
        </is>
      </c>
      <c r="K265" s="19" t="inlineStr">
        <is>
          <t>Privately Held (backing)</t>
        </is>
      </c>
      <c r="L265" s="20" t="inlineStr">
        <is>
          <t>Angel-Backed</t>
        </is>
      </c>
      <c r="M265" s="21" t="n">
        <v>42489.0</v>
      </c>
      <c r="N265" s="22" t="inlineStr">
        <is>
          <t>Debt - General</t>
        </is>
      </c>
      <c r="O265" s="23" t="n">
        <v>0.25</v>
      </c>
      <c r="P265" s="101">
        <f>HYPERLINK("https://my.pitchbook.com?c=104481-64", "View company online")</f>
      </c>
    </row>
    <row r="266">
      <c r="A266" s="25" t="inlineStr">
        <is>
          <t>175642-21</t>
        </is>
      </c>
      <c r="B266" s="26" t="inlineStr">
        <is>
          <t>Wealthstake</t>
        </is>
      </c>
      <c r="C266" s="78">
        <f>HYPERLINK("https://my.pitchbook.com?rrp=175642-21&amp;type=c", "This Company's information is not available to download. Need this Company? Request availability")</f>
      </c>
      <c r="D266" s="28" t="inlineStr">
        <is>
          <t/>
        </is>
      </c>
      <c r="E266" s="29" t="inlineStr">
        <is>
          <t/>
        </is>
      </c>
      <c r="F266" s="30" t="inlineStr">
        <is>
          <t/>
        </is>
      </c>
      <c r="G266" s="31" t="inlineStr">
        <is>
          <t/>
        </is>
      </c>
      <c r="H266" s="32" t="inlineStr">
        <is>
          <t/>
        </is>
      </c>
      <c r="I266" s="33" t="inlineStr">
        <is>
          <t/>
        </is>
      </c>
      <c r="J266" s="34" t="inlineStr">
        <is>
          <t/>
        </is>
      </c>
      <c r="K266" s="35" t="inlineStr">
        <is>
          <t/>
        </is>
      </c>
      <c r="L266" s="36" t="inlineStr">
        <is>
          <t/>
        </is>
      </c>
      <c r="M266" s="37" t="inlineStr">
        <is>
          <t/>
        </is>
      </c>
      <c r="N266" s="38" t="inlineStr">
        <is>
          <t/>
        </is>
      </c>
      <c r="O266" s="39" t="inlineStr">
        <is>
          <t/>
        </is>
      </c>
      <c r="P266" s="40" t="inlineStr">
        <is>
          <t/>
        </is>
      </c>
    </row>
    <row r="267">
      <c r="A267" s="9" t="inlineStr">
        <is>
          <t>169575-31</t>
        </is>
      </c>
      <c r="B267" s="10" t="inlineStr">
        <is>
          <t>We Rad Dads</t>
        </is>
      </c>
      <c r="C267" s="11" t="inlineStr">
        <is>
          <t/>
        </is>
      </c>
      <c r="D267" s="12" t="inlineStr">
        <is>
          <t/>
        </is>
      </c>
      <c r="E267" s="13" t="inlineStr">
        <is>
          <t/>
        </is>
      </c>
      <c r="F267" s="14" t="inlineStr">
        <is>
          <t/>
        </is>
      </c>
      <c r="G267" s="15" t="inlineStr">
        <is>
          <t/>
        </is>
      </c>
      <c r="H267" s="16" t="inlineStr">
        <is>
          <t/>
        </is>
      </c>
      <c r="I267" s="17" t="inlineStr">
        <is>
          <t/>
        </is>
      </c>
      <c r="J267" s="18" t="inlineStr">
        <is>
          <t/>
        </is>
      </c>
      <c r="K267" s="19" t="inlineStr">
        <is>
          <t>Privately Held (backing)</t>
        </is>
      </c>
      <c r="L267" s="20" t="inlineStr">
        <is>
          <t>Accelerator/Incubator Backed</t>
        </is>
      </c>
      <c r="M267" s="21" t="inlineStr">
        <is>
          <t/>
        </is>
      </c>
      <c r="N267" s="22" t="inlineStr">
        <is>
          <t>Accelerator/Incubator</t>
        </is>
      </c>
      <c r="O267" s="23" t="inlineStr">
        <is>
          <t/>
        </is>
      </c>
      <c r="P267" s="101">
        <f>HYPERLINK("https://my.pitchbook.com?c=169575-31", "View company online")</f>
      </c>
    </row>
    <row r="268">
      <c r="A268" s="25" t="inlineStr">
        <is>
          <t>104285-26</t>
        </is>
      </c>
      <c r="B268" s="26" t="inlineStr">
        <is>
          <t>We Labs</t>
        </is>
      </c>
      <c r="C268" s="27" t="inlineStr">
        <is>
          <t/>
        </is>
      </c>
      <c r="D268" s="28" t="inlineStr">
        <is>
          <t/>
        </is>
      </c>
      <c r="E268" s="29" t="inlineStr">
        <is>
          <t/>
        </is>
      </c>
      <c r="F268" s="30" t="inlineStr">
        <is>
          <t/>
        </is>
      </c>
      <c r="G268" s="31" t="inlineStr">
        <is>
          <t/>
        </is>
      </c>
      <c r="H268" s="32" t="inlineStr">
        <is>
          <t/>
        </is>
      </c>
      <c r="I268" s="33" t="inlineStr">
        <is>
          <t/>
        </is>
      </c>
      <c r="J268" s="34" t="inlineStr">
        <is>
          <t/>
        </is>
      </c>
      <c r="K268" s="35" t="inlineStr">
        <is>
          <t>Privately Held (backing)</t>
        </is>
      </c>
      <c r="L268" s="36" t="inlineStr">
        <is>
          <t>Angel-Backed</t>
        </is>
      </c>
      <c r="M268" s="37" t="n">
        <v>41373.0</v>
      </c>
      <c r="N268" s="38" t="inlineStr">
        <is>
          <t>Product Crowdfunding</t>
        </is>
      </c>
      <c r="O268" s="39" t="n">
        <v>0.01</v>
      </c>
      <c r="P268" s="102">
        <f>HYPERLINK("https://my.pitchbook.com?c=104285-26", "View company online")</f>
      </c>
    </row>
    <row r="269">
      <c r="A269" s="9" t="inlineStr">
        <is>
          <t>168340-87</t>
        </is>
      </c>
      <c r="B269" s="10" t="inlineStr">
        <is>
          <t>We Are Onyx</t>
        </is>
      </c>
      <c r="C269" s="11" t="inlineStr">
        <is>
          <t/>
        </is>
      </c>
      <c r="D269" s="12" t="inlineStr">
        <is>
          <t/>
        </is>
      </c>
      <c r="E269" s="13" t="inlineStr">
        <is>
          <t/>
        </is>
      </c>
      <c r="F269" s="14" t="inlineStr">
        <is>
          <t/>
        </is>
      </c>
      <c r="G269" s="15" t="inlineStr">
        <is>
          <t/>
        </is>
      </c>
      <c r="H269" s="16" t="inlineStr">
        <is>
          <t/>
        </is>
      </c>
      <c r="I269" s="17" t="inlineStr">
        <is>
          <t/>
        </is>
      </c>
      <c r="J269" s="18" t="inlineStr">
        <is>
          <t/>
        </is>
      </c>
      <c r="K269" s="19" t="inlineStr">
        <is>
          <t>Privately Held (backing)</t>
        </is>
      </c>
      <c r="L269" s="20" t="inlineStr">
        <is>
          <t>Accelerator/Incubator Backed</t>
        </is>
      </c>
      <c r="M269" s="21" t="n">
        <v>42692.0</v>
      </c>
      <c r="N269" s="22" t="inlineStr">
        <is>
          <t>Accelerator/Incubator</t>
        </is>
      </c>
      <c r="O269" s="23" t="n">
        <v>0.15</v>
      </c>
      <c r="P269" s="101">
        <f>HYPERLINK("https://my.pitchbook.com?c=168340-87", "View company online")</f>
      </c>
    </row>
    <row r="270">
      <c r="A270" s="25" t="inlineStr">
        <is>
          <t>104784-85</t>
        </is>
      </c>
      <c r="B270" s="26" t="inlineStr">
        <is>
          <t>We</t>
        </is>
      </c>
      <c r="C270" s="27" t="inlineStr">
        <is>
          <t/>
        </is>
      </c>
      <c r="D270" s="28" t="inlineStr">
        <is>
          <t/>
        </is>
      </c>
      <c r="E270" s="29" t="inlineStr">
        <is>
          <t/>
        </is>
      </c>
      <c r="F270" s="30" t="inlineStr">
        <is>
          <t/>
        </is>
      </c>
      <c r="G270" s="31" t="inlineStr">
        <is>
          <t/>
        </is>
      </c>
      <c r="H270" s="32" t="inlineStr">
        <is>
          <t/>
        </is>
      </c>
      <c r="I270" s="33" t="inlineStr">
        <is>
          <t/>
        </is>
      </c>
      <c r="J270" s="34" t="inlineStr">
        <is>
          <t/>
        </is>
      </c>
      <c r="K270" s="35" t="inlineStr">
        <is>
          <t>Privately Held (backing)</t>
        </is>
      </c>
      <c r="L270" s="36" t="inlineStr">
        <is>
          <t>Angel-Backed</t>
        </is>
      </c>
      <c r="M270" s="37" t="n">
        <v>41334.0</v>
      </c>
      <c r="N270" s="38" t="inlineStr">
        <is>
          <t>Seed Round</t>
        </is>
      </c>
      <c r="O270" s="39" t="n">
        <v>2.0</v>
      </c>
      <c r="P270" s="102">
        <f>HYPERLINK("https://my.pitchbook.com?c=104784-85", "View company online")</f>
      </c>
    </row>
    <row r="271">
      <c r="A271" s="9" t="inlineStr">
        <is>
          <t>103505-77</t>
        </is>
      </c>
      <c r="B271" s="10" t="inlineStr">
        <is>
          <t>Wazala!</t>
        </is>
      </c>
      <c r="C271" s="11" t="inlineStr">
        <is>
          <t/>
        </is>
      </c>
      <c r="D271" s="12" t="inlineStr">
        <is>
          <t/>
        </is>
      </c>
      <c r="E271" s="13" t="inlineStr">
        <is>
          <t/>
        </is>
      </c>
      <c r="F271" s="14" t="inlineStr">
        <is>
          <t/>
        </is>
      </c>
      <c r="G271" s="15" t="inlineStr">
        <is>
          <t/>
        </is>
      </c>
      <c r="H271" s="16" t="inlineStr">
        <is>
          <t/>
        </is>
      </c>
      <c r="I271" s="17" t="inlineStr">
        <is>
          <t/>
        </is>
      </c>
      <c r="J271" s="18" t="inlineStr">
        <is>
          <t/>
        </is>
      </c>
      <c r="K271" s="19" t="inlineStr">
        <is>
          <t>Privately Held (backing)</t>
        </is>
      </c>
      <c r="L271" s="20" t="inlineStr">
        <is>
          <t>Accelerator/Incubator Backed</t>
        </is>
      </c>
      <c r="M271" s="21" t="inlineStr">
        <is>
          <t/>
        </is>
      </c>
      <c r="N271" s="22" t="inlineStr">
        <is>
          <t>Accelerator/Incubator</t>
        </is>
      </c>
      <c r="O271" s="23" t="inlineStr">
        <is>
          <t/>
        </is>
      </c>
      <c r="P271" s="101">
        <f>HYPERLINK("https://my.pitchbook.com?c=103505-77", "View company online")</f>
      </c>
    </row>
    <row r="272">
      <c r="A272" s="25" t="inlineStr">
        <is>
          <t>160277-50</t>
        </is>
      </c>
      <c r="B272" s="26" t="inlineStr">
        <is>
          <t>Wayzme</t>
        </is>
      </c>
      <c r="C272" s="27" t="inlineStr">
        <is>
          <t/>
        </is>
      </c>
      <c r="D272" s="28" t="inlineStr">
        <is>
          <t/>
        </is>
      </c>
      <c r="E272" s="29" t="inlineStr">
        <is>
          <t/>
        </is>
      </c>
      <c r="F272" s="30" t="inlineStr">
        <is>
          <t/>
        </is>
      </c>
      <c r="G272" s="31" t="inlineStr">
        <is>
          <t/>
        </is>
      </c>
      <c r="H272" s="32" t="inlineStr">
        <is>
          <t/>
        </is>
      </c>
      <c r="I272" s="33" t="inlineStr">
        <is>
          <t/>
        </is>
      </c>
      <c r="J272" s="34" t="inlineStr">
        <is>
          <t/>
        </is>
      </c>
      <c r="K272" s="35" t="inlineStr">
        <is>
          <t>Privately Held (backing)</t>
        </is>
      </c>
      <c r="L272" s="36" t="inlineStr">
        <is>
          <t>Angel-Backed</t>
        </is>
      </c>
      <c r="M272" s="37" t="n">
        <v>42223.0</v>
      </c>
      <c r="N272" s="38" t="inlineStr">
        <is>
          <t>Angel (individual)</t>
        </is>
      </c>
      <c r="O272" s="39" t="n">
        <v>0.02</v>
      </c>
      <c r="P272" s="102">
        <f>HYPERLINK("https://my.pitchbook.com?c=160277-50", "View company online")</f>
      </c>
    </row>
    <row r="273">
      <c r="A273" s="9" t="inlineStr">
        <is>
          <t>103153-33</t>
        </is>
      </c>
      <c r="B273" s="10" t="inlineStr">
        <is>
          <t>WaysGo</t>
        </is>
      </c>
      <c r="C273" s="11" t="inlineStr">
        <is>
          <t/>
        </is>
      </c>
      <c r="D273" s="12" t="inlineStr">
        <is>
          <t/>
        </is>
      </c>
      <c r="E273" s="13" t="inlineStr">
        <is>
          <t/>
        </is>
      </c>
      <c r="F273" s="14" t="inlineStr">
        <is>
          <t/>
        </is>
      </c>
      <c r="G273" s="15" t="inlineStr">
        <is>
          <t/>
        </is>
      </c>
      <c r="H273" s="16" t="inlineStr">
        <is>
          <t/>
        </is>
      </c>
      <c r="I273" s="17" t="inlineStr">
        <is>
          <t/>
        </is>
      </c>
      <c r="J273" s="18" t="inlineStr">
        <is>
          <t/>
        </is>
      </c>
      <c r="K273" s="19" t="inlineStr">
        <is>
          <t>Privately Held (backing)</t>
        </is>
      </c>
      <c r="L273" s="20" t="inlineStr">
        <is>
          <t>Angel-Backed</t>
        </is>
      </c>
      <c r="M273" s="21" t="n">
        <v>40238.0</v>
      </c>
      <c r="N273" s="22" t="inlineStr">
        <is>
          <t>Angel (individual)</t>
        </is>
      </c>
      <c r="O273" s="23" t="n">
        <v>2.0</v>
      </c>
      <c r="P273" s="101">
        <f>HYPERLINK("https://my.pitchbook.com?c=103153-33", "View company online")</f>
      </c>
    </row>
    <row r="274">
      <c r="A274" s="25" t="inlineStr">
        <is>
          <t>169143-76</t>
        </is>
      </c>
      <c r="B274" s="26" t="inlineStr">
        <is>
          <t>Waymo</t>
        </is>
      </c>
      <c r="C274" s="27" t="inlineStr">
        <is>
          <t/>
        </is>
      </c>
      <c r="D274" s="28" t="inlineStr">
        <is>
          <t/>
        </is>
      </c>
      <c r="E274" s="29" t="inlineStr">
        <is>
          <t/>
        </is>
      </c>
      <c r="F274" s="30" t="inlineStr">
        <is>
          <t/>
        </is>
      </c>
      <c r="G274" s="31" t="inlineStr">
        <is>
          <t/>
        </is>
      </c>
      <c r="H274" s="32" t="inlineStr">
        <is>
          <t/>
        </is>
      </c>
      <c r="I274" s="33" t="inlineStr">
        <is>
          <t/>
        </is>
      </c>
      <c r="J274" s="34" t="inlineStr">
        <is>
          <t/>
        </is>
      </c>
      <c r="K274" s="35" t="inlineStr">
        <is>
          <t>Privately Held (backing)</t>
        </is>
      </c>
      <c r="L274" s="36" t="inlineStr">
        <is>
          <t>Accelerator/Incubator Backed</t>
        </is>
      </c>
      <c r="M274" s="37" t="n">
        <v>42717.0</v>
      </c>
      <c r="N274" s="38" t="inlineStr">
        <is>
          <t>Accelerator/Incubator</t>
        </is>
      </c>
      <c r="O274" s="39" t="inlineStr">
        <is>
          <t/>
        </is>
      </c>
      <c r="P274" s="102">
        <f>HYPERLINK("https://my.pitchbook.com?c=169143-76", "View company online")</f>
      </c>
    </row>
    <row r="275">
      <c r="A275" s="9" t="inlineStr">
        <is>
          <t>167071-15</t>
        </is>
      </c>
      <c r="B275" s="10" t="inlineStr">
        <is>
          <t>Wayfarer</t>
        </is>
      </c>
      <c r="C275" s="11" t="inlineStr">
        <is>
          <t/>
        </is>
      </c>
      <c r="D275" s="12" t="inlineStr">
        <is>
          <t/>
        </is>
      </c>
      <c r="E275" s="13" t="inlineStr">
        <is>
          <t/>
        </is>
      </c>
      <c r="F275" s="14" t="inlineStr">
        <is>
          <t/>
        </is>
      </c>
      <c r="G275" s="15" t="inlineStr">
        <is>
          <t/>
        </is>
      </c>
      <c r="H275" s="16" t="inlineStr">
        <is>
          <t/>
        </is>
      </c>
      <c r="I275" s="17" t="inlineStr">
        <is>
          <t/>
        </is>
      </c>
      <c r="J275" s="18" t="inlineStr">
        <is>
          <t/>
        </is>
      </c>
      <c r="K275" s="19" t="inlineStr">
        <is>
          <t>Privately Held (backing)</t>
        </is>
      </c>
      <c r="L275" s="20" t="inlineStr">
        <is>
          <t>Accelerator/Incubator Backed</t>
        </is>
      </c>
      <c r="M275" s="21" t="n">
        <v>42657.0</v>
      </c>
      <c r="N275" s="22" t="inlineStr">
        <is>
          <t>Accelerator/Incubator</t>
        </is>
      </c>
      <c r="O275" s="23" t="inlineStr">
        <is>
          <t/>
        </is>
      </c>
      <c r="P275" s="101">
        <f>HYPERLINK("https://my.pitchbook.com?c=167071-15", "View company online")</f>
      </c>
    </row>
    <row r="276">
      <c r="A276" s="25" t="inlineStr">
        <is>
          <t>89468-92</t>
        </is>
      </c>
      <c r="B276" s="26" t="inlineStr">
        <is>
          <t>Wax Music</t>
        </is>
      </c>
      <c r="C276" s="27" t="inlineStr">
        <is>
          <t/>
        </is>
      </c>
      <c r="D276" s="28" t="inlineStr">
        <is>
          <t/>
        </is>
      </c>
      <c r="E276" s="29" t="inlineStr">
        <is>
          <t/>
        </is>
      </c>
      <c r="F276" s="30" t="inlineStr">
        <is>
          <t/>
        </is>
      </c>
      <c r="G276" s="31" t="inlineStr">
        <is>
          <t/>
        </is>
      </c>
      <c r="H276" s="32" t="inlineStr">
        <is>
          <t/>
        </is>
      </c>
      <c r="I276" s="33" t="inlineStr">
        <is>
          <t/>
        </is>
      </c>
      <c r="J276" s="34" t="inlineStr">
        <is>
          <t/>
        </is>
      </c>
      <c r="K276" s="35" t="inlineStr">
        <is>
          <t>Privately Held (backing)</t>
        </is>
      </c>
      <c r="L276" s="36" t="inlineStr">
        <is>
          <t>Accelerator/Incubator Backed</t>
        </is>
      </c>
      <c r="M276" s="37" t="n">
        <v>41838.0</v>
      </c>
      <c r="N276" s="38" t="inlineStr">
        <is>
          <t>Seed Round</t>
        </is>
      </c>
      <c r="O276" s="39" t="n">
        <v>0.02</v>
      </c>
      <c r="P276" s="102">
        <f>HYPERLINK("https://my.pitchbook.com?c=89468-92", "View company online")</f>
      </c>
    </row>
    <row r="277">
      <c r="A277" s="9" t="inlineStr">
        <is>
          <t>160606-36</t>
        </is>
      </c>
      <c r="B277" s="10" t="inlineStr">
        <is>
          <t>Waviot</t>
        </is>
      </c>
      <c r="C277" s="11" t="inlineStr">
        <is>
          <t/>
        </is>
      </c>
      <c r="D277" s="12" t="inlineStr">
        <is>
          <t/>
        </is>
      </c>
      <c r="E277" s="13" t="inlineStr">
        <is>
          <t/>
        </is>
      </c>
      <c r="F277" s="14" t="inlineStr">
        <is>
          <t/>
        </is>
      </c>
      <c r="G277" s="15" t="inlineStr">
        <is>
          <t/>
        </is>
      </c>
      <c r="H277" s="16" t="inlineStr">
        <is>
          <t/>
        </is>
      </c>
      <c r="I277" s="17" t="inlineStr">
        <is>
          <t/>
        </is>
      </c>
      <c r="J277" s="18" t="inlineStr">
        <is>
          <t/>
        </is>
      </c>
      <c r="K277" s="19" t="inlineStr">
        <is>
          <t>Privately Held (backing)</t>
        </is>
      </c>
      <c r="L277" s="20" t="inlineStr">
        <is>
          <t>Accelerator/Incubator Backed</t>
        </is>
      </c>
      <c r="M277" s="21" t="n">
        <v>42513.0</v>
      </c>
      <c r="N277" s="22" t="inlineStr">
        <is>
          <t>Accelerator/Incubator</t>
        </is>
      </c>
      <c r="O277" s="23" t="inlineStr">
        <is>
          <t/>
        </is>
      </c>
      <c r="P277" s="101">
        <f>HYPERLINK("https://my.pitchbook.com?c=160606-36", "View company online")</f>
      </c>
    </row>
    <row r="278">
      <c r="A278" s="25" t="inlineStr">
        <is>
          <t>58034-44</t>
        </is>
      </c>
      <c r="B278" s="26" t="inlineStr">
        <is>
          <t>WattzOn</t>
        </is>
      </c>
      <c r="C278" s="27" t="inlineStr">
        <is>
          <t/>
        </is>
      </c>
      <c r="D278" s="28" t="inlineStr">
        <is>
          <t/>
        </is>
      </c>
      <c r="E278" s="29" t="inlineStr">
        <is>
          <t/>
        </is>
      </c>
      <c r="F278" s="30" t="inlineStr">
        <is>
          <t/>
        </is>
      </c>
      <c r="G278" s="31" t="inlineStr">
        <is>
          <t/>
        </is>
      </c>
      <c r="H278" s="32" t="inlineStr">
        <is>
          <t/>
        </is>
      </c>
      <c r="I278" s="33" t="inlineStr">
        <is>
          <t/>
        </is>
      </c>
      <c r="J278" s="34" t="inlineStr">
        <is>
          <t/>
        </is>
      </c>
      <c r="K278" s="35" t="inlineStr">
        <is>
          <t>Privately Held (backing)</t>
        </is>
      </c>
      <c r="L278" s="36" t="inlineStr">
        <is>
          <t>Accelerator/Incubator Backed</t>
        </is>
      </c>
      <c r="M278" s="37" t="n">
        <v>41473.0</v>
      </c>
      <c r="N278" s="38" t="inlineStr">
        <is>
          <t>Angel (individual)</t>
        </is>
      </c>
      <c r="O278" s="39" t="n">
        <v>0.75</v>
      </c>
      <c r="P278" s="102">
        <f>HYPERLINK("https://my.pitchbook.com?c=58034-44", "View company online")</f>
      </c>
    </row>
    <row r="279">
      <c r="A279" s="9" t="inlineStr">
        <is>
          <t>123815-53</t>
        </is>
      </c>
      <c r="B279" s="10" t="inlineStr">
        <is>
          <t>WattTime</t>
        </is>
      </c>
      <c r="C279" s="11" t="inlineStr">
        <is>
          <t/>
        </is>
      </c>
      <c r="D279" s="12" t="inlineStr">
        <is>
          <t/>
        </is>
      </c>
      <c r="E279" s="13" t="inlineStr">
        <is>
          <t/>
        </is>
      </c>
      <c r="F279" s="14" t="inlineStr">
        <is>
          <t/>
        </is>
      </c>
      <c r="G279" s="15" t="inlineStr">
        <is>
          <t/>
        </is>
      </c>
      <c r="H279" s="16" t="inlineStr">
        <is>
          <t/>
        </is>
      </c>
      <c r="I279" s="17" t="inlineStr">
        <is>
          <t/>
        </is>
      </c>
      <c r="J279" s="18" t="inlineStr">
        <is>
          <t/>
        </is>
      </c>
      <c r="K279" s="19" t="inlineStr">
        <is>
          <t>Privately Held (backing)</t>
        </is>
      </c>
      <c r="L279" s="20" t="inlineStr">
        <is>
          <t>Accelerator/Incubator Backed</t>
        </is>
      </c>
      <c r="M279" s="21" t="n">
        <v>42193.0</v>
      </c>
      <c r="N279" s="22" t="inlineStr">
        <is>
          <t>Accelerator/Incubator</t>
        </is>
      </c>
      <c r="O279" s="23" t="n">
        <v>0.03</v>
      </c>
      <c r="P279" s="101">
        <f>HYPERLINK("https://my.pitchbook.com?c=123815-53", "View company online")</f>
      </c>
    </row>
    <row r="280">
      <c r="A280" s="25" t="inlineStr">
        <is>
          <t>104261-50</t>
        </is>
      </c>
      <c r="B280" s="26" t="inlineStr">
        <is>
          <t>Wattbot</t>
        </is>
      </c>
      <c r="C280" s="27" t="inlineStr">
        <is>
          <t/>
        </is>
      </c>
      <c r="D280" s="28" t="inlineStr">
        <is>
          <t/>
        </is>
      </c>
      <c r="E280" s="29" t="inlineStr">
        <is>
          <t/>
        </is>
      </c>
      <c r="F280" s="30" t="inlineStr">
        <is>
          <t/>
        </is>
      </c>
      <c r="G280" s="31" t="inlineStr">
        <is>
          <t/>
        </is>
      </c>
      <c r="H280" s="32" t="inlineStr">
        <is>
          <t/>
        </is>
      </c>
      <c r="I280" s="33" t="inlineStr">
        <is>
          <t/>
        </is>
      </c>
      <c r="J280" s="34" t="inlineStr">
        <is>
          <t/>
        </is>
      </c>
      <c r="K280" s="35" t="inlineStr">
        <is>
          <t>Privately Held (backing)</t>
        </is>
      </c>
      <c r="L280" s="36" t="inlineStr">
        <is>
          <t>Angel-Backed</t>
        </is>
      </c>
      <c r="M280" s="37" t="n">
        <v>39448.0</v>
      </c>
      <c r="N280" s="38" t="inlineStr">
        <is>
          <t>Seed Round</t>
        </is>
      </c>
      <c r="O280" s="39" t="n">
        <v>0.35</v>
      </c>
      <c r="P280" s="102">
        <f>HYPERLINK("https://my.pitchbook.com?c=104261-50", "View company online")</f>
      </c>
    </row>
    <row r="281">
      <c r="A281" s="9" t="inlineStr">
        <is>
          <t>56015-83</t>
        </is>
      </c>
      <c r="B281" s="10" t="inlineStr">
        <is>
          <t>Watsi</t>
        </is>
      </c>
      <c r="C281" s="11" t="inlineStr">
        <is>
          <t/>
        </is>
      </c>
      <c r="D281" s="12" t="inlineStr">
        <is>
          <t/>
        </is>
      </c>
      <c r="E281" s="13" t="inlineStr">
        <is>
          <t/>
        </is>
      </c>
      <c r="F281" s="14" t="inlineStr">
        <is>
          <t/>
        </is>
      </c>
      <c r="G281" s="15" t="inlineStr">
        <is>
          <t/>
        </is>
      </c>
      <c r="H281" s="16" t="inlineStr">
        <is>
          <t/>
        </is>
      </c>
      <c r="I281" s="17" t="inlineStr">
        <is>
          <t/>
        </is>
      </c>
      <c r="J281" s="18" t="inlineStr">
        <is>
          <t/>
        </is>
      </c>
      <c r="K281" s="19" t="inlineStr">
        <is>
          <t>Privately Held (backing)</t>
        </is>
      </c>
      <c r="L281" s="20" t="inlineStr">
        <is>
          <t>Accelerator/Incubator Backed</t>
        </is>
      </c>
      <c r="M281" s="21" t="n">
        <v>42773.0</v>
      </c>
      <c r="N281" s="22" t="inlineStr">
        <is>
          <t>Grant</t>
        </is>
      </c>
      <c r="O281" s="23" t="inlineStr">
        <is>
          <t/>
        </is>
      </c>
      <c r="P281" s="101">
        <f>HYPERLINK("https://my.pitchbook.com?c=56015-83", "View company online")</f>
      </c>
    </row>
    <row r="282">
      <c r="A282" s="25" t="inlineStr">
        <is>
          <t>127667-35</t>
        </is>
      </c>
      <c r="B282" s="26" t="inlineStr">
        <is>
          <t>Watlington Foods</t>
        </is>
      </c>
      <c r="C282" s="27" t="inlineStr">
        <is>
          <t/>
        </is>
      </c>
      <c r="D282" s="28" t="inlineStr">
        <is>
          <t/>
        </is>
      </c>
      <c r="E282" s="29" t="inlineStr">
        <is>
          <t/>
        </is>
      </c>
      <c r="F282" s="30" t="inlineStr">
        <is>
          <t/>
        </is>
      </c>
      <c r="G282" s="31" t="inlineStr">
        <is>
          <t/>
        </is>
      </c>
      <c r="H282" s="32" t="inlineStr">
        <is>
          <t/>
        </is>
      </c>
      <c r="I282" s="33" t="inlineStr">
        <is>
          <t/>
        </is>
      </c>
      <c r="J282" s="34" t="inlineStr">
        <is>
          <t/>
        </is>
      </c>
      <c r="K282" s="35" t="inlineStr">
        <is>
          <t>Privately Held (backing)</t>
        </is>
      </c>
      <c r="L282" s="36" t="inlineStr">
        <is>
          <t>Angel-Backed</t>
        </is>
      </c>
      <c r="M282" s="37" t="n">
        <v>42314.0</v>
      </c>
      <c r="N282" s="38" t="inlineStr">
        <is>
          <t>Angel (individual)</t>
        </is>
      </c>
      <c r="O282" s="39" t="inlineStr">
        <is>
          <t/>
        </is>
      </c>
      <c r="P282" s="102">
        <f>HYPERLINK("https://my.pitchbook.com?c=127667-35", "View company online")</f>
      </c>
    </row>
    <row r="283">
      <c r="A283" s="9" t="inlineStr">
        <is>
          <t>121437-10</t>
        </is>
      </c>
      <c r="B283" s="10" t="inlineStr">
        <is>
          <t>Watercluster</t>
        </is>
      </c>
      <c r="C283" s="77">
        <f>HYPERLINK("https://my.pitchbook.com?rrp=121437-10&amp;type=c", "This Company's information is not available to download. Need this Company? Request availability")</f>
      </c>
      <c r="D283" s="12" t="inlineStr">
        <is>
          <t/>
        </is>
      </c>
      <c r="E283" s="13" t="inlineStr">
        <is>
          <t/>
        </is>
      </c>
      <c r="F283" s="14" t="inlineStr">
        <is>
          <t/>
        </is>
      </c>
      <c r="G283" s="15" t="inlineStr">
        <is>
          <t/>
        </is>
      </c>
      <c r="H283" s="16" t="inlineStr">
        <is>
          <t/>
        </is>
      </c>
      <c r="I283" s="17" t="inlineStr">
        <is>
          <t/>
        </is>
      </c>
      <c r="J283" s="18" t="inlineStr">
        <is>
          <t/>
        </is>
      </c>
      <c r="K283" s="19" t="inlineStr">
        <is>
          <t/>
        </is>
      </c>
      <c r="L283" s="20" t="inlineStr">
        <is>
          <t/>
        </is>
      </c>
      <c r="M283" s="21" t="inlineStr">
        <is>
          <t/>
        </is>
      </c>
      <c r="N283" s="22" t="inlineStr">
        <is>
          <t/>
        </is>
      </c>
      <c r="O283" s="23" t="inlineStr">
        <is>
          <t/>
        </is>
      </c>
      <c r="P283" s="24" t="inlineStr">
        <is>
          <t/>
        </is>
      </c>
    </row>
    <row r="284">
      <c r="A284" s="25" t="inlineStr">
        <is>
          <t>172664-65</t>
        </is>
      </c>
      <c r="B284" s="26" t="inlineStr">
        <is>
          <t>Water Strider</t>
        </is>
      </c>
      <c r="C284" s="27" t="inlineStr">
        <is>
          <t/>
        </is>
      </c>
      <c r="D284" s="28" t="inlineStr">
        <is>
          <t/>
        </is>
      </c>
      <c r="E284" s="29" t="inlineStr">
        <is>
          <t/>
        </is>
      </c>
      <c r="F284" s="30" t="inlineStr">
        <is>
          <t/>
        </is>
      </c>
      <c r="G284" s="31" t="inlineStr">
        <is>
          <t/>
        </is>
      </c>
      <c r="H284" s="32" t="inlineStr">
        <is>
          <t/>
        </is>
      </c>
      <c r="I284" s="33" t="inlineStr">
        <is>
          <t/>
        </is>
      </c>
      <c r="J284" s="34" t="inlineStr">
        <is>
          <t/>
        </is>
      </c>
      <c r="K284" s="35" t="inlineStr">
        <is>
          <t>Privately Held (backing)</t>
        </is>
      </c>
      <c r="L284" s="36" t="inlineStr">
        <is>
          <t>Accelerator/Incubator Backed</t>
        </is>
      </c>
      <c r="M284" s="37" t="n">
        <v>41989.0</v>
      </c>
      <c r="N284" s="38" t="inlineStr">
        <is>
          <t>Accelerator/Incubator</t>
        </is>
      </c>
      <c r="O284" s="39" t="n">
        <v>0.03</v>
      </c>
      <c r="P284" s="102">
        <f>HYPERLINK("https://my.pitchbook.com?c=172664-65", "View company online")</f>
      </c>
    </row>
    <row r="285">
      <c r="A285" s="9" t="inlineStr">
        <is>
          <t>167551-48</t>
        </is>
      </c>
      <c r="B285" s="10" t="inlineStr">
        <is>
          <t>Water Pigeon</t>
        </is>
      </c>
      <c r="C285" s="11" t="inlineStr">
        <is>
          <t/>
        </is>
      </c>
      <c r="D285" s="12" t="inlineStr">
        <is>
          <t/>
        </is>
      </c>
      <c r="E285" s="13" t="inlineStr">
        <is>
          <t/>
        </is>
      </c>
      <c r="F285" s="14" t="inlineStr">
        <is>
          <t/>
        </is>
      </c>
      <c r="G285" s="15" t="inlineStr">
        <is>
          <t/>
        </is>
      </c>
      <c r="H285" s="16" t="inlineStr">
        <is>
          <t/>
        </is>
      </c>
      <c r="I285" s="17" t="inlineStr">
        <is>
          <t/>
        </is>
      </c>
      <c r="J285" s="18" t="inlineStr">
        <is>
          <t/>
        </is>
      </c>
      <c r="K285" s="19" t="inlineStr">
        <is>
          <t>Privately Held (backing)</t>
        </is>
      </c>
      <c r="L285" s="20" t="inlineStr">
        <is>
          <t>Accelerator/Incubator Backed</t>
        </is>
      </c>
      <c r="M285" s="21" t="n">
        <v>42663.0</v>
      </c>
      <c r="N285" s="22" t="inlineStr">
        <is>
          <t>Accelerator/Incubator</t>
        </is>
      </c>
      <c r="O285" s="23" t="inlineStr">
        <is>
          <t/>
        </is>
      </c>
      <c r="P285" s="101">
        <f>HYPERLINK("https://my.pitchbook.com?c=167551-48", "View company online")</f>
      </c>
    </row>
    <row r="286">
      <c r="A286" s="25" t="inlineStr">
        <is>
          <t>171168-13</t>
        </is>
      </c>
      <c r="B286" s="26" t="inlineStr">
        <is>
          <t>Water Canary</t>
        </is>
      </c>
      <c r="C286" s="27" t="inlineStr">
        <is>
          <t/>
        </is>
      </c>
      <c r="D286" s="28" t="inlineStr">
        <is>
          <t/>
        </is>
      </c>
      <c r="E286" s="29" t="inlineStr">
        <is>
          <t/>
        </is>
      </c>
      <c r="F286" s="30" t="inlineStr">
        <is>
          <t/>
        </is>
      </c>
      <c r="G286" s="31" t="inlineStr">
        <is>
          <t/>
        </is>
      </c>
      <c r="H286" s="32" t="inlineStr">
        <is>
          <t/>
        </is>
      </c>
      <c r="I286" s="33" t="inlineStr">
        <is>
          <t/>
        </is>
      </c>
      <c r="J286" s="34" t="inlineStr">
        <is>
          <t/>
        </is>
      </c>
      <c r="K286" s="35" t="inlineStr">
        <is>
          <t>Privately Held (backing)</t>
        </is>
      </c>
      <c r="L286" s="36" t="inlineStr">
        <is>
          <t>Accelerator/Incubator Backed</t>
        </is>
      </c>
      <c r="M286" s="37" t="inlineStr">
        <is>
          <t/>
        </is>
      </c>
      <c r="N286" s="38" t="inlineStr">
        <is>
          <t>Accelerator/Incubator</t>
        </is>
      </c>
      <c r="O286" s="39" t="inlineStr">
        <is>
          <t/>
        </is>
      </c>
      <c r="P286" s="102">
        <f>HYPERLINK("https://my.pitchbook.com?c=171168-13", "View company online")</f>
      </c>
    </row>
    <row r="287">
      <c r="A287" s="9" t="inlineStr">
        <is>
          <t>117667-00</t>
        </is>
      </c>
      <c r="B287" s="10" t="inlineStr">
        <is>
          <t>Washos</t>
        </is>
      </c>
      <c r="C287" s="11" t="inlineStr">
        <is>
          <t/>
        </is>
      </c>
      <c r="D287" s="12" t="inlineStr">
        <is>
          <t/>
        </is>
      </c>
      <c r="E287" s="13" t="inlineStr">
        <is>
          <t/>
        </is>
      </c>
      <c r="F287" s="14" t="inlineStr">
        <is>
          <t/>
        </is>
      </c>
      <c r="G287" s="15" t="inlineStr">
        <is>
          <t/>
        </is>
      </c>
      <c r="H287" s="16" t="inlineStr">
        <is>
          <t/>
        </is>
      </c>
      <c r="I287" s="17" t="inlineStr">
        <is>
          <t/>
        </is>
      </c>
      <c r="J287" s="18" t="inlineStr">
        <is>
          <t/>
        </is>
      </c>
      <c r="K287" s="19" t="inlineStr">
        <is>
          <t>Privately Held (backing)</t>
        </is>
      </c>
      <c r="L287" s="20" t="inlineStr">
        <is>
          <t>Accelerator/Incubator Backed</t>
        </is>
      </c>
      <c r="M287" s="21" t="n">
        <v>42675.0</v>
      </c>
      <c r="N287" s="22" t="inlineStr">
        <is>
          <t>Accelerator/Incubator</t>
        </is>
      </c>
      <c r="O287" s="23" t="inlineStr">
        <is>
          <t/>
        </is>
      </c>
      <c r="P287" s="101">
        <f>HYPERLINK("https://my.pitchbook.com?c=117667-00", "View company online")</f>
      </c>
    </row>
    <row r="288">
      <c r="A288" s="25" t="inlineStr">
        <is>
          <t>56187-01</t>
        </is>
      </c>
      <c r="B288" s="26" t="inlineStr">
        <is>
          <t>Warply</t>
        </is>
      </c>
      <c r="C288" s="27" t="inlineStr">
        <is>
          <t/>
        </is>
      </c>
      <c r="D288" s="28" t="inlineStr">
        <is>
          <t/>
        </is>
      </c>
      <c r="E288" s="29" t="inlineStr">
        <is>
          <t/>
        </is>
      </c>
      <c r="F288" s="30" t="inlineStr">
        <is>
          <t/>
        </is>
      </c>
      <c r="G288" s="31" t="inlineStr">
        <is>
          <t/>
        </is>
      </c>
      <c r="H288" s="32" t="inlineStr">
        <is>
          <t/>
        </is>
      </c>
      <c r="I288" s="33" t="inlineStr">
        <is>
          <t/>
        </is>
      </c>
      <c r="J288" s="34" t="inlineStr">
        <is>
          <t/>
        </is>
      </c>
      <c r="K288" s="35" t="inlineStr">
        <is>
          <t>Privately Held (backing)</t>
        </is>
      </c>
      <c r="L288" s="36" t="inlineStr">
        <is>
          <t>Angel-Backed</t>
        </is>
      </c>
      <c r="M288" s="37" t="n">
        <v>41325.0</v>
      </c>
      <c r="N288" s="38" t="inlineStr">
        <is>
          <t>Seed Round</t>
        </is>
      </c>
      <c r="O288" s="39" t="n">
        <v>0.5</v>
      </c>
      <c r="P288" s="102">
        <f>HYPERLINK("https://my.pitchbook.com?c=56187-01", "View company online")</f>
      </c>
    </row>
    <row r="289">
      <c r="A289" s="9" t="inlineStr">
        <is>
          <t>99745-12</t>
        </is>
      </c>
      <c r="B289" s="10" t="inlineStr">
        <is>
          <t>Warehouse Innovations</t>
        </is>
      </c>
      <c r="C289" s="11" t="inlineStr">
        <is>
          <t/>
        </is>
      </c>
      <c r="D289" s="12" t="inlineStr">
        <is>
          <t/>
        </is>
      </c>
      <c r="E289" s="13" t="inlineStr">
        <is>
          <t/>
        </is>
      </c>
      <c r="F289" s="14" t="inlineStr">
        <is>
          <t/>
        </is>
      </c>
      <c r="G289" s="15" t="inlineStr">
        <is>
          <t/>
        </is>
      </c>
      <c r="H289" s="16" t="inlineStr">
        <is>
          <t/>
        </is>
      </c>
      <c r="I289" s="17" t="inlineStr">
        <is>
          <t/>
        </is>
      </c>
      <c r="J289" s="18" t="inlineStr">
        <is>
          <t/>
        </is>
      </c>
      <c r="K289" s="19" t="inlineStr">
        <is>
          <t>Privately Held (backing)</t>
        </is>
      </c>
      <c r="L289" s="20" t="inlineStr">
        <is>
          <t>Accelerator/Incubator Backed</t>
        </is>
      </c>
      <c r="M289" s="21" t="n">
        <v>42108.0</v>
      </c>
      <c r="N289" s="22" t="inlineStr">
        <is>
          <t>Accelerator/Incubator</t>
        </is>
      </c>
      <c r="O289" s="23" t="inlineStr">
        <is>
          <t/>
        </is>
      </c>
      <c r="P289" s="101">
        <f>HYPERLINK("https://my.pitchbook.com?c=99745-12", "View company online")</f>
      </c>
    </row>
    <row r="290">
      <c r="A290" s="25" t="inlineStr">
        <is>
          <t>103502-08</t>
        </is>
      </c>
      <c r="B290" s="26" t="inlineStr">
        <is>
          <t>Waraire Boswell</t>
        </is>
      </c>
      <c r="C290" s="27" t="inlineStr">
        <is>
          <t/>
        </is>
      </c>
      <c r="D290" s="28" t="inlineStr">
        <is>
          <t/>
        </is>
      </c>
      <c r="E290" s="29" t="inlineStr">
        <is>
          <t/>
        </is>
      </c>
      <c r="F290" s="30" t="inlineStr">
        <is>
          <t/>
        </is>
      </c>
      <c r="G290" s="31" t="inlineStr">
        <is>
          <t/>
        </is>
      </c>
      <c r="H290" s="32" t="inlineStr">
        <is>
          <t/>
        </is>
      </c>
      <c r="I290" s="33" t="inlineStr">
        <is>
          <t/>
        </is>
      </c>
      <c r="J290" s="34" t="inlineStr">
        <is>
          <t/>
        </is>
      </c>
      <c r="K290" s="35" t="inlineStr">
        <is>
          <t>Privately Held (backing)</t>
        </is>
      </c>
      <c r="L290" s="36" t="inlineStr">
        <is>
          <t>Angel-Backed</t>
        </is>
      </c>
      <c r="M290" s="37" t="n">
        <v>41442.0</v>
      </c>
      <c r="N290" s="38" t="inlineStr">
        <is>
          <t>Angel (individual)</t>
        </is>
      </c>
      <c r="O290" s="39" t="n">
        <v>0.1</v>
      </c>
      <c r="P290" s="102">
        <f>HYPERLINK("https://my.pitchbook.com?c=103502-08", "View company online")</f>
      </c>
    </row>
    <row r="291">
      <c r="A291" s="9" t="inlineStr">
        <is>
          <t>55801-36</t>
        </is>
      </c>
      <c r="B291" s="10" t="inlineStr">
        <is>
          <t>Wappwolf</t>
        </is>
      </c>
      <c r="C291" s="11" t="inlineStr">
        <is>
          <t/>
        </is>
      </c>
      <c r="D291" s="12" t="inlineStr">
        <is>
          <t/>
        </is>
      </c>
      <c r="E291" s="13" t="inlineStr">
        <is>
          <t/>
        </is>
      </c>
      <c r="F291" s="14" t="inlineStr">
        <is>
          <t/>
        </is>
      </c>
      <c r="G291" s="15" t="inlineStr">
        <is>
          <t/>
        </is>
      </c>
      <c r="H291" s="16" t="inlineStr">
        <is>
          <t/>
        </is>
      </c>
      <c r="I291" s="17" t="inlineStr">
        <is>
          <t/>
        </is>
      </c>
      <c r="J291" s="18" t="inlineStr">
        <is>
          <t/>
        </is>
      </c>
      <c r="K291" s="19" t="inlineStr">
        <is>
          <t>Privately Held (backing)</t>
        </is>
      </c>
      <c r="L291" s="20" t="inlineStr">
        <is>
          <t>Accelerator/Incubator Backed</t>
        </is>
      </c>
      <c r="M291" s="21" t="inlineStr">
        <is>
          <t/>
        </is>
      </c>
      <c r="N291" s="22" t="inlineStr">
        <is>
          <t>Accelerator/Incubator</t>
        </is>
      </c>
      <c r="O291" s="23" t="inlineStr">
        <is>
          <t/>
        </is>
      </c>
      <c r="P291" s="101">
        <f>HYPERLINK("https://my.pitchbook.com?c=55801-36", "View company online")</f>
      </c>
    </row>
    <row r="292">
      <c r="A292" s="25" t="inlineStr">
        <is>
          <t>102672-46</t>
        </is>
      </c>
      <c r="B292" s="26" t="inlineStr">
        <is>
          <t>Wantboards</t>
        </is>
      </c>
      <c r="C292" s="27" t="inlineStr">
        <is>
          <t/>
        </is>
      </c>
      <c r="D292" s="28" t="inlineStr">
        <is>
          <t/>
        </is>
      </c>
      <c r="E292" s="29" t="inlineStr">
        <is>
          <t/>
        </is>
      </c>
      <c r="F292" s="30" t="inlineStr">
        <is>
          <t/>
        </is>
      </c>
      <c r="G292" s="31" t="inlineStr">
        <is>
          <t/>
        </is>
      </c>
      <c r="H292" s="32" t="inlineStr">
        <is>
          <t/>
        </is>
      </c>
      <c r="I292" s="33" t="inlineStr">
        <is>
          <t/>
        </is>
      </c>
      <c r="J292" s="34" t="inlineStr">
        <is>
          <t/>
        </is>
      </c>
      <c r="K292" s="35" t="inlineStr">
        <is>
          <t>Privately Held (backing)</t>
        </is>
      </c>
      <c r="L292" s="36" t="inlineStr">
        <is>
          <t>Angel-Backed</t>
        </is>
      </c>
      <c r="M292" s="37" t="n">
        <v>40969.0</v>
      </c>
      <c r="N292" s="38" t="inlineStr">
        <is>
          <t>Seed Round</t>
        </is>
      </c>
      <c r="O292" s="39" t="n">
        <v>0.2</v>
      </c>
      <c r="P292" s="102">
        <f>HYPERLINK("https://my.pitchbook.com?c=102672-46", "View company online")</f>
      </c>
    </row>
    <row r="293">
      <c r="A293" s="9" t="inlineStr">
        <is>
          <t>147471-58</t>
        </is>
      </c>
      <c r="B293" s="10" t="inlineStr">
        <is>
          <t>Wallis State Bank</t>
        </is>
      </c>
      <c r="C293" s="11" t="inlineStr">
        <is>
          <t/>
        </is>
      </c>
      <c r="D293" s="12" t="inlineStr">
        <is>
          <t/>
        </is>
      </c>
      <c r="E293" s="13" t="inlineStr">
        <is>
          <t/>
        </is>
      </c>
      <c r="F293" s="14" t="inlineStr">
        <is>
          <t/>
        </is>
      </c>
      <c r="G293" s="15" t="inlineStr">
        <is>
          <t/>
        </is>
      </c>
      <c r="H293" s="16" t="inlineStr">
        <is>
          <t/>
        </is>
      </c>
      <c r="I293" s="17" t="inlineStr">
        <is>
          <t/>
        </is>
      </c>
      <c r="J293" s="18" t="inlineStr">
        <is>
          <t/>
        </is>
      </c>
      <c r="K293" s="19" t="inlineStr">
        <is>
          <t>Privately Held (backing)</t>
        </is>
      </c>
      <c r="L293" s="20" t="inlineStr">
        <is>
          <t>Angel-Backed</t>
        </is>
      </c>
      <c r="M293" s="21" t="n">
        <v>42628.0</v>
      </c>
      <c r="N293" s="22" t="inlineStr">
        <is>
          <t>Angel (individual)</t>
        </is>
      </c>
      <c r="O293" s="23" t="n">
        <v>4.0</v>
      </c>
      <c r="P293" s="101">
        <f>HYPERLINK("https://my.pitchbook.com?c=147471-58", "View company online")</f>
      </c>
    </row>
    <row r="294">
      <c r="A294" s="25" t="inlineStr">
        <is>
          <t>88038-64</t>
        </is>
      </c>
      <c r="B294" s="26" t="inlineStr">
        <is>
          <t>Wallie</t>
        </is>
      </c>
      <c r="C294" s="27" t="inlineStr">
        <is>
          <t/>
        </is>
      </c>
      <c r="D294" s="28" t="inlineStr">
        <is>
          <t/>
        </is>
      </c>
      <c r="E294" s="29" t="inlineStr">
        <is>
          <t/>
        </is>
      </c>
      <c r="F294" s="30" t="inlineStr">
        <is>
          <t/>
        </is>
      </c>
      <c r="G294" s="31" t="inlineStr">
        <is>
          <t/>
        </is>
      </c>
      <c r="H294" s="32" t="inlineStr">
        <is>
          <t/>
        </is>
      </c>
      <c r="I294" s="33" t="inlineStr">
        <is>
          <t/>
        </is>
      </c>
      <c r="J294" s="34" t="inlineStr">
        <is>
          <t/>
        </is>
      </c>
      <c r="K294" s="35" t="inlineStr">
        <is>
          <t>Privately Held (backing)</t>
        </is>
      </c>
      <c r="L294" s="36" t="inlineStr">
        <is>
          <t>Accelerator/Incubator Backed</t>
        </is>
      </c>
      <c r="M294" s="37" t="n">
        <v>41642.0</v>
      </c>
      <c r="N294" s="38" t="inlineStr">
        <is>
          <t>Accelerator/Incubator</t>
        </is>
      </c>
      <c r="O294" s="39" t="n">
        <v>0.03</v>
      </c>
      <c r="P294" s="102">
        <f>HYPERLINK("https://my.pitchbook.com?c=88038-64", "View company online")</f>
      </c>
    </row>
    <row r="295">
      <c r="A295" s="9" t="inlineStr">
        <is>
          <t>91292-77</t>
        </is>
      </c>
      <c r="B295" s="10" t="inlineStr">
        <is>
          <t>Walla</t>
        </is>
      </c>
      <c r="C295" s="11" t="inlineStr">
        <is>
          <t/>
        </is>
      </c>
      <c r="D295" s="12" t="inlineStr">
        <is>
          <t/>
        </is>
      </c>
      <c r="E295" s="13" t="inlineStr">
        <is>
          <t/>
        </is>
      </c>
      <c r="F295" s="14" t="inlineStr">
        <is>
          <t/>
        </is>
      </c>
      <c r="G295" s="15" t="inlineStr">
        <is>
          <t/>
        </is>
      </c>
      <c r="H295" s="16" t="inlineStr">
        <is>
          <t/>
        </is>
      </c>
      <c r="I295" s="17" t="inlineStr">
        <is>
          <t/>
        </is>
      </c>
      <c r="J295" s="18" t="inlineStr">
        <is>
          <t/>
        </is>
      </c>
      <c r="K295" s="19" t="inlineStr">
        <is>
          <t>Privately Held (backing)</t>
        </is>
      </c>
      <c r="L295" s="20" t="inlineStr">
        <is>
          <t>Angel-Backed</t>
        </is>
      </c>
      <c r="M295" s="21" t="n">
        <v>41077.0</v>
      </c>
      <c r="N295" s="22" t="inlineStr">
        <is>
          <t>Seed Round</t>
        </is>
      </c>
      <c r="O295" s="23" t="n">
        <v>0.65</v>
      </c>
      <c r="P295" s="101">
        <f>HYPERLINK("https://my.pitchbook.com?c=91292-77", "View company online")</f>
      </c>
    </row>
    <row r="296">
      <c r="A296" s="25" t="inlineStr">
        <is>
          <t>152058-52</t>
        </is>
      </c>
      <c r="B296" s="26" t="inlineStr">
        <is>
          <t>WaiveCar</t>
        </is>
      </c>
      <c r="C296" s="27" t="inlineStr">
        <is>
          <t/>
        </is>
      </c>
      <c r="D296" s="28" t="inlineStr">
        <is>
          <t/>
        </is>
      </c>
      <c r="E296" s="29" t="inlineStr">
        <is>
          <t>FY 2018</t>
        </is>
      </c>
      <c r="F296" s="30" t="n">
        <v>2.1</v>
      </c>
      <c r="G296" s="31" t="inlineStr">
        <is>
          <t/>
        </is>
      </c>
      <c r="H296" s="32" t="inlineStr">
        <is>
          <t/>
        </is>
      </c>
      <c r="I296" s="33" t="inlineStr">
        <is>
          <t/>
        </is>
      </c>
      <c r="J296" s="34" t="inlineStr">
        <is>
          <t/>
        </is>
      </c>
      <c r="K296" s="35" t="inlineStr">
        <is>
          <t>Privately Held (backing)</t>
        </is>
      </c>
      <c r="L296" s="36" t="inlineStr">
        <is>
          <t>Angel-Backed</t>
        </is>
      </c>
      <c r="M296" s="37" t="n">
        <v>42856.0</v>
      </c>
      <c r="N296" s="38" t="inlineStr">
        <is>
          <t>Seed Round</t>
        </is>
      </c>
      <c r="O296" s="39" t="inlineStr">
        <is>
          <t/>
        </is>
      </c>
      <c r="P296" s="102">
        <f>HYPERLINK("https://my.pitchbook.com?c=152058-52", "View company online")</f>
      </c>
    </row>
    <row r="297">
      <c r="A297" s="9" t="inlineStr">
        <is>
          <t>152734-69</t>
        </is>
      </c>
      <c r="B297" s="10" t="inlineStr">
        <is>
          <t>WageSpot</t>
        </is>
      </c>
      <c r="C297" s="11" t="inlineStr">
        <is>
          <t/>
        </is>
      </c>
      <c r="D297" s="12" t="inlineStr">
        <is>
          <t/>
        </is>
      </c>
      <c r="E297" s="13" t="inlineStr">
        <is>
          <t/>
        </is>
      </c>
      <c r="F297" s="14" t="inlineStr">
        <is>
          <t/>
        </is>
      </c>
      <c r="G297" s="15" t="inlineStr">
        <is>
          <t/>
        </is>
      </c>
      <c r="H297" s="16" t="inlineStr">
        <is>
          <t/>
        </is>
      </c>
      <c r="I297" s="17" t="inlineStr">
        <is>
          <t/>
        </is>
      </c>
      <c r="J297" s="18" t="inlineStr">
        <is>
          <t/>
        </is>
      </c>
      <c r="K297" s="19" t="inlineStr">
        <is>
          <t>Privately Held (backing)</t>
        </is>
      </c>
      <c r="L297" s="20" t="inlineStr">
        <is>
          <t>Angel-Backed</t>
        </is>
      </c>
      <c r="M297" s="21" t="n">
        <v>42328.0</v>
      </c>
      <c r="N297" s="22" t="inlineStr">
        <is>
          <t>Product Crowdfunding</t>
        </is>
      </c>
      <c r="O297" s="23" t="n">
        <v>0.01</v>
      </c>
      <c r="P297" s="101">
        <f>HYPERLINK("https://my.pitchbook.com?c=152734-69", "View company online")</f>
      </c>
    </row>
    <row r="298">
      <c r="A298" s="25" t="inlineStr">
        <is>
          <t>166745-53</t>
        </is>
      </c>
      <c r="B298" s="26" t="inlineStr">
        <is>
          <t>WageKick</t>
        </is>
      </c>
      <c r="C298" s="27" t="inlineStr">
        <is>
          <t/>
        </is>
      </c>
      <c r="D298" s="28" t="inlineStr">
        <is>
          <t/>
        </is>
      </c>
      <c r="E298" s="29" t="inlineStr">
        <is>
          <t/>
        </is>
      </c>
      <c r="F298" s="30" t="inlineStr">
        <is>
          <t/>
        </is>
      </c>
      <c r="G298" s="31" t="inlineStr">
        <is>
          <t/>
        </is>
      </c>
      <c r="H298" s="32" t="inlineStr">
        <is>
          <t/>
        </is>
      </c>
      <c r="I298" s="33" t="inlineStr">
        <is>
          <t/>
        </is>
      </c>
      <c r="J298" s="34" t="inlineStr">
        <is>
          <t/>
        </is>
      </c>
      <c r="K298" s="35" t="inlineStr">
        <is>
          <t>Privately Held (backing)</t>
        </is>
      </c>
      <c r="L298" s="36" t="inlineStr">
        <is>
          <t>Accelerator/Incubator Backed</t>
        </is>
      </c>
      <c r="M298" s="37" t="n">
        <v>42594.0</v>
      </c>
      <c r="N298" s="38" t="inlineStr">
        <is>
          <t>Accelerator/Incubator</t>
        </is>
      </c>
      <c r="O298" s="39" t="n">
        <v>0.02</v>
      </c>
      <c r="P298" s="102">
        <f>HYPERLINK("https://my.pitchbook.com?c=166745-53", "View company online")</f>
      </c>
    </row>
    <row r="299">
      <c r="A299" s="9" t="inlineStr">
        <is>
          <t>174294-01</t>
        </is>
      </c>
      <c r="B299" s="10" t="inlineStr">
        <is>
          <t>VYRL</t>
        </is>
      </c>
      <c r="C299" s="77">
        <f>HYPERLINK("https://my.pitchbook.com?rrp=174294-01&amp;type=c", "This Company's information is not available to download. Need this Company? Request availability")</f>
      </c>
      <c r="D299" s="12" t="inlineStr">
        <is>
          <t/>
        </is>
      </c>
      <c r="E299" s="13" t="inlineStr">
        <is>
          <t/>
        </is>
      </c>
      <c r="F299" s="14" t="inlineStr">
        <is>
          <t/>
        </is>
      </c>
      <c r="G299" s="15" t="inlineStr">
        <is>
          <t/>
        </is>
      </c>
      <c r="H299" s="16" t="inlineStr">
        <is>
          <t/>
        </is>
      </c>
      <c r="I299" s="17" t="inlineStr">
        <is>
          <t/>
        </is>
      </c>
      <c r="J299" s="18" t="inlineStr">
        <is>
          <t/>
        </is>
      </c>
      <c r="K299" s="19" t="inlineStr">
        <is>
          <t/>
        </is>
      </c>
      <c r="L299" s="20" t="inlineStr">
        <is>
          <t/>
        </is>
      </c>
      <c r="M299" s="21" t="inlineStr">
        <is>
          <t/>
        </is>
      </c>
      <c r="N299" s="22" t="inlineStr">
        <is>
          <t/>
        </is>
      </c>
      <c r="O299" s="23" t="inlineStr">
        <is>
          <t/>
        </is>
      </c>
      <c r="P299" s="24" t="inlineStr">
        <is>
          <t/>
        </is>
      </c>
    </row>
    <row r="300">
      <c r="A300" s="25" t="inlineStr">
        <is>
          <t>120315-79</t>
        </is>
      </c>
      <c r="B300" s="26" t="inlineStr">
        <is>
          <t>Vyrill</t>
        </is>
      </c>
      <c r="C300" s="27" t="inlineStr">
        <is>
          <t/>
        </is>
      </c>
      <c r="D300" s="28" t="inlineStr">
        <is>
          <t/>
        </is>
      </c>
      <c r="E300" s="29" t="inlineStr">
        <is>
          <t/>
        </is>
      </c>
      <c r="F300" s="30" t="inlineStr">
        <is>
          <t/>
        </is>
      </c>
      <c r="G300" s="31" t="inlineStr">
        <is>
          <t/>
        </is>
      </c>
      <c r="H300" s="32" t="inlineStr">
        <is>
          <t/>
        </is>
      </c>
      <c r="I300" s="33" t="inlineStr">
        <is>
          <t/>
        </is>
      </c>
      <c r="J300" s="34" t="inlineStr">
        <is>
          <t/>
        </is>
      </c>
      <c r="K300" s="35" t="inlineStr">
        <is>
          <t>Privately Held (backing)</t>
        </is>
      </c>
      <c r="L300" s="36" t="inlineStr">
        <is>
          <t>Accelerator/Incubator Backed</t>
        </is>
      </c>
      <c r="M300" s="37" t="n">
        <v>42767.0</v>
      </c>
      <c r="N300" s="38" t="inlineStr">
        <is>
          <t>Accelerator/Incubator</t>
        </is>
      </c>
      <c r="O300" s="39" t="n">
        <v>0.02</v>
      </c>
      <c r="P300" s="102">
        <f>HYPERLINK("https://my.pitchbook.com?c=120315-79", "View company online")</f>
      </c>
    </row>
    <row r="301">
      <c r="A301" s="9" t="inlineStr">
        <is>
          <t>173053-00</t>
        </is>
      </c>
      <c r="B301" s="10" t="inlineStr">
        <is>
          <t>Vyoocam</t>
        </is>
      </c>
      <c r="C301" s="77">
        <f>HYPERLINK("https://my.pitchbook.com?rrp=173053-00&amp;type=c", "This Company's information is not available to download. Need this Company? Request availability")</f>
      </c>
      <c r="D301" s="12" t="inlineStr">
        <is>
          <t/>
        </is>
      </c>
      <c r="E301" s="13" t="inlineStr">
        <is>
          <t/>
        </is>
      </c>
      <c r="F301" s="14" t="inlineStr">
        <is>
          <t/>
        </is>
      </c>
      <c r="G301" s="15" t="inlineStr">
        <is>
          <t/>
        </is>
      </c>
      <c r="H301" s="16" t="inlineStr">
        <is>
          <t/>
        </is>
      </c>
      <c r="I301" s="17" t="inlineStr">
        <is>
          <t/>
        </is>
      </c>
      <c r="J301" s="18" t="inlineStr">
        <is>
          <t/>
        </is>
      </c>
      <c r="K301" s="19" t="inlineStr">
        <is>
          <t/>
        </is>
      </c>
      <c r="L301" s="20" t="inlineStr">
        <is>
          <t/>
        </is>
      </c>
      <c r="M301" s="21" t="inlineStr">
        <is>
          <t/>
        </is>
      </c>
      <c r="N301" s="22" t="inlineStr">
        <is>
          <t/>
        </is>
      </c>
      <c r="O301" s="23" t="inlineStr">
        <is>
          <t/>
        </is>
      </c>
      <c r="P301" s="24" t="inlineStr">
        <is>
          <t/>
        </is>
      </c>
    </row>
    <row r="302">
      <c r="A302" s="25" t="inlineStr">
        <is>
          <t>174923-56</t>
        </is>
      </c>
      <c r="B302" s="26" t="inlineStr">
        <is>
          <t>vushaper</t>
        </is>
      </c>
      <c r="C302" s="78">
        <f>HYPERLINK("https://my.pitchbook.com?rrp=174923-56&amp;type=c", "This Company's information is not available to download. Need this Company? Request availability")</f>
      </c>
      <c r="D302" s="28" t="inlineStr">
        <is>
          <t/>
        </is>
      </c>
      <c r="E302" s="29" t="inlineStr">
        <is>
          <t/>
        </is>
      </c>
      <c r="F302" s="30" t="inlineStr">
        <is>
          <t/>
        </is>
      </c>
      <c r="G302" s="31" t="inlineStr">
        <is>
          <t/>
        </is>
      </c>
      <c r="H302" s="32" t="inlineStr">
        <is>
          <t/>
        </is>
      </c>
      <c r="I302" s="33" t="inlineStr">
        <is>
          <t/>
        </is>
      </c>
      <c r="J302" s="34" t="inlineStr">
        <is>
          <t/>
        </is>
      </c>
      <c r="K302" s="35" t="inlineStr">
        <is>
          <t/>
        </is>
      </c>
      <c r="L302" s="36" t="inlineStr">
        <is>
          <t/>
        </is>
      </c>
      <c r="M302" s="37" t="inlineStr">
        <is>
          <t/>
        </is>
      </c>
      <c r="N302" s="38" t="inlineStr">
        <is>
          <t/>
        </is>
      </c>
      <c r="O302" s="39" t="inlineStr">
        <is>
          <t/>
        </is>
      </c>
      <c r="P302" s="40" t="inlineStr">
        <is>
          <t/>
        </is>
      </c>
    </row>
    <row r="303">
      <c r="A303" s="9" t="inlineStr">
        <is>
          <t>157954-78</t>
        </is>
      </c>
      <c r="B303" s="10" t="inlineStr">
        <is>
          <t>Vuori</t>
        </is>
      </c>
      <c r="C303" s="11" t="inlineStr">
        <is>
          <t/>
        </is>
      </c>
      <c r="D303" s="12" t="inlineStr">
        <is>
          <t/>
        </is>
      </c>
      <c r="E303" s="13" t="inlineStr">
        <is>
          <t/>
        </is>
      </c>
      <c r="F303" s="14" t="inlineStr">
        <is>
          <t/>
        </is>
      </c>
      <c r="G303" s="15" t="inlineStr">
        <is>
          <t/>
        </is>
      </c>
      <c r="H303" s="16" t="inlineStr">
        <is>
          <t/>
        </is>
      </c>
      <c r="I303" s="17" t="inlineStr">
        <is>
          <t/>
        </is>
      </c>
      <c r="J303" s="18" t="inlineStr">
        <is>
          <t/>
        </is>
      </c>
      <c r="K303" s="19" t="inlineStr">
        <is>
          <t>Privately Held (backing)</t>
        </is>
      </c>
      <c r="L303" s="20" t="inlineStr">
        <is>
          <t>Angel-Backed</t>
        </is>
      </c>
      <c r="M303" s="21" t="n">
        <v>42486.0</v>
      </c>
      <c r="N303" s="22" t="inlineStr">
        <is>
          <t>Angel (individual)</t>
        </is>
      </c>
      <c r="O303" s="23" t="n">
        <v>2.2</v>
      </c>
      <c r="P303" s="101">
        <f>HYPERLINK("https://my.pitchbook.com?c=157954-78", "View company online")</f>
      </c>
    </row>
    <row r="304">
      <c r="A304" s="25" t="inlineStr">
        <is>
          <t>103489-66</t>
        </is>
      </c>
      <c r="B304" s="26" t="inlineStr">
        <is>
          <t>VuMedi</t>
        </is>
      </c>
      <c r="C304" s="27" t="inlineStr">
        <is>
          <t/>
        </is>
      </c>
      <c r="D304" s="28" t="inlineStr">
        <is>
          <t/>
        </is>
      </c>
      <c r="E304" s="29" t="inlineStr">
        <is>
          <t/>
        </is>
      </c>
      <c r="F304" s="30" t="inlineStr">
        <is>
          <t/>
        </is>
      </c>
      <c r="G304" s="31" t="inlineStr">
        <is>
          <t/>
        </is>
      </c>
      <c r="H304" s="32" t="inlineStr">
        <is>
          <t/>
        </is>
      </c>
      <c r="I304" s="33" t="inlineStr">
        <is>
          <t/>
        </is>
      </c>
      <c r="J304" s="34" t="inlineStr">
        <is>
          <t/>
        </is>
      </c>
      <c r="K304" s="35" t="inlineStr">
        <is>
          <t>Privately Held (backing)</t>
        </is>
      </c>
      <c r="L304" s="36" t="inlineStr">
        <is>
          <t>Angel-Backed</t>
        </is>
      </c>
      <c r="M304" s="37" t="n">
        <v>41148.0</v>
      </c>
      <c r="N304" s="38" t="inlineStr">
        <is>
          <t>Seed Round</t>
        </is>
      </c>
      <c r="O304" s="39" t="n">
        <v>0.83</v>
      </c>
      <c r="P304" s="102">
        <f>HYPERLINK("https://my.pitchbook.com?c=103489-66", "View company online")</f>
      </c>
    </row>
    <row r="305">
      <c r="A305" s="9" t="inlineStr">
        <is>
          <t>104256-10</t>
        </is>
      </c>
      <c r="B305" s="10" t="inlineStr">
        <is>
          <t>Vumanity Media</t>
        </is>
      </c>
      <c r="C305" s="11" t="inlineStr">
        <is>
          <t/>
        </is>
      </c>
      <c r="D305" s="12" t="inlineStr">
        <is>
          <t/>
        </is>
      </c>
      <c r="E305" s="13" t="inlineStr">
        <is>
          <t/>
        </is>
      </c>
      <c r="F305" s="14" t="inlineStr">
        <is>
          <t/>
        </is>
      </c>
      <c r="G305" s="15" t="inlineStr">
        <is>
          <t/>
        </is>
      </c>
      <c r="H305" s="16" t="inlineStr">
        <is>
          <t/>
        </is>
      </c>
      <c r="I305" s="17" t="inlineStr">
        <is>
          <t/>
        </is>
      </c>
      <c r="J305" s="18" t="inlineStr">
        <is>
          <t/>
        </is>
      </c>
      <c r="K305" s="19" t="inlineStr">
        <is>
          <t>Privately Held (backing)</t>
        </is>
      </c>
      <c r="L305" s="20" t="inlineStr">
        <is>
          <t>Angel-Backed</t>
        </is>
      </c>
      <c r="M305" s="21" t="n">
        <v>40283.0</v>
      </c>
      <c r="N305" s="22" t="inlineStr">
        <is>
          <t>Convertible Debt</t>
        </is>
      </c>
      <c r="O305" s="23" t="n">
        <v>0.73</v>
      </c>
      <c r="P305" s="101">
        <f>HYPERLINK("https://my.pitchbook.com?c=104256-10", "View company online")</f>
      </c>
    </row>
    <row r="306">
      <c r="A306" s="25" t="inlineStr">
        <is>
          <t>119222-65</t>
        </is>
      </c>
      <c r="B306" s="26" t="inlineStr">
        <is>
          <t>Vulletin</t>
        </is>
      </c>
      <c r="C306" s="27" t="inlineStr">
        <is>
          <t/>
        </is>
      </c>
      <c r="D306" s="28" t="inlineStr">
        <is>
          <t/>
        </is>
      </c>
      <c r="E306" s="29" t="inlineStr">
        <is>
          <t/>
        </is>
      </c>
      <c r="F306" s="30" t="inlineStr">
        <is>
          <t/>
        </is>
      </c>
      <c r="G306" s="31" t="inlineStr">
        <is>
          <t/>
        </is>
      </c>
      <c r="H306" s="32" t="inlineStr">
        <is>
          <t/>
        </is>
      </c>
      <c r="I306" s="33" t="inlineStr">
        <is>
          <t/>
        </is>
      </c>
      <c r="J306" s="34" t="inlineStr">
        <is>
          <t/>
        </is>
      </c>
      <c r="K306" s="35" t="inlineStr">
        <is>
          <t>Privately Held (backing)</t>
        </is>
      </c>
      <c r="L306" s="36" t="inlineStr">
        <is>
          <t>Accelerator/Incubator Backed</t>
        </is>
      </c>
      <c r="M306" s="37" t="n">
        <v>42144.0</v>
      </c>
      <c r="N306" s="38" t="inlineStr">
        <is>
          <t>Accelerator/Incubator</t>
        </is>
      </c>
      <c r="O306" s="39" t="inlineStr">
        <is>
          <t/>
        </is>
      </c>
      <c r="P306" s="102">
        <f>HYPERLINK("https://my.pitchbook.com?c=119222-65", "View company online")</f>
      </c>
    </row>
    <row r="307">
      <c r="A307" s="9" t="inlineStr">
        <is>
          <t>104778-91</t>
        </is>
      </c>
      <c r="B307" s="10" t="inlineStr">
        <is>
          <t>Vufind</t>
        </is>
      </c>
      <c r="C307" s="11" t="inlineStr">
        <is>
          <t/>
        </is>
      </c>
      <c r="D307" s="12" t="inlineStr">
        <is>
          <t/>
        </is>
      </c>
      <c r="E307" s="13" t="inlineStr">
        <is>
          <t/>
        </is>
      </c>
      <c r="F307" s="14" t="inlineStr">
        <is>
          <t/>
        </is>
      </c>
      <c r="G307" s="15" t="inlineStr">
        <is>
          <t/>
        </is>
      </c>
      <c r="H307" s="16" t="inlineStr">
        <is>
          <t/>
        </is>
      </c>
      <c r="I307" s="17" t="inlineStr">
        <is>
          <t/>
        </is>
      </c>
      <c r="J307" s="18" t="inlineStr">
        <is>
          <t/>
        </is>
      </c>
      <c r="K307" s="19" t="inlineStr">
        <is>
          <t>Privately Held (backing)</t>
        </is>
      </c>
      <c r="L307" s="20" t="inlineStr">
        <is>
          <t>Angel-Backed</t>
        </is>
      </c>
      <c r="M307" s="21" t="n">
        <v>41091.0</v>
      </c>
      <c r="N307" s="22" t="inlineStr">
        <is>
          <t>Seed Round</t>
        </is>
      </c>
      <c r="O307" s="23" t="n">
        <v>0.5</v>
      </c>
      <c r="P307" s="101">
        <f>HYPERLINK("https://my.pitchbook.com?c=104778-91", "View company online")</f>
      </c>
    </row>
    <row r="308">
      <c r="A308" s="25" t="inlineStr">
        <is>
          <t>168597-46</t>
        </is>
      </c>
      <c r="B308" s="26" t="inlineStr">
        <is>
          <t>Vue (Smart Glasses)</t>
        </is>
      </c>
      <c r="C308" s="27" t="inlineStr">
        <is>
          <t/>
        </is>
      </c>
      <c r="D308" s="28" t="inlineStr">
        <is>
          <t/>
        </is>
      </c>
      <c r="E308" s="29" t="inlineStr">
        <is>
          <t/>
        </is>
      </c>
      <c r="F308" s="30" t="inlineStr">
        <is>
          <t/>
        </is>
      </c>
      <c r="G308" s="31" t="inlineStr">
        <is>
          <t/>
        </is>
      </c>
      <c r="H308" s="32" t="inlineStr">
        <is>
          <t/>
        </is>
      </c>
      <c r="I308" s="33" t="inlineStr">
        <is>
          <t/>
        </is>
      </c>
      <c r="J308" s="34" t="inlineStr">
        <is>
          <t/>
        </is>
      </c>
      <c r="K308" s="35" t="inlineStr">
        <is>
          <t>Privately Held (backing)</t>
        </is>
      </c>
      <c r="L308" s="36" t="inlineStr">
        <is>
          <t>Accelerator/Incubator Backed</t>
        </is>
      </c>
      <c r="M308" s="37" t="n">
        <v>42714.0</v>
      </c>
      <c r="N308" s="38" t="inlineStr">
        <is>
          <t>Product Crowdfunding</t>
        </is>
      </c>
      <c r="O308" s="39" t="n">
        <v>2.22</v>
      </c>
      <c r="P308" s="102">
        <f>HYPERLINK("https://my.pitchbook.com?c=168597-46", "View company online")</f>
      </c>
    </row>
    <row r="309">
      <c r="A309" s="9" t="inlineStr">
        <is>
          <t>153749-17</t>
        </is>
      </c>
      <c r="B309" s="10" t="inlineStr">
        <is>
          <t>Vubiq Networks</t>
        </is>
      </c>
      <c r="C309" s="11" t="inlineStr">
        <is>
          <t/>
        </is>
      </c>
      <c r="D309" s="12" t="inlineStr">
        <is>
          <t/>
        </is>
      </c>
      <c r="E309" s="13" t="inlineStr">
        <is>
          <t/>
        </is>
      </c>
      <c r="F309" s="14" t="inlineStr">
        <is>
          <t/>
        </is>
      </c>
      <c r="G309" s="15" t="inlineStr">
        <is>
          <t/>
        </is>
      </c>
      <c r="H309" s="16" t="inlineStr">
        <is>
          <t/>
        </is>
      </c>
      <c r="I309" s="17" t="inlineStr">
        <is>
          <t/>
        </is>
      </c>
      <c r="J309" s="18" t="inlineStr">
        <is>
          <t/>
        </is>
      </c>
      <c r="K309" s="19" t="inlineStr">
        <is>
          <t>Privately Held (backing)</t>
        </is>
      </c>
      <c r="L309" s="20" t="inlineStr">
        <is>
          <t>Angel-Backed</t>
        </is>
      </c>
      <c r="M309" s="21" t="n">
        <v>41941.0</v>
      </c>
      <c r="N309" s="22" t="inlineStr">
        <is>
          <t>Angel (individual)</t>
        </is>
      </c>
      <c r="O309" s="23" t="inlineStr">
        <is>
          <t/>
        </is>
      </c>
      <c r="P309" s="101">
        <f>HYPERLINK("https://my.pitchbook.com?c=153749-17", "View company online")</f>
      </c>
    </row>
    <row r="310">
      <c r="A310" s="25" t="inlineStr">
        <is>
          <t>156553-03</t>
        </is>
      </c>
      <c r="B310" s="26" t="inlineStr">
        <is>
          <t>V-Sense Medical Devices</t>
        </is>
      </c>
      <c r="C310" s="27" t="inlineStr">
        <is>
          <t/>
        </is>
      </c>
      <c r="D310" s="28" t="inlineStr">
        <is>
          <t/>
        </is>
      </c>
      <c r="E310" s="29" t="inlineStr">
        <is>
          <t/>
        </is>
      </c>
      <c r="F310" s="30" t="inlineStr">
        <is>
          <t/>
        </is>
      </c>
      <c r="G310" s="31" t="inlineStr">
        <is>
          <t/>
        </is>
      </c>
      <c r="H310" s="32" t="inlineStr">
        <is>
          <t/>
        </is>
      </c>
      <c r="I310" s="33" t="inlineStr">
        <is>
          <t/>
        </is>
      </c>
      <c r="J310" s="34" t="inlineStr">
        <is>
          <t/>
        </is>
      </c>
      <c r="K310" s="35" t="inlineStr">
        <is>
          <t>Privately Held (backing)</t>
        </is>
      </c>
      <c r="L310" s="36" t="inlineStr">
        <is>
          <t>Accelerator/Incubator Backed</t>
        </is>
      </c>
      <c r="M310" s="37" t="n">
        <v>42542.0</v>
      </c>
      <c r="N310" s="38" t="inlineStr">
        <is>
          <t>Accelerator/Incubator</t>
        </is>
      </c>
      <c r="O310" s="39" t="inlineStr">
        <is>
          <t/>
        </is>
      </c>
      <c r="P310" s="102">
        <f>HYPERLINK("https://my.pitchbook.com?c=156553-03", "View company online")</f>
      </c>
    </row>
    <row r="311">
      <c r="A311" s="9" t="inlineStr">
        <is>
          <t>180397-90</t>
        </is>
      </c>
      <c r="B311" s="10" t="inlineStr">
        <is>
          <t>VRGluv</t>
        </is>
      </c>
      <c r="C311" s="77">
        <f>HYPERLINK("https://my.pitchbook.com?rrp=180397-90&amp;type=c", "This Company's information is not available to download. Need this Company? Request availability")</f>
      </c>
      <c r="D311" s="12" t="inlineStr">
        <is>
          <t/>
        </is>
      </c>
      <c r="E311" s="13" t="inlineStr">
        <is>
          <t/>
        </is>
      </c>
      <c r="F311" s="14" t="inlineStr">
        <is>
          <t/>
        </is>
      </c>
      <c r="G311" s="15" t="inlineStr">
        <is>
          <t/>
        </is>
      </c>
      <c r="H311" s="16" t="inlineStr">
        <is>
          <t/>
        </is>
      </c>
      <c r="I311" s="17" t="inlineStr">
        <is>
          <t/>
        </is>
      </c>
      <c r="J311" s="18" t="inlineStr">
        <is>
          <t/>
        </is>
      </c>
      <c r="K311" s="19" t="inlineStr">
        <is>
          <t/>
        </is>
      </c>
      <c r="L311" s="20" t="inlineStr">
        <is>
          <t/>
        </is>
      </c>
      <c r="M311" s="21" t="inlineStr">
        <is>
          <t/>
        </is>
      </c>
      <c r="N311" s="22" t="inlineStr">
        <is>
          <t/>
        </is>
      </c>
      <c r="O311" s="23" t="inlineStr">
        <is>
          <t/>
        </is>
      </c>
      <c r="P311" s="24" t="inlineStr">
        <is>
          <t/>
        </is>
      </c>
    </row>
    <row r="312">
      <c r="A312" s="25" t="inlineStr">
        <is>
          <t>174053-26</t>
        </is>
      </c>
      <c r="B312" s="26" t="inlineStr">
        <is>
          <t>Vrentin</t>
        </is>
      </c>
      <c r="C312" s="78">
        <f>HYPERLINK("https://my.pitchbook.com?rrp=174053-26&amp;type=c", "This Company's information is not available to download. Need this Company? Request availability")</f>
      </c>
      <c r="D312" s="28" t="inlineStr">
        <is>
          <t/>
        </is>
      </c>
      <c r="E312" s="29" t="inlineStr">
        <is>
          <t/>
        </is>
      </c>
      <c r="F312" s="30" t="inlineStr">
        <is>
          <t/>
        </is>
      </c>
      <c r="G312" s="31" t="inlineStr">
        <is>
          <t/>
        </is>
      </c>
      <c r="H312" s="32" t="inlineStr">
        <is>
          <t/>
        </is>
      </c>
      <c r="I312" s="33" t="inlineStr">
        <is>
          <t/>
        </is>
      </c>
      <c r="J312" s="34" t="inlineStr">
        <is>
          <t/>
        </is>
      </c>
      <c r="K312" s="35" t="inlineStr">
        <is>
          <t/>
        </is>
      </c>
      <c r="L312" s="36" t="inlineStr">
        <is>
          <t/>
        </is>
      </c>
      <c r="M312" s="37" t="inlineStr">
        <is>
          <t/>
        </is>
      </c>
      <c r="N312" s="38" t="inlineStr">
        <is>
          <t/>
        </is>
      </c>
      <c r="O312" s="39" t="inlineStr">
        <is>
          <t/>
        </is>
      </c>
      <c r="P312" s="40" t="inlineStr">
        <is>
          <t/>
        </is>
      </c>
    </row>
    <row r="313">
      <c r="A313" s="9" t="inlineStr">
        <is>
          <t>172411-93</t>
        </is>
      </c>
      <c r="B313" s="10" t="inlineStr">
        <is>
          <t>Vrenergy</t>
        </is>
      </c>
      <c r="C313" s="77">
        <f>HYPERLINK("https://my.pitchbook.com?rrp=172411-93&amp;type=c", "This Company's information is not available to download. Need this Company? Request availability")</f>
      </c>
      <c r="D313" s="12" t="inlineStr">
        <is>
          <t/>
        </is>
      </c>
      <c r="E313" s="13" t="inlineStr">
        <is>
          <t/>
        </is>
      </c>
      <c r="F313" s="14" t="inlineStr">
        <is>
          <t/>
        </is>
      </c>
      <c r="G313" s="15" t="inlineStr">
        <is>
          <t/>
        </is>
      </c>
      <c r="H313" s="16" t="inlineStr">
        <is>
          <t/>
        </is>
      </c>
      <c r="I313" s="17" t="inlineStr">
        <is>
          <t/>
        </is>
      </c>
      <c r="J313" s="18" t="inlineStr">
        <is>
          <t/>
        </is>
      </c>
      <c r="K313" s="19" t="inlineStr">
        <is>
          <t/>
        </is>
      </c>
      <c r="L313" s="20" t="inlineStr">
        <is>
          <t/>
        </is>
      </c>
      <c r="M313" s="21" t="inlineStr">
        <is>
          <t/>
        </is>
      </c>
      <c r="N313" s="22" t="inlineStr">
        <is>
          <t/>
        </is>
      </c>
      <c r="O313" s="23" t="inlineStr">
        <is>
          <t/>
        </is>
      </c>
      <c r="P313" s="24" t="inlineStr">
        <is>
          <t/>
        </is>
      </c>
    </row>
    <row r="314">
      <c r="A314" s="25" t="inlineStr">
        <is>
          <t>171400-24</t>
        </is>
      </c>
      <c r="B314" s="26" t="inlineStr">
        <is>
          <t>VRCommerce</t>
        </is>
      </c>
      <c r="C314" s="78">
        <f>HYPERLINK("https://my.pitchbook.com?rrp=171400-24&amp;type=c", "This Company's information is not available to download. Need this Company? Request availability")</f>
      </c>
      <c r="D314" s="28" t="inlineStr">
        <is>
          <t/>
        </is>
      </c>
      <c r="E314" s="29" t="inlineStr">
        <is>
          <t/>
        </is>
      </c>
      <c r="F314" s="30" t="inlineStr">
        <is>
          <t/>
        </is>
      </c>
      <c r="G314" s="31" t="inlineStr">
        <is>
          <t/>
        </is>
      </c>
      <c r="H314" s="32" t="inlineStr">
        <is>
          <t/>
        </is>
      </c>
      <c r="I314" s="33" t="inlineStr">
        <is>
          <t/>
        </is>
      </c>
      <c r="J314" s="34" t="inlineStr">
        <is>
          <t/>
        </is>
      </c>
      <c r="K314" s="35" t="inlineStr">
        <is>
          <t/>
        </is>
      </c>
      <c r="L314" s="36" t="inlineStr">
        <is>
          <t/>
        </is>
      </c>
      <c r="M314" s="37" t="inlineStr">
        <is>
          <t/>
        </is>
      </c>
      <c r="N314" s="38" t="inlineStr">
        <is>
          <t/>
        </is>
      </c>
      <c r="O314" s="39" t="inlineStr">
        <is>
          <t/>
        </is>
      </c>
      <c r="P314" s="40" t="inlineStr">
        <is>
          <t/>
        </is>
      </c>
    </row>
    <row r="315">
      <c r="A315" s="9" t="inlineStr">
        <is>
          <t>103096-54</t>
        </is>
      </c>
      <c r="B315" s="10" t="inlineStr">
        <is>
          <t>vPersonalize</t>
        </is>
      </c>
      <c r="C315" s="11" t="inlineStr">
        <is>
          <t/>
        </is>
      </c>
      <c r="D315" s="12" t="inlineStr">
        <is>
          <t/>
        </is>
      </c>
      <c r="E315" s="13" t="inlineStr">
        <is>
          <t/>
        </is>
      </c>
      <c r="F315" s="14" t="inlineStr">
        <is>
          <t/>
        </is>
      </c>
      <c r="G315" s="15" t="inlineStr">
        <is>
          <t/>
        </is>
      </c>
      <c r="H315" s="16" t="inlineStr">
        <is>
          <t/>
        </is>
      </c>
      <c r="I315" s="17" t="inlineStr">
        <is>
          <t/>
        </is>
      </c>
      <c r="J315" s="18" t="inlineStr">
        <is>
          <t/>
        </is>
      </c>
      <c r="K315" s="19" t="inlineStr">
        <is>
          <t>Privately Held (backing)</t>
        </is>
      </c>
      <c r="L315" s="20" t="inlineStr">
        <is>
          <t>Angel-Backed</t>
        </is>
      </c>
      <c r="M315" s="21" t="n">
        <v>42167.0</v>
      </c>
      <c r="N315" s="22" t="inlineStr">
        <is>
          <t>Angel (individual)</t>
        </is>
      </c>
      <c r="O315" s="23" t="n">
        <v>2.0</v>
      </c>
      <c r="P315" s="101">
        <f>HYPERLINK("https://my.pitchbook.com?c=103096-54", "View company online")</f>
      </c>
    </row>
    <row r="316">
      <c r="A316" s="25" t="inlineStr">
        <is>
          <t>135179-20</t>
        </is>
      </c>
      <c r="B316" s="26" t="inlineStr">
        <is>
          <t>Voyaj</t>
        </is>
      </c>
      <c r="C316" s="27" t="inlineStr">
        <is>
          <t/>
        </is>
      </c>
      <c r="D316" s="28" t="inlineStr">
        <is>
          <t/>
        </is>
      </c>
      <c r="E316" s="29" t="inlineStr">
        <is>
          <t/>
        </is>
      </c>
      <c r="F316" s="30" t="inlineStr">
        <is>
          <t/>
        </is>
      </c>
      <c r="G316" s="31" t="inlineStr">
        <is>
          <t/>
        </is>
      </c>
      <c r="H316" s="32" t="inlineStr">
        <is>
          <t/>
        </is>
      </c>
      <c r="I316" s="33" t="inlineStr">
        <is>
          <t/>
        </is>
      </c>
      <c r="J316" s="34" t="inlineStr">
        <is>
          <t/>
        </is>
      </c>
      <c r="K316" s="35" t="inlineStr">
        <is>
          <t>Privately Held (backing)</t>
        </is>
      </c>
      <c r="L316" s="36" t="inlineStr">
        <is>
          <t>Accelerator/Incubator Backed</t>
        </is>
      </c>
      <c r="M316" s="37" t="n">
        <v>42125.0</v>
      </c>
      <c r="N316" s="38" t="inlineStr">
        <is>
          <t>Accelerator/Incubator</t>
        </is>
      </c>
      <c r="O316" s="39" t="n">
        <v>0.01</v>
      </c>
      <c r="P316" s="102">
        <f>HYPERLINK("https://my.pitchbook.com?c=135179-20", "View company online")</f>
      </c>
    </row>
    <row r="317">
      <c r="A317" s="9" t="inlineStr">
        <is>
          <t>121523-14</t>
        </is>
      </c>
      <c r="B317" s="10" t="inlineStr">
        <is>
          <t>Voxweb</t>
        </is>
      </c>
      <c r="C317" s="11" t="inlineStr">
        <is>
          <t/>
        </is>
      </c>
      <c r="D317" s="12" t="inlineStr">
        <is>
          <t/>
        </is>
      </c>
      <c r="E317" s="13" t="inlineStr">
        <is>
          <t/>
        </is>
      </c>
      <c r="F317" s="14" t="inlineStr">
        <is>
          <t/>
        </is>
      </c>
      <c r="G317" s="15" t="inlineStr">
        <is>
          <t/>
        </is>
      </c>
      <c r="H317" s="16" t="inlineStr">
        <is>
          <t/>
        </is>
      </c>
      <c r="I317" s="17" t="inlineStr">
        <is>
          <t/>
        </is>
      </c>
      <c r="J317" s="18" t="inlineStr">
        <is>
          <t/>
        </is>
      </c>
      <c r="K317" s="19" t="inlineStr">
        <is>
          <t>Privately Held (backing)</t>
        </is>
      </c>
      <c r="L317" s="20" t="inlineStr">
        <is>
          <t>Angel-Backed</t>
        </is>
      </c>
      <c r="M317" s="21" t="n">
        <v>42347.0</v>
      </c>
      <c r="N317" s="22" t="inlineStr">
        <is>
          <t>Angel (individual)</t>
        </is>
      </c>
      <c r="O317" s="23" t="n">
        <v>0.35</v>
      </c>
      <c r="P317" s="101">
        <f>HYPERLINK("https://my.pitchbook.com?c=121523-14", "View company online")</f>
      </c>
    </row>
    <row r="318">
      <c r="A318" s="25" t="inlineStr">
        <is>
          <t>163354-42</t>
        </is>
      </c>
      <c r="B318" s="26" t="inlineStr">
        <is>
          <t>Votion</t>
        </is>
      </c>
      <c r="C318" s="27" t="inlineStr">
        <is>
          <t/>
        </is>
      </c>
      <c r="D318" s="28" t="inlineStr">
        <is>
          <t/>
        </is>
      </c>
      <c r="E318" s="29" t="inlineStr">
        <is>
          <t/>
        </is>
      </c>
      <c r="F318" s="30" t="inlineStr">
        <is>
          <t/>
        </is>
      </c>
      <c r="G318" s="31" t="inlineStr">
        <is>
          <t/>
        </is>
      </c>
      <c r="H318" s="32" t="inlineStr">
        <is>
          <t/>
        </is>
      </c>
      <c r="I318" s="33" t="inlineStr">
        <is>
          <t/>
        </is>
      </c>
      <c r="J318" s="34" t="inlineStr">
        <is>
          <t/>
        </is>
      </c>
      <c r="K318" s="35" t="inlineStr">
        <is>
          <t>Privately Held (backing)</t>
        </is>
      </c>
      <c r="L318" s="36" t="inlineStr">
        <is>
          <t>Accelerator/Incubator Backed</t>
        </is>
      </c>
      <c r="M318" s="37" t="n">
        <v>42005.0</v>
      </c>
      <c r="N318" s="38" t="inlineStr">
        <is>
          <t>Accelerator/Incubator</t>
        </is>
      </c>
      <c r="O318" s="39" t="n">
        <v>0.25</v>
      </c>
      <c r="P318" s="102">
        <f>HYPERLINK("https://my.pitchbook.com?c=163354-42", "View company online")</f>
      </c>
    </row>
    <row r="319">
      <c r="A319" s="9" t="inlineStr">
        <is>
          <t>53837-11</t>
        </is>
      </c>
      <c r="B319" s="10" t="inlineStr">
        <is>
          <t>Votigo</t>
        </is>
      </c>
      <c r="C319" s="11" t="inlineStr">
        <is>
          <t/>
        </is>
      </c>
      <c r="D319" s="12" t="inlineStr">
        <is>
          <t/>
        </is>
      </c>
      <c r="E319" s="13" t="inlineStr">
        <is>
          <t>FY 2012</t>
        </is>
      </c>
      <c r="F319" s="14" t="n">
        <v>4.02</v>
      </c>
      <c r="G319" s="15" t="inlineStr">
        <is>
          <t/>
        </is>
      </c>
      <c r="H319" s="16" t="inlineStr">
        <is>
          <t/>
        </is>
      </c>
      <c r="I319" s="17" t="inlineStr">
        <is>
          <t/>
        </is>
      </c>
      <c r="J319" s="18" t="inlineStr">
        <is>
          <t/>
        </is>
      </c>
      <c r="K319" s="19" t="inlineStr">
        <is>
          <t>Privately Held (backing)</t>
        </is>
      </c>
      <c r="L319" s="20" t="inlineStr">
        <is>
          <t>Angel-Backed</t>
        </is>
      </c>
      <c r="M319" s="21" t="n">
        <v>39458.0</v>
      </c>
      <c r="N319" s="22" t="inlineStr">
        <is>
          <t>Angel (individual)</t>
        </is>
      </c>
      <c r="O319" s="23" t="n">
        <v>0.42</v>
      </c>
      <c r="P319" s="101">
        <f>HYPERLINK("https://my.pitchbook.com?c=53837-11", "View company online")</f>
      </c>
    </row>
    <row r="320">
      <c r="A320" s="25" t="inlineStr">
        <is>
          <t>101601-01</t>
        </is>
      </c>
      <c r="B320" s="26" t="inlineStr">
        <is>
          <t>Vote.org</t>
        </is>
      </c>
      <c r="C320" s="27" t="inlineStr">
        <is>
          <t/>
        </is>
      </c>
      <c r="D320" s="28" t="inlineStr">
        <is>
          <t/>
        </is>
      </c>
      <c r="E320" s="29" t="inlineStr">
        <is>
          <t/>
        </is>
      </c>
      <c r="F320" s="30" t="inlineStr">
        <is>
          <t/>
        </is>
      </c>
      <c r="G320" s="31" t="inlineStr">
        <is>
          <t/>
        </is>
      </c>
      <c r="H320" s="32" t="inlineStr">
        <is>
          <t/>
        </is>
      </c>
      <c r="I320" s="33" t="inlineStr">
        <is>
          <t/>
        </is>
      </c>
      <c r="J320" s="34" t="inlineStr">
        <is>
          <t/>
        </is>
      </c>
      <c r="K320" s="35" t="inlineStr">
        <is>
          <t>Privately Held (backing)</t>
        </is>
      </c>
      <c r="L320" s="36" t="inlineStr">
        <is>
          <t>Accelerator/Incubator Backed</t>
        </is>
      </c>
      <c r="M320" s="37" t="n">
        <v>42605.0</v>
      </c>
      <c r="N320" s="38" t="inlineStr">
        <is>
          <t>Accelerator/Incubator</t>
        </is>
      </c>
      <c r="O320" s="39" t="n">
        <v>0.12</v>
      </c>
      <c r="P320" s="102">
        <f>HYPERLINK("https://my.pitchbook.com?c=101601-01", "View company online")</f>
      </c>
    </row>
    <row r="321">
      <c r="A321" s="9" t="inlineStr">
        <is>
          <t>177804-01</t>
        </is>
      </c>
      <c r="B321" s="10" t="inlineStr">
        <is>
          <t>VOSET Architectural Hardware</t>
        </is>
      </c>
      <c r="C321" s="77">
        <f>HYPERLINK("https://my.pitchbook.com?rrp=177804-01&amp;type=c", "This Company's information is not available to download. Need this Company? Request availability")</f>
      </c>
      <c r="D321" s="12" t="inlineStr">
        <is>
          <t/>
        </is>
      </c>
      <c r="E321" s="13" t="inlineStr">
        <is>
          <t/>
        </is>
      </c>
      <c r="F321" s="14" t="inlineStr">
        <is>
          <t/>
        </is>
      </c>
      <c r="G321" s="15" t="inlineStr">
        <is>
          <t/>
        </is>
      </c>
      <c r="H321" s="16" t="inlineStr">
        <is>
          <t/>
        </is>
      </c>
      <c r="I321" s="17" t="inlineStr">
        <is>
          <t/>
        </is>
      </c>
      <c r="J321" s="18" t="inlineStr">
        <is>
          <t/>
        </is>
      </c>
      <c r="K321" s="19" t="inlineStr">
        <is>
          <t/>
        </is>
      </c>
      <c r="L321" s="20" t="inlineStr">
        <is>
          <t/>
        </is>
      </c>
      <c r="M321" s="21" t="inlineStr">
        <is>
          <t/>
        </is>
      </c>
      <c r="N321" s="22" t="inlineStr">
        <is>
          <t/>
        </is>
      </c>
      <c r="O321" s="23" t="inlineStr">
        <is>
          <t/>
        </is>
      </c>
      <c r="P321" s="24" t="inlineStr">
        <is>
          <t/>
        </is>
      </c>
    </row>
    <row r="322">
      <c r="A322" s="25" t="inlineStr">
        <is>
          <t>99075-88</t>
        </is>
      </c>
      <c r="B322" s="26" t="inlineStr">
        <is>
          <t>Vorm</t>
        </is>
      </c>
      <c r="C322" s="27" t="inlineStr">
        <is>
          <t/>
        </is>
      </c>
      <c r="D322" s="28" t="inlineStr">
        <is>
          <t/>
        </is>
      </c>
      <c r="E322" s="29" t="inlineStr">
        <is>
          <t/>
        </is>
      </c>
      <c r="F322" s="30" t="inlineStr">
        <is>
          <t/>
        </is>
      </c>
      <c r="G322" s="31" t="inlineStr">
        <is>
          <t/>
        </is>
      </c>
      <c r="H322" s="32" t="inlineStr">
        <is>
          <t/>
        </is>
      </c>
      <c r="I322" s="33" t="inlineStr">
        <is>
          <t/>
        </is>
      </c>
      <c r="J322" s="34" t="inlineStr">
        <is>
          <t/>
        </is>
      </c>
      <c r="K322" s="35" t="inlineStr">
        <is>
          <t>Privately Held (backing)</t>
        </is>
      </c>
      <c r="L322" s="36" t="inlineStr">
        <is>
          <t>Accelerator/Incubator Backed</t>
        </is>
      </c>
      <c r="M322" s="37" t="n">
        <v>41640.0</v>
      </c>
      <c r="N322" s="38" t="inlineStr">
        <is>
          <t>Accelerator/Incubator</t>
        </is>
      </c>
      <c r="O322" s="39" t="inlineStr">
        <is>
          <t/>
        </is>
      </c>
      <c r="P322" s="102">
        <f>HYPERLINK("https://my.pitchbook.com?c=99075-88", "View company online")</f>
      </c>
    </row>
    <row r="323">
      <c r="A323" s="9" t="inlineStr">
        <is>
          <t>172282-60</t>
        </is>
      </c>
      <c r="B323" s="10" t="inlineStr">
        <is>
          <t>Vor Data Systems</t>
        </is>
      </c>
      <c r="C323" s="77">
        <f>HYPERLINK("https://my.pitchbook.com?rrp=172282-60&amp;type=c", "This Company's information is not available to download. Need this Company? Request availability")</f>
      </c>
      <c r="D323" s="12" t="inlineStr">
        <is>
          <t/>
        </is>
      </c>
      <c r="E323" s="13" t="inlineStr">
        <is>
          <t/>
        </is>
      </c>
      <c r="F323" s="14" t="inlineStr">
        <is>
          <t/>
        </is>
      </c>
      <c r="G323" s="15" t="inlineStr">
        <is>
          <t/>
        </is>
      </c>
      <c r="H323" s="16" t="inlineStr">
        <is>
          <t/>
        </is>
      </c>
      <c r="I323" s="17" t="inlineStr">
        <is>
          <t/>
        </is>
      </c>
      <c r="J323" s="18" t="inlineStr">
        <is>
          <t/>
        </is>
      </c>
      <c r="K323" s="19" t="inlineStr">
        <is>
          <t/>
        </is>
      </c>
      <c r="L323" s="20" t="inlineStr">
        <is>
          <t/>
        </is>
      </c>
      <c r="M323" s="21" t="inlineStr">
        <is>
          <t/>
        </is>
      </c>
      <c r="N323" s="22" t="inlineStr">
        <is>
          <t/>
        </is>
      </c>
      <c r="O323" s="23" t="inlineStr">
        <is>
          <t/>
        </is>
      </c>
      <c r="P323" s="24" t="inlineStr">
        <is>
          <t/>
        </is>
      </c>
    </row>
    <row r="324">
      <c r="A324" s="25" t="inlineStr">
        <is>
          <t>102888-37</t>
        </is>
      </c>
      <c r="B324" s="26" t="inlineStr">
        <is>
          <t>Voopes</t>
        </is>
      </c>
      <c r="C324" s="27" t="inlineStr">
        <is>
          <t/>
        </is>
      </c>
      <c r="D324" s="28" t="inlineStr">
        <is>
          <t/>
        </is>
      </c>
      <c r="E324" s="29" t="inlineStr">
        <is>
          <t/>
        </is>
      </c>
      <c r="F324" s="30" t="inlineStr">
        <is>
          <t/>
        </is>
      </c>
      <c r="G324" s="31" t="inlineStr">
        <is>
          <t/>
        </is>
      </c>
      <c r="H324" s="32" t="inlineStr">
        <is>
          <t/>
        </is>
      </c>
      <c r="I324" s="33" t="inlineStr">
        <is>
          <t/>
        </is>
      </c>
      <c r="J324" s="34" t="inlineStr">
        <is>
          <t/>
        </is>
      </c>
      <c r="K324" s="35" t="inlineStr">
        <is>
          <t>Privately Held (backing)</t>
        </is>
      </c>
      <c r="L324" s="36" t="inlineStr">
        <is>
          <t>Angel-Backed</t>
        </is>
      </c>
      <c r="M324" s="37" t="inlineStr">
        <is>
          <t/>
        </is>
      </c>
      <c r="N324" s="38" t="inlineStr">
        <is>
          <t>Angel (individual)</t>
        </is>
      </c>
      <c r="O324" s="39" t="inlineStr">
        <is>
          <t/>
        </is>
      </c>
      <c r="P324" s="102">
        <f>HYPERLINK("https://my.pitchbook.com?c=102888-37", "View company online")</f>
      </c>
    </row>
    <row r="325">
      <c r="A325" s="9" t="inlineStr">
        <is>
          <t>98021-44</t>
        </is>
      </c>
      <c r="B325" s="10" t="inlineStr">
        <is>
          <t>Voodle</t>
        </is>
      </c>
      <c r="C325" s="11" t="inlineStr">
        <is>
          <t/>
        </is>
      </c>
      <c r="D325" s="12" t="inlineStr">
        <is>
          <t/>
        </is>
      </c>
      <c r="E325" s="13" t="inlineStr">
        <is>
          <t/>
        </is>
      </c>
      <c r="F325" s="14" t="inlineStr">
        <is>
          <t/>
        </is>
      </c>
      <c r="G325" s="15" t="inlineStr">
        <is>
          <t/>
        </is>
      </c>
      <c r="H325" s="16" t="inlineStr">
        <is>
          <t/>
        </is>
      </c>
      <c r="I325" s="17" t="inlineStr">
        <is>
          <t/>
        </is>
      </c>
      <c r="J325" s="18" t="inlineStr">
        <is>
          <t/>
        </is>
      </c>
      <c r="K325" s="19" t="inlineStr">
        <is>
          <t>Privately Held (backing)</t>
        </is>
      </c>
      <c r="L325" s="20" t="inlineStr">
        <is>
          <t>Accelerator/Incubator Backed</t>
        </is>
      </c>
      <c r="M325" s="21" t="n">
        <v>41830.0</v>
      </c>
      <c r="N325" s="22" t="inlineStr">
        <is>
          <t>Accelerator/Incubator</t>
        </is>
      </c>
      <c r="O325" s="23" t="n">
        <v>0.38</v>
      </c>
      <c r="P325" s="101">
        <f>HYPERLINK("https://my.pitchbook.com?c=98021-44", "View company online")</f>
      </c>
    </row>
    <row r="326">
      <c r="A326" s="25" t="inlineStr">
        <is>
          <t>61012-09</t>
        </is>
      </c>
      <c r="B326" s="26" t="inlineStr">
        <is>
          <t>Volvant</t>
        </is>
      </c>
      <c r="C326" s="27" t="inlineStr">
        <is>
          <t/>
        </is>
      </c>
      <c r="D326" s="28" t="inlineStr">
        <is>
          <t/>
        </is>
      </c>
      <c r="E326" s="29" t="inlineStr">
        <is>
          <t/>
        </is>
      </c>
      <c r="F326" s="30" t="inlineStr">
        <is>
          <t/>
        </is>
      </c>
      <c r="G326" s="31" t="inlineStr">
        <is>
          <t/>
        </is>
      </c>
      <c r="H326" s="32" t="inlineStr">
        <is>
          <t/>
        </is>
      </c>
      <c r="I326" s="33" t="inlineStr">
        <is>
          <t/>
        </is>
      </c>
      <c r="J326" s="34" t="inlineStr">
        <is>
          <t/>
        </is>
      </c>
      <c r="K326" s="35" t="inlineStr">
        <is>
          <t>Privately Held (backing)</t>
        </is>
      </c>
      <c r="L326" s="36" t="inlineStr">
        <is>
          <t>Angel-Backed</t>
        </is>
      </c>
      <c r="M326" s="37" t="n">
        <v>41646.0</v>
      </c>
      <c r="N326" s="38" t="inlineStr">
        <is>
          <t>Seed Round</t>
        </is>
      </c>
      <c r="O326" s="39" t="n">
        <v>0.2</v>
      </c>
      <c r="P326" s="102">
        <f>HYPERLINK("https://my.pitchbook.com?c=61012-09", "View company online")</f>
      </c>
    </row>
    <row r="327">
      <c r="A327" s="9" t="inlineStr">
        <is>
          <t>117253-27</t>
        </is>
      </c>
      <c r="B327" s="10" t="inlineStr">
        <is>
          <t>Voltus</t>
        </is>
      </c>
      <c r="C327" s="11" t="inlineStr">
        <is>
          <t/>
        </is>
      </c>
      <c r="D327" s="12" t="inlineStr">
        <is>
          <t/>
        </is>
      </c>
      <c r="E327" s="13" t="inlineStr">
        <is>
          <t/>
        </is>
      </c>
      <c r="F327" s="14" t="inlineStr">
        <is>
          <t/>
        </is>
      </c>
      <c r="G327" s="15" t="inlineStr">
        <is>
          <t/>
        </is>
      </c>
      <c r="H327" s="16" t="inlineStr">
        <is>
          <t/>
        </is>
      </c>
      <c r="I327" s="17" t="inlineStr">
        <is>
          <t/>
        </is>
      </c>
      <c r="J327" s="18" t="inlineStr">
        <is>
          <t/>
        </is>
      </c>
      <c r="K327" s="19" t="inlineStr">
        <is>
          <t>Privately Held (backing)</t>
        </is>
      </c>
      <c r="L327" s="20" t="inlineStr">
        <is>
          <t>Angel-Backed</t>
        </is>
      </c>
      <c r="M327" s="21" t="n">
        <v>42187.0</v>
      </c>
      <c r="N327" s="22" t="inlineStr">
        <is>
          <t>Product Crowdfunding</t>
        </is>
      </c>
      <c r="O327" s="23" t="n">
        <v>0.08</v>
      </c>
      <c r="P327" s="101">
        <f>HYPERLINK("https://my.pitchbook.com?c=117253-27", "View company online")</f>
      </c>
    </row>
    <row r="328">
      <c r="A328" s="25" t="inlineStr">
        <is>
          <t>104253-76</t>
        </is>
      </c>
      <c r="B328" s="26" t="inlineStr">
        <is>
          <t>Voltset</t>
        </is>
      </c>
      <c r="C328" s="78">
        <f>HYPERLINK("https://my.pitchbook.com?rrp=104253-76&amp;type=c", "This Company's information is not available to download. Need this Company? Request availability")</f>
      </c>
      <c r="D328" s="28" t="inlineStr">
        <is>
          <t/>
        </is>
      </c>
      <c r="E328" s="29" t="inlineStr">
        <is>
          <t/>
        </is>
      </c>
      <c r="F328" s="30" t="inlineStr">
        <is>
          <t/>
        </is>
      </c>
      <c r="G328" s="31" t="inlineStr">
        <is>
          <t/>
        </is>
      </c>
      <c r="H328" s="32" t="inlineStr">
        <is>
          <t/>
        </is>
      </c>
      <c r="I328" s="33" t="inlineStr">
        <is>
          <t/>
        </is>
      </c>
      <c r="J328" s="34" t="inlineStr">
        <is>
          <t/>
        </is>
      </c>
      <c r="K328" s="35" t="inlineStr">
        <is>
          <t/>
        </is>
      </c>
      <c r="L328" s="36" t="inlineStr">
        <is>
          <t/>
        </is>
      </c>
      <c r="M328" s="37" t="inlineStr">
        <is>
          <t/>
        </is>
      </c>
      <c r="N328" s="38" t="inlineStr">
        <is>
          <t/>
        </is>
      </c>
      <c r="O328" s="39" t="inlineStr">
        <is>
          <t/>
        </is>
      </c>
      <c r="P328" s="40" t="inlineStr">
        <is>
          <t/>
        </is>
      </c>
    </row>
    <row r="329">
      <c r="A329" s="9" t="inlineStr">
        <is>
          <t>178888-15</t>
        </is>
      </c>
      <c r="B329" s="10" t="inlineStr">
        <is>
          <t>Volt Health</t>
        </is>
      </c>
      <c r="C329" s="11" t="inlineStr">
        <is>
          <t/>
        </is>
      </c>
      <c r="D329" s="12" t="inlineStr">
        <is>
          <t/>
        </is>
      </c>
      <c r="E329" s="13" t="inlineStr">
        <is>
          <t/>
        </is>
      </c>
      <c r="F329" s="14" t="inlineStr">
        <is>
          <t/>
        </is>
      </c>
      <c r="G329" s="15" t="inlineStr">
        <is>
          <t/>
        </is>
      </c>
      <c r="H329" s="16" t="inlineStr">
        <is>
          <t/>
        </is>
      </c>
      <c r="I329" s="17" t="inlineStr">
        <is>
          <t/>
        </is>
      </c>
      <c r="J329" s="18" t="inlineStr">
        <is>
          <t/>
        </is>
      </c>
      <c r="K329" s="19" t="inlineStr">
        <is>
          <t>Privately Held (backing)</t>
        </is>
      </c>
      <c r="L329" s="20" t="inlineStr">
        <is>
          <t>Accelerator/Incubator Backed</t>
        </is>
      </c>
      <c r="M329" s="21" t="n">
        <v>42815.0</v>
      </c>
      <c r="N329" s="22" t="inlineStr">
        <is>
          <t>Accelerator/Incubator</t>
        </is>
      </c>
      <c r="O329" s="23" t="n">
        <v>0.12</v>
      </c>
      <c r="P329" s="101">
        <f>HYPERLINK("https://my.pitchbook.com?c=178888-15", "View company online")</f>
      </c>
    </row>
    <row r="330">
      <c r="A330" s="25" t="inlineStr">
        <is>
          <t>171163-54</t>
        </is>
      </c>
      <c r="B330" s="26" t="inlineStr">
        <is>
          <t>Volley</t>
        </is>
      </c>
      <c r="C330" s="27" t="inlineStr">
        <is>
          <t/>
        </is>
      </c>
      <c r="D330" s="28" t="inlineStr">
        <is>
          <t/>
        </is>
      </c>
      <c r="E330" s="29" t="inlineStr">
        <is>
          <t/>
        </is>
      </c>
      <c r="F330" s="30" t="inlineStr">
        <is>
          <t/>
        </is>
      </c>
      <c r="G330" s="31" t="inlineStr">
        <is>
          <t/>
        </is>
      </c>
      <c r="H330" s="32" t="inlineStr">
        <is>
          <t/>
        </is>
      </c>
      <c r="I330" s="33" t="inlineStr">
        <is>
          <t/>
        </is>
      </c>
      <c r="J330" s="34" t="inlineStr">
        <is>
          <t/>
        </is>
      </c>
      <c r="K330" s="35" t="inlineStr">
        <is>
          <t>Privately Held (backing)</t>
        </is>
      </c>
      <c r="L330" s="36" t="inlineStr">
        <is>
          <t>Accelerator/Incubator Backed</t>
        </is>
      </c>
      <c r="M330" s="37" t="n">
        <v>42796.0</v>
      </c>
      <c r="N330" s="38" t="inlineStr">
        <is>
          <t>Accelerator/Incubator</t>
        </is>
      </c>
      <c r="O330" s="39" t="n">
        <v>0.12</v>
      </c>
      <c r="P330" s="102">
        <f>HYPERLINK("https://my.pitchbook.com?c=171163-54", "View company online")</f>
      </c>
    </row>
    <row r="331">
      <c r="A331" s="9" t="inlineStr">
        <is>
          <t>162833-14</t>
        </is>
      </c>
      <c r="B331" s="10" t="inlineStr">
        <is>
          <t>Volata Cycles</t>
        </is>
      </c>
      <c r="C331" s="11" t="inlineStr">
        <is>
          <t/>
        </is>
      </c>
      <c r="D331" s="12" t="inlineStr">
        <is>
          <t/>
        </is>
      </c>
      <c r="E331" s="13" t="inlineStr">
        <is>
          <t/>
        </is>
      </c>
      <c r="F331" s="14" t="inlineStr">
        <is>
          <t/>
        </is>
      </c>
      <c r="G331" s="15" t="inlineStr">
        <is>
          <t/>
        </is>
      </c>
      <c r="H331" s="16" t="inlineStr">
        <is>
          <t/>
        </is>
      </c>
      <c r="I331" s="17" t="inlineStr">
        <is>
          <t/>
        </is>
      </c>
      <c r="J331" s="18" t="inlineStr">
        <is>
          <t/>
        </is>
      </c>
      <c r="K331" s="19" t="inlineStr">
        <is>
          <t>Privately Held (backing)</t>
        </is>
      </c>
      <c r="L331" s="20" t="inlineStr">
        <is>
          <t>Angel-Backed</t>
        </is>
      </c>
      <c r="M331" s="21" t="inlineStr">
        <is>
          <t/>
        </is>
      </c>
      <c r="N331" s="22" t="inlineStr">
        <is>
          <t>Angel (individual)</t>
        </is>
      </c>
      <c r="O331" s="23" t="n">
        <v>0.32</v>
      </c>
      <c r="P331" s="101">
        <f>HYPERLINK("https://my.pitchbook.com?c=162833-14", "View company online")</f>
      </c>
    </row>
    <row r="332">
      <c r="A332" s="25" t="inlineStr">
        <is>
          <t>163852-75</t>
        </is>
      </c>
      <c r="B332" s="26" t="inlineStr">
        <is>
          <t>Volans-I</t>
        </is>
      </c>
      <c r="C332" s="27" t="inlineStr">
        <is>
          <t/>
        </is>
      </c>
      <c r="D332" s="28" t="inlineStr">
        <is>
          <t/>
        </is>
      </c>
      <c r="E332" s="29" t="inlineStr">
        <is>
          <t/>
        </is>
      </c>
      <c r="F332" s="30" t="inlineStr">
        <is>
          <t/>
        </is>
      </c>
      <c r="G332" s="31" t="inlineStr">
        <is>
          <t/>
        </is>
      </c>
      <c r="H332" s="32" t="inlineStr">
        <is>
          <t/>
        </is>
      </c>
      <c r="I332" s="33" t="inlineStr">
        <is>
          <t/>
        </is>
      </c>
      <c r="J332" s="34" t="inlineStr">
        <is>
          <t/>
        </is>
      </c>
      <c r="K332" s="35" t="inlineStr">
        <is>
          <t>Privately Held (backing)</t>
        </is>
      </c>
      <c r="L332" s="36" t="inlineStr">
        <is>
          <t>Accelerator/Incubator Backed</t>
        </is>
      </c>
      <c r="M332" s="37" t="inlineStr">
        <is>
          <t/>
        </is>
      </c>
      <c r="N332" s="38" t="inlineStr">
        <is>
          <t>Angel (individual)</t>
        </is>
      </c>
      <c r="O332" s="39" t="inlineStr">
        <is>
          <t/>
        </is>
      </c>
      <c r="P332" s="102">
        <f>HYPERLINK("https://my.pitchbook.com?c=163852-75", "View company online")</f>
      </c>
    </row>
    <row r="333">
      <c r="A333" s="9" t="inlineStr">
        <is>
          <t>65909-89</t>
        </is>
      </c>
      <c r="B333" s="10" t="inlineStr">
        <is>
          <t>Volabit</t>
        </is>
      </c>
      <c r="C333" s="11" t="inlineStr">
        <is>
          <t/>
        </is>
      </c>
      <c r="D333" s="12" t="inlineStr">
        <is>
          <t/>
        </is>
      </c>
      <c r="E333" s="13" t="inlineStr">
        <is>
          <t/>
        </is>
      </c>
      <c r="F333" s="14" t="inlineStr">
        <is>
          <t/>
        </is>
      </c>
      <c r="G333" s="15" t="inlineStr">
        <is>
          <t/>
        </is>
      </c>
      <c r="H333" s="16" t="inlineStr">
        <is>
          <t/>
        </is>
      </c>
      <c r="I333" s="17" t="inlineStr">
        <is>
          <t/>
        </is>
      </c>
      <c r="J333" s="18" t="inlineStr">
        <is>
          <t/>
        </is>
      </c>
      <c r="K333" s="19" t="inlineStr">
        <is>
          <t>Privately Held (backing)</t>
        </is>
      </c>
      <c r="L333" s="20" t="inlineStr">
        <is>
          <t>Accelerator/Incubator Backed</t>
        </is>
      </c>
      <c r="M333" s="21" t="n">
        <v>42684.0</v>
      </c>
      <c r="N333" s="22" t="inlineStr">
        <is>
          <t>Seed Round</t>
        </is>
      </c>
      <c r="O333" s="23" t="n">
        <v>0.8</v>
      </c>
      <c r="P333" s="101">
        <f>HYPERLINK("https://my.pitchbook.com?c=65909-89", "View company online")</f>
      </c>
    </row>
    <row r="334">
      <c r="A334" s="25" t="inlineStr">
        <is>
          <t>153485-20</t>
        </is>
      </c>
      <c r="B334" s="26" t="inlineStr">
        <is>
          <t>Voistand</t>
        </is>
      </c>
      <c r="C334" s="27" t="inlineStr">
        <is>
          <t/>
        </is>
      </c>
      <c r="D334" s="28" t="inlineStr">
        <is>
          <t/>
        </is>
      </c>
      <c r="E334" s="29" t="inlineStr">
        <is>
          <t/>
        </is>
      </c>
      <c r="F334" s="30" t="inlineStr">
        <is>
          <t/>
        </is>
      </c>
      <c r="G334" s="31" t="inlineStr">
        <is>
          <t/>
        </is>
      </c>
      <c r="H334" s="32" t="inlineStr">
        <is>
          <t/>
        </is>
      </c>
      <c r="I334" s="33" t="inlineStr">
        <is>
          <t/>
        </is>
      </c>
      <c r="J334" s="34" t="inlineStr">
        <is>
          <t/>
        </is>
      </c>
      <c r="K334" s="35" t="inlineStr">
        <is>
          <t>Privately Held (backing)</t>
        </is>
      </c>
      <c r="L334" s="36" t="inlineStr">
        <is>
          <t>Angel-Backed</t>
        </is>
      </c>
      <c r="M334" s="37" t="inlineStr">
        <is>
          <t/>
        </is>
      </c>
      <c r="N334" s="38" t="inlineStr">
        <is>
          <t>Angel (individual)</t>
        </is>
      </c>
      <c r="O334" s="39" t="inlineStr">
        <is>
          <t/>
        </is>
      </c>
      <c r="P334" s="102">
        <f>HYPERLINK("https://my.pitchbook.com?c=153485-20", "View company online")</f>
      </c>
    </row>
    <row r="335">
      <c r="A335" s="9" t="inlineStr">
        <is>
          <t>61139-35</t>
        </is>
      </c>
      <c r="B335" s="10" t="inlineStr">
        <is>
          <t>VoicePlate.com</t>
        </is>
      </c>
      <c r="C335" s="11" t="inlineStr">
        <is>
          <t/>
        </is>
      </c>
      <c r="D335" s="12" t="inlineStr">
        <is>
          <t/>
        </is>
      </c>
      <c r="E335" s="13" t="inlineStr">
        <is>
          <t/>
        </is>
      </c>
      <c r="F335" s="14" t="inlineStr">
        <is>
          <t/>
        </is>
      </c>
      <c r="G335" s="15" t="inlineStr">
        <is>
          <t/>
        </is>
      </c>
      <c r="H335" s="16" t="inlineStr">
        <is>
          <t/>
        </is>
      </c>
      <c r="I335" s="17" t="inlineStr">
        <is>
          <t/>
        </is>
      </c>
      <c r="J335" s="18" t="inlineStr">
        <is>
          <t/>
        </is>
      </c>
      <c r="K335" s="19" t="inlineStr">
        <is>
          <t>Privately Held (backing)</t>
        </is>
      </c>
      <c r="L335" s="20" t="inlineStr">
        <is>
          <t>Angel-Backed</t>
        </is>
      </c>
      <c r="M335" s="21" t="n">
        <v>41655.0</v>
      </c>
      <c r="N335" s="22" t="inlineStr">
        <is>
          <t>Angel (individual)</t>
        </is>
      </c>
      <c r="O335" s="23" t="n">
        <v>1.85</v>
      </c>
      <c r="P335" s="101">
        <f>HYPERLINK("https://my.pitchbook.com?c=61139-35", "View company online")</f>
      </c>
    </row>
    <row r="336">
      <c r="A336" s="25" t="inlineStr">
        <is>
          <t>119554-57</t>
        </is>
      </c>
      <c r="B336" s="26" t="inlineStr">
        <is>
          <t>VoicePark</t>
        </is>
      </c>
      <c r="C336" s="27" t="inlineStr">
        <is>
          <t/>
        </is>
      </c>
      <c r="D336" s="28" t="inlineStr">
        <is>
          <t/>
        </is>
      </c>
      <c r="E336" s="29" t="inlineStr">
        <is>
          <t/>
        </is>
      </c>
      <c r="F336" s="30" t="inlineStr">
        <is>
          <t/>
        </is>
      </c>
      <c r="G336" s="31" t="inlineStr">
        <is>
          <t/>
        </is>
      </c>
      <c r="H336" s="32" t="inlineStr">
        <is>
          <t/>
        </is>
      </c>
      <c r="I336" s="33" t="inlineStr">
        <is>
          <t/>
        </is>
      </c>
      <c r="J336" s="34" t="inlineStr">
        <is>
          <t/>
        </is>
      </c>
      <c r="K336" s="35" t="inlineStr">
        <is>
          <t>Privately Held (backing)</t>
        </is>
      </c>
      <c r="L336" s="36" t="inlineStr">
        <is>
          <t>Accelerator/Incubator Backed</t>
        </is>
      </c>
      <c r="M336" s="37" t="n">
        <v>42045.0</v>
      </c>
      <c r="N336" s="38" t="inlineStr">
        <is>
          <t>Accelerator/Incubator</t>
        </is>
      </c>
      <c r="O336" s="39" t="inlineStr">
        <is>
          <t/>
        </is>
      </c>
      <c r="P336" s="102">
        <f>HYPERLINK("https://my.pitchbook.com?c=119554-57", "View company online")</f>
      </c>
    </row>
    <row r="337">
      <c r="A337" s="9" t="inlineStr">
        <is>
          <t>168229-27</t>
        </is>
      </c>
      <c r="B337" s="10" t="inlineStr">
        <is>
          <t>Voga Coffee</t>
        </is>
      </c>
      <c r="C337" s="11" t="inlineStr">
        <is>
          <t/>
        </is>
      </c>
      <c r="D337" s="12" t="inlineStr">
        <is>
          <t/>
        </is>
      </c>
      <c r="E337" s="13" t="inlineStr">
        <is>
          <t/>
        </is>
      </c>
      <c r="F337" s="14" t="inlineStr">
        <is>
          <t/>
        </is>
      </c>
      <c r="G337" s="15" t="inlineStr">
        <is>
          <t/>
        </is>
      </c>
      <c r="H337" s="16" t="inlineStr">
        <is>
          <t/>
        </is>
      </c>
      <c r="I337" s="17" t="inlineStr">
        <is>
          <t/>
        </is>
      </c>
      <c r="J337" s="18" t="inlineStr">
        <is>
          <t/>
        </is>
      </c>
      <c r="K337" s="19" t="inlineStr">
        <is>
          <t>Privately Held (backing)</t>
        </is>
      </c>
      <c r="L337" s="20" t="inlineStr">
        <is>
          <t>Angel-Backed</t>
        </is>
      </c>
      <c r="M337" s="21" t="n">
        <v>42244.0</v>
      </c>
      <c r="N337" s="22" t="inlineStr">
        <is>
          <t>Seed Round</t>
        </is>
      </c>
      <c r="O337" s="23" t="n">
        <v>0.28</v>
      </c>
      <c r="P337" s="101">
        <f>HYPERLINK("https://my.pitchbook.com?c=168229-27", "View company online")</f>
      </c>
    </row>
    <row r="338">
      <c r="A338" s="25" t="inlineStr">
        <is>
          <t>103520-44</t>
        </is>
      </c>
      <c r="B338" s="26" t="inlineStr">
        <is>
          <t>VocoMD</t>
        </is>
      </c>
      <c r="C338" s="27" t="inlineStr">
        <is>
          <t/>
        </is>
      </c>
      <c r="D338" s="28" t="inlineStr">
        <is>
          <t/>
        </is>
      </c>
      <c r="E338" s="29" t="inlineStr">
        <is>
          <t/>
        </is>
      </c>
      <c r="F338" s="30" t="inlineStr">
        <is>
          <t/>
        </is>
      </c>
      <c r="G338" s="31" t="inlineStr">
        <is>
          <t/>
        </is>
      </c>
      <c r="H338" s="32" t="inlineStr">
        <is>
          <t/>
        </is>
      </c>
      <c r="I338" s="33" t="inlineStr">
        <is>
          <t/>
        </is>
      </c>
      <c r="J338" s="34" t="inlineStr">
        <is>
          <t/>
        </is>
      </c>
      <c r="K338" s="35" t="inlineStr">
        <is>
          <t>Privately Held (backing)</t>
        </is>
      </c>
      <c r="L338" s="36" t="inlineStr">
        <is>
          <t>Angel-Backed</t>
        </is>
      </c>
      <c r="M338" s="37" t="n">
        <v>41835.0</v>
      </c>
      <c r="N338" s="38" t="inlineStr">
        <is>
          <t>Angel (individual)</t>
        </is>
      </c>
      <c r="O338" s="39" t="n">
        <v>0.2</v>
      </c>
      <c r="P338" s="102">
        <f>HYPERLINK("https://my.pitchbook.com?c=103520-44", "View company online")</f>
      </c>
    </row>
    <row r="339">
      <c r="A339" s="9" t="inlineStr">
        <is>
          <t>154990-36</t>
        </is>
      </c>
      <c r="B339" s="10" t="inlineStr">
        <is>
          <t>Vocademy</t>
        </is>
      </c>
      <c r="C339" s="11" t="inlineStr">
        <is>
          <t/>
        </is>
      </c>
      <c r="D339" s="12" t="inlineStr">
        <is>
          <t/>
        </is>
      </c>
      <c r="E339" s="13" t="inlineStr">
        <is>
          <t/>
        </is>
      </c>
      <c r="F339" s="14" t="inlineStr">
        <is>
          <t/>
        </is>
      </c>
      <c r="G339" s="15" t="inlineStr">
        <is>
          <t/>
        </is>
      </c>
      <c r="H339" s="16" t="inlineStr">
        <is>
          <t/>
        </is>
      </c>
      <c r="I339" s="17" t="inlineStr">
        <is>
          <t/>
        </is>
      </c>
      <c r="J339" s="18" t="inlineStr">
        <is>
          <t/>
        </is>
      </c>
      <c r="K339" s="19" t="inlineStr">
        <is>
          <t>Privately Held (backing)</t>
        </is>
      </c>
      <c r="L339" s="20" t="inlineStr">
        <is>
          <t>Angel-Backed</t>
        </is>
      </c>
      <c r="M339" s="21" t="n">
        <v>41455.0</v>
      </c>
      <c r="N339" s="22" t="inlineStr">
        <is>
          <t>Angel (individual)</t>
        </is>
      </c>
      <c r="O339" s="23" t="n">
        <v>0.06</v>
      </c>
      <c r="P339" s="101">
        <f>HYPERLINK("https://my.pitchbook.com?c=154990-36", "View company online")</f>
      </c>
    </row>
    <row r="340">
      <c r="A340" s="25" t="inlineStr">
        <is>
          <t>100537-12</t>
        </is>
      </c>
      <c r="B340" s="26" t="inlineStr">
        <is>
          <t>Vliv</t>
        </is>
      </c>
      <c r="C340" s="27" t="inlineStr">
        <is>
          <t/>
        </is>
      </c>
      <c r="D340" s="28" t="inlineStr">
        <is>
          <t/>
        </is>
      </c>
      <c r="E340" s="29" t="inlineStr">
        <is>
          <t/>
        </is>
      </c>
      <c r="F340" s="30" t="inlineStr">
        <is>
          <t/>
        </is>
      </c>
      <c r="G340" s="31" t="inlineStr">
        <is>
          <t/>
        </is>
      </c>
      <c r="H340" s="32" t="inlineStr">
        <is>
          <t/>
        </is>
      </c>
      <c r="I340" s="33" t="inlineStr">
        <is>
          <t/>
        </is>
      </c>
      <c r="J340" s="34" t="inlineStr">
        <is>
          <t/>
        </is>
      </c>
      <c r="K340" s="35" t="inlineStr">
        <is>
          <t>Privately Held (backing)</t>
        </is>
      </c>
      <c r="L340" s="36" t="inlineStr">
        <is>
          <t>Angel-Backed</t>
        </is>
      </c>
      <c r="M340" s="37" t="n">
        <v>41989.0</v>
      </c>
      <c r="N340" s="38" t="inlineStr">
        <is>
          <t>Angel (individual)</t>
        </is>
      </c>
      <c r="O340" s="39" t="inlineStr">
        <is>
          <t/>
        </is>
      </c>
      <c r="P340" s="102">
        <f>HYPERLINK("https://my.pitchbook.com?c=100537-12", "View company online")</f>
      </c>
    </row>
    <row r="341">
      <c r="A341" s="9" t="inlineStr">
        <is>
          <t>177412-51</t>
        </is>
      </c>
      <c r="B341" s="10" t="inlineStr">
        <is>
          <t>VKLiQ</t>
        </is>
      </c>
      <c r="C341" s="77">
        <f>HYPERLINK("https://my.pitchbook.com?rrp=177412-51&amp;type=c", "This Company's information is not available to download. Need this Company? Request availability")</f>
      </c>
      <c r="D341" s="12" t="inlineStr">
        <is>
          <t/>
        </is>
      </c>
      <c r="E341" s="13" t="inlineStr">
        <is>
          <t/>
        </is>
      </c>
      <c r="F341" s="14" t="inlineStr">
        <is>
          <t/>
        </is>
      </c>
      <c r="G341" s="15" t="inlineStr">
        <is>
          <t/>
        </is>
      </c>
      <c r="H341" s="16" t="inlineStr">
        <is>
          <t/>
        </is>
      </c>
      <c r="I341" s="17" t="inlineStr">
        <is>
          <t/>
        </is>
      </c>
      <c r="J341" s="18" t="inlineStr">
        <is>
          <t/>
        </is>
      </c>
      <c r="K341" s="19" t="inlineStr">
        <is>
          <t/>
        </is>
      </c>
      <c r="L341" s="20" t="inlineStr">
        <is>
          <t/>
        </is>
      </c>
      <c r="M341" s="21" t="inlineStr">
        <is>
          <t/>
        </is>
      </c>
      <c r="N341" s="22" t="inlineStr">
        <is>
          <t/>
        </is>
      </c>
      <c r="O341" s="23" t="inlineStr">
        <is>
          <t/>
        </is>
      </c>
      <c r="P341" s="24" t="inlineStr">
        <is>
          <t/>
        </is>
      </c>
    </row>
    <row r="342">
      <c r="A342" s="25" t="inlineStr">
        <is>
          <t>150068-26</t>
        </is>
      </c>
      <c r="B342" s="26" t="inlineStr">
        <is>
          <t>Vizzario</t>
        </is>
      </c>
      <c r="C342" s="27" t="inlineStr">
        <is>
          <t/>
        </is>
      </c>
      <c r="D342" s="28" t="inlineStr">
        <is>
          <t/>
        </is>
      </c>
      <c r="E342" s="29" t="inlineStr">
        <is>
          <t/>
        </is>
      </c>
      <c r="F342" s="30" t="inlineStr">
        <is>
          <t/>
        </is>
      </c>
      <c r="G342" s="31" t="inlineStr">
        <is>
          <t/>
        </is>
      </c>
      <c r="H342" s="32" t="inlineStr">
        <is>
          <t/>
        </is>
      </c>
      <c r="I342" s="33" t="inlineStr">
        <is>
          <t/>
        </is>
      </c>
      <c r="J342" s="34" t="inlineStr">
        <is>
          <t/>
        </is>
      </c>
      <c r="K342" s="35" t="inlineStr">
        <is>
          <t>Privately Held (backing)</t>
        </is>
      </c>
      <c r="L342" s="36" t="inlineStr">
        <is>
          <t>Angel-Backed</t>
        </is>
      </c>
      <c r="M342" s="37" t="n">
        <v>42394.0</v>
      </c>
      <c r="N342" s="38" t="inlineStr">
        <is>
          <t>Angel (individual)</t>
        </is>
      </c>
      <c r="O342" s="39" t="n">
        <v>2.16</v>
      </c>
      <c r="P342" s="102">
        <f>HYPERLINK("https://my.pitchbook.com?c=150068-26", "View company online")</f>
      </c>
    </row>
    <row r="343">
      <c r="A343" s="9" t="inlineStr">
        <is>
          <t>151187-41</t>
        </is>
      </c>
      <c r="B343" s="10" t="inlineStr">
        <is>
          <t>Vizyontech Imaging</t>
        </is>
      </c>
      <c r="C343" s="11" t="inlineStr">
        <is>
          <t/>
        </is>
      </c>
      <c r="D343" s="12" t="inlineStr">
        <is>
          <t/>
        </is>
      </c>
      <c r="E343" s="13" t="inlineStr">
        <is>
          <t/>
        </is>
      </c>
      <c r="F343" s="14" t="inlineStr">
        <is>
          <t/>
        </is>
      </c>
      <c r="G343" s="15" t="inlineStr">
        <is>
          <t/>
        </is>
      </c>
      <c r="H343" s="16" t="inlineStr">
        <is>
          <t/>
        </is>
      </c>
      <c r="I343" s="17" t="inlineStr">
        <is>
          <t/>
        </is>
      </c>
      <c r="J343" s="18" t="inlineStr">
        <is>
          <t/>
        </is>
      </c>
      <c r="K343" s="19" t="inlineStr">
        <is>
          <t>Privately Held (backing)</t>
        </is>
      </c>
      <c r="L343" s="20" t="inlineStr">
        <is>
          <t>Angel-Backed</t>
        </is>
      </c>
      <c r="M343" s="21" t="n">
        <v>39479.0</v>
      </c>
      <c r="N343" s="22" t="inlineStr">
        <is>
          <t>Angel (individual)</t>
        </is>
      </c>
      <c r="O343" s="23" t="n">
        <v>0.58</v>
      </c>
      <c r="P343" s="101">
        <f>HYPERLINK("https://my.pitchbook.com?c=151187-41", "View company online")</f>
      </c>
    </row>
    <row r="344">
      <c r="A344" s="25" t="inlineStr">
        <is>
          <t>114987-34</t>
        </is>
      </c>
      <c r="B344" s="26" t="inlineStr">
        <is>
          <t>Vizru</t>
        </is>
      </c>
      <c r="C344" s="27" t="inlineStr">
        <is>
          <t/>
        </is>
      </c>
      <c r="D344" s="28" t="inlineStr">
        <is>
          <t/>
        </is>
      </c>
      <c r="E344" s="29" t="inlineStr">
        <is>
          <t/>
        </is>
      </c>
      <c r="F344" s="30" t="inlineStr">
        <is>
          <t/>
        </is>
      </c>
      <c r="G344" s="31" t="inlineStr">
        <is>
          <t/>
        </is>
      </c>
      <c r="H344" s="32" t="inlineStr">
        <is>
          <t/>
        </is>
      </c>
      <c r="I344" s="33" t="inlineStr">
        <is>
          <t/>
        </is>
      </c>
      <c r="J344" s="34" t="inlineStr">
        <is>
          <t/>
        </is>
      </c>
      <c r="K344" s="35" t="inlineStr">
        <is>
          <t>Privately Held (backing)</t>
        </is>
      </c>
      <c r="L344" s="36" t="inlineStr">
        <is>
          <t>Accelerator/Incubator Backed</t>
        </is>
      </c>
      <c r="M344" s="37" t="n">
        <v>42853.0</v>
      </c>
      <c r="N344" s="38" t="inlineStr">
        <is>
          <t>Accelerator/Incubator</t>
        </is>
      </c>
      <c r="O344" s="39" t="inlineStr">
        <is>
          <t/>
        </is>
      </c>
      <c r="P344" s="102">
        <f>HYPERLINK("https://my.pitchbook.com?c=114987-34", "View company online")</f>
      </c>
    </row>
    <row r="345">
      <c r="A345" s="9" t="inlineStr">
        <is>
          <t>98080-93</t>
        </is>
      </c>
      <c r="B345" s="10" t="inlineStr">
        <is>
          <t>Vixlet</t>
        </is>
      </c>
      <c r="C345" s="11" t="inlineStr">
        <is>
          <t/>
        </is>
      </c>
      <c r="D345" s="12" t="inlineStr">
        <is>
          <t/>
        </is>
      </c>
      <c r="E345" s="13" t="inlineStr">
        <is>
          <t/>
        </is>
      </c>
      <c r="F345" s="14" t="inlineStr">
        <is>
          <t/>
        </is>
      </c>
      <c r="G345" s="15" t="inlineStr">
        <is>
          <t/>
        </is>
      </c>
      <c r="H345" s="16" t="inlineStr">
        <is>
          <t/>
        </is>
      </c>
      <c r="I345" s="17" t="inlineStr">
        <is>
          <t/>
        </is>
      </c>
      <c r="J345" s="18" t="inlineStr">
        <is>
          <t/>
        </is>
      </c>
      <c r="K345" s="19" t="inlineStr">
        <is>
          <t>Privately Held (backing)</t>
        </is>
      </c>
      <c r="L345" s="20" t="inlineStr">
        <is>
          <t>Angel-Backed</t>
        </is>
      </c>
      <c r="M345" s="21" t="n">
        <v>42788.0</v>
      </c>
      <c r="N345" s="22" t="inlineStr">
        <is>
          <t>Angel (individual)</t>
        </is>
      </c>
      <c r="O345" s="23" t="n">
        <v>28.59</v>
      </c>
      <c r="P345" s="101">
        <f>HYPERLINK("https://my.pitchbook.com?c=98080-93", "View company online")</f>
      </c>
    </row>
    <row r="346">
      <c r="A346" s="25" t="inlineStr">
        <is>
          <t>102657-61</t>
        </is>
      </c>
      <c r="B346" s="26" t="inlineStr">
        <is>
          <t>Vixely</t>
        </is>
      </c>
      <c r="C346" s="27" t="inlineStr">
        <is>
          <t/>
        </is>
      </c>
      <c r="D346" s="28" t="inlineStr">
        <is>
          <t/>
        </is>
      </c>
      <c r="E346" s="29" t="inlineStr">
        <is>
          <t/>
        </is>
      </c>
      <c r="F346" s="30" t="inlineStr">
        <is>
          <t/>
        </is>
      </c>
      <c r="G346" s="31" t="inlineStr">
        <is>
          <t/>
        </is>
      </c>
      <c r="H346" s="32" t="inlineStr">
        <is>
          <t/>
        </is>
      </c>
      <c r="I346" s="33" t="inlineStr">
        <is>
          <t/>
        </is>
      </c>
      <c r="J346" s="34" t="inlineStr">
        <is>
          <t/>
        </is>
      </c>
      <c r="K346" s="35" t="inlineStr">
        <is>
          <t>Privately Held (backing)</t>
        </is>
      </c>
      <c r="L346" s="36" t="inlineStr">
        <is>
          <t>Angel-Backed</t>
        </is>
      </c>
      <c r="M346" s="37" t="n">
        <v>40725.0</v>
      </c>
      <c r="N346" s="38" t="inlineStr">
        <is>
          <t>Seed Round</t>
        </is>
      </c>
      <c r="O346" s="39" t="n">
        <v>0.1</v>
      </c>
      <c r="P346" s="102">
        <f>HYPERLINK("https://my.pitchbook.com?c=102657-61", "View company online")</f>
      </c>
    </row>
    <row r="347">
      <c r="A347" s="9" t="inlineStr">
        <is>
          <t>113715-64</t>
        </is>
      </c>
      <c r="B347" s="10" t="inlineStr">
        <is>
          <t>Viviso</t>
        </is>
      </c>
      <c r="C347" s="11" t="inlineStr">
        <is>
          <t/>
        </is>
      </c>
      <c r="D347" s="12" t="inlineStr">
        <is>
          <t/>
        </is>
      </c>
      <c r="E347" s="13" t="inlineStr">
        <is>
          <t/>
        </is>
      </c>
      <c r="F347" s="14" t="inlineStr">
        <is>
          <t/>
        </is>
      </c>
      <c r="G347" s="15" t="inlineStr">
        <is>
          <t/>
        </is>
      </c>
      <c r="H347" s="16" t="inlineStr">
        <is>
          <t/>
        </is>
      </c>
      <c r="I347" s="17" t="inlineStr">
        <is>
          <t/>
        </is>
      </c>
      <c r="J347" s="18" t="inlineStr">
        <is>
          <t/>
        </is>
      </c>
      <c r="K347" s="19" t="inlineStr">
        <is>
          <t>Privately Held (backing)</t>
        </is>
      </c>
      <c r="L347" s="20" t="inlineStr">
        <is>
          <t>Angel-Backed</t>
        </is>
      </c>
      <c r="M347" s="21" t="n">
        <v>42174.0</v>
      </c>
      <c r="N347" s="22" t="inlineStr">
        <is>
          <t>Seed Round</t>
        </is>
      </c>
      <c r="O347" s="23" t="n">
        <v>0.79</v>
      </c>
      <c r="P347" s="101">
        <f>HYPERLINK("https://my.pitchbook.com?c=113715-64", "View company online")</f>
      </c>
    </row>
    <row r="348">
      <c r="A348" s="25" t="inlineStr">
        <is>
          <t>104465-44</t>
        </is>
      </c>
      <c r="B348" s="26" t="inlineStr">
        <is>
          <t>Vive la tarte</t>
        </is>
      </c>
      <c r="C348" s="27" t="inlineStr">
        <is>
          <t/>
        </is>
      </c>
      <c r="D348" s="28" t="inlineStr">
        <is>
          <t/>
        </is>
      </c>
      <c r="E348" s="29" t="inlineStr">
        <is>
          <t/>
        </is>
      </c>
      <c r="F348" s="30" t="inlineStr">
        <is>
          <t/>
        </is>
      </c>
      <c r="G348" s="31" t="inlineStr">
        <is>
          <t/>
        </is>
      </c>
      <c r="H348" s="32" t="inlineStr">
        <is>
          <t/>
        </is>
      </c>
      <c r="I348" s="33" t="inlineStr">
        <is>
          <t/>
        </is>
      </c>
      <c r="J348" s="34" t="inlineStr">
        <is>
          <t/>
        </is>
      </c>
      <c r="K348" s="35" t="inlineStr">
        <is>
          <t>Privately Held (backing)</t>
        </is>
      </c>
      <c r="L348" s="36" t="inlineStr">
        <is>
          <t>Angel-Backed</t>
        </is>
      </c>
      <c r="M348" s="37" t="n">
        <v>41922.0</v>
      </c>
      <c r="N348" s="38" t="inlineStr">
        <is>
          <t>Seed Round</t>
        </is>
      </c>
      <c r="O348" s="39" t="n">
        <v>0.75</v>
      </c>
      <c r="P348" s="102">
        <f>HYPERLINK("https://my.pitchbook.com?c=104465-44", "View company online")</f>
      </c>
    </row>
    <row r="349">
      <c r="A349" s="9" t="inlineStr">
        <is>
          <t>103482-28</t>
        </is>
      </c>
      <c r="B349" s="10" t="inlineStr">
        <is>
          <t>VitalMedicals</t>
        </is>
      </c>
      <c r="C349" s="11" t="inlineStr">
        <is>
          <t/>
        </is>
      </c>
      <c r="D349" s="12" t="inlineStr">
        <is>
          <t/>
        </is>
      </c>
      <c r="E349" s="13" t="inlineStr">
        <is>
          <t/>
        </is>
      </c>
      <c r="F349" s="14" t="inlineStr">
        <is>
          <t/>
        </is>
      </c>
      <c r="G349" s="15" t="inlineStr">
        <is>
          <t/>
        </is>
      </c>
      <c r="H349" s="16" t="inlineStr">
        <is>
          <t/>
        </is>
      </c>
      <c r="I349" s="17" t="inlineStr">
        <is>
          <t/>
        </is>
      </c>
      <c r="J349" s="18" t="inlineStr">
        <is>
          <t/>
        </is>
      </c>
      <c r="K349" s="19" t="inlineStr">
        <is>
          <t>Privately Held (backing)</t>
        </is>
      </c>
      <c r="L349" s="20" t="inlineStr">
        <is>
          <t>Accelerator/Incubator Backed</t>
        </is>
      </c>
      <c r="M349" s="21" t="n">
        <v>42039.0</v>
      </c>
      <c r="N349" s="22" t="inlineStr">
        <is>
          <t>Seed Round</t>
        </is>
      </c>
      <c r="O349" s="23" t="n">
        <v>0.93</v>
      </c>
      <c r="P349" s="101">
        <f>HYPERLINK("https://my.pitchbook.com?c=103482-28", "View company online")</f>
      </c>
    </row>
    <row r="350">
      <c r="A350" s="25" t="inlineStr">
        <is>
          <t>121843-27</t>
        </is>
      </c>
      <c r="B350" s="26" t="inlineStr">
        <is>
          <t>Vitaligent</t>
        </is>
      </c>
      <c r="C350" s="27" t="inlineStr">
        <is>
          <t/>
        </is>
      </c>
      <c r="D350" s="28" t="inlineStr">
        <is>
          <t/>
        </is>
      </c>
      <c r="E350" s="29" t="inlineStr">
        <is>
          <t/>
        </is>
      </c>
      <c r="F350" s="30" t="inlineStr">
        <is>
          <t/>
        </is>
      </c>
      <c r="G350" s="31" t="inlineStr">
        <is>
          <t/>
        </is>
      </c>
      <c r="H350" s="32" t="inlineStr">
        <is>
          <t/>
        </is>
      </c>
      <c r="I350" s="33" t="inlineStr">
        <is>
          <t/>
        </is>
      </c>
      <c r="J350" s="34" t="inlineStr">
        <is>
          <t/>
        </is>
      </c>
      <c r="K350" s="35" t="inlineStr">
        <is>
          <t>Privately Held (backing)</t>
        </is>
      </c>
      <c r="L350" s="36" t="inlineStr">
        <is>
          <t>Angel-Backed</t>
        </is>
      </c>
      <c r="M350" s="37" t="n">
        <v>42226.0</v>
      </c>
      <c r="N350" s="38" t="inlineStr">
        <is>
          <t>Early Stage VC</t>
        </is>
      </c>
      <c r="O350" s="39" t="n">
        <v>25.0</v>
      </c>
      <c r="P350" s="102">
        <f>HYPERLINK("https://my.pitchbook.com?c=121843-27", "View company online")</f>
      </c>
    </row>
    <row r="351">
      <c r="A351" s="9" t="inlineStr">
        <is>
          <t>62071-93</t>
        </is>
      </c>
      <c r="B351" s="10" t="inlineStr">
        <is>
          <t>Vitalacy</t>
        </is>
      </c>
      <c r="C351" s="11" t="inlineStr">
        <is>
          <t/>
        </is>
      </c>
      <c r="D351" s="12" t="inlineStr">
        <is>
          <t/>
        </is>
      </c>
      <c r="E351" s="13" t="inlineStr">
        <is>
          <t/>
        </is>
      </c>
      <c r="F351" s="14" t="inlineStr">
        <is>
          <t/>
        </is>
      </c>
      <c r="G351" s="15" t="inlineStr">
        <is>
          <t/>
        </is>
      </c>
      <c r="H351" s="16" t="inlineStr">
        <is>
          <t/>
        </is>
      </c>
      <c r="I351" s="17" t="inlineStr">
        <is>
          <t/>
        </is>
      </c>
      <c r="J351" s="18" t="inlineStr">
        <is>
          <t/>
        </is>
      </c>
      <c r="K351" s="19" t="inlineStr">
        <is>
          <t>Privately Held (backing)</t>
        </is>
      </c>
      <c r="L351" s="20" t="inlineStr">
        <is>
          <t>Angel-Backed</t>
        </is>
      </c>
      <c r="M351" s="21" t="n">
        <v>42768.0</v>
      </c>
      <c r="N351" s="22" t="inlineStr">
        <is>
          <t>Later Stage VC</t>
        </is>
      </c>
      <c r="O351" s="23" t="inlineStr">
        <is>
          <t/>
        </is>
      </c>
      <c r="P351" s="101">
        <f>HYPERLINK("https://my.pitchbook.com?c=62071-93", "View company online")</f>
      </c>
    </row>
    <row r="352">
      <c r="A352" s="25" t="inlineStr">
        <is>
          <t>103447-99</t>
        </is>
      </c>
      <c r="B352" s="26" t="inlineStr">
        <is>
          <t>Vitagene</t>
        </is>
      </c>
      <c r="C352" s="27" t="inlineStr">
        <is>
          <t/>
        </is>
      </c>
      <c r="D352" s="28" t="inlineStr">
        <is>
          <t/>
        </is>
      </c>
      <c r="E352" s="29" t="inlineStr">
        <is>
          <t/>
        </is>
      </c>
      <c r="F352" s="30" t="inlineStr">
        <is>
          <t/>
        </is>
      </c>
      <c r="G352" s="31" t="inlineStr">
        <is>
          <t/>
        </is>
      </c>
      <c r="H352" s="32" t="inlineStr">
        <is>
          <t/>
        </is>
      </c>
      <c r="I352" s="33" t="inlineStr">
        <is>
          <t/>
        </is>
      </c>
      <c r="J352" s="34" t="inlineStr">
        <is>
          <t/>
        </is>
      </c>
      <c r="K352" s="35" t="inlineStr">
        <is>
          <t>Privately Held (backing)</t>
        </is>
      </c>
      <c r="L352" s="36" t="inlineStr">
        <is>
          <t>Accelerator/Incubator Backed</t>
        </is>
      </c>
      <c r="M352" s="37" t="n">
        <v>42417.0</v>
      </c>
      <c r="N352" s="38" t="inlineStr">
        <is>
          <t>Seed Round</t>
        </is>
      </c>
      <c r="O352" s="39" t="n">
        <v>5.5</v>
      </c>
      <c r="P352" s="102">
        <f>HYPERLINK("https://my.pitchbook.com?c=103447-99", "View company online")</f>
      </c>
    </row>
    <row r="353">
      <c r="A353" s="9" t="inlineStr">
        <is>
          <t>98988-76</t>
        </is>
      </c>
      <c r="B353" s="10" t="inlineStr">
        <is>
          <t>VisualNACert</t>
        </is>
      </c>
      <c r="C353" s="11" t="inlineStr">
        <is>
          <t/>
        </is>
      </c>
      <c r="D353" s="12" t="inlineStr">
        <is>
          <t/>
        </is>
      </c>
      <c r="E353" s="13" t="inlineStr">
        <is>
          <t/>
        </is>
      </c>
      <c r="F353" s="14" t="inlineStr">
        <is>
          <t/>
        </is>
      </c>
      <c r="G353" s="15" t="inlineStr">
        <is>
          <t/>
        </is>
      </c>
      <c r="H353" s="16" t="inlineStr">
        <is>
          <t/>
        </is>
      </c>
      <c r="I353" s="17" t="inlineStr">
        <is>
          <t/>
        </is>
      </c>
      <c r="J353" s="18" t="inlineStr">
        <is>
          <t/>
        </is>
      </c>
      <c r="K353" s="19" t="inlineStr">
        <is>
          <t>Privately Held (backing)</t>
        </is>
      </c>
      <c r="L353" s="20" t="inlineStr">
        <is>
          <t>Accelerator/Incubator Backed</t>
        </is>
      </c>
      <c r="M353" s="21" t="n">
        <v>42108.0</v>
      </c>
      <c r="N353" s="22" t="inlineStr">
        <is>
          <t>Angel (individual)</t>
        </is>
      </c>
      <c r="O353" s="23" t="n">
        <v>1.08</v>
      </c>
      <c r="P353" s="101">
        <f>HYPERLINK("https://my.pitchbook.com?c=98988-76", "View company online")</f>
      </c>
    </row>
    <row r="354">
      <c r="A354" s="25" t="inlineStr">
        <is>
          <t>179852-77</t>
        </is>
      </c>
      <c r="B354" s="26" t="inlineStr">
        <is>
          <t>Visory</t>
        </is>
      </c>
      <c r="C354" s="27" t="inlineStr">
        <is>
          <t/>
        </is>
      </c>
      <c r="D354" s="28" t="inlineStr">
        <is>
          <t/>
        </is>
      </c>
      <c r="E354" s="29" t="inlineStr">
        <is>
          <t/>
        </is>
      </c>
      <c r="F354" s="30" t="inlineStr">
        <is>
          <t/>
        </is>
      </c>
      <c r="G354" s="31" t="inlineStr">
        <is>
          <t/>
        </is>
      </c>
      <c r="H354" s="32" t="inlineStr">
        <is>
          <t/>
        </is>
      </c>
      <c r="I354" s="33" t="inlineStr">
        <is>
          <t/>
        </is>
      </c>
      <c r="J354" s="34" t="inlineStr">
        <is>
          <t/>
        </is>
      </c>
      <c r="K354" s="35" t="inlineStr">
        <is>
          <t>Privately Held (backing)</t>
        </is>
      </c>
      <c r="L354" s="36" t="inlineStr">
        <is>
          <t>Angel-Backed</t>
        </is>
      </c>
      <c r="M354" s="37" t="n">
        <v>42829.0</v>
      </c>
      <c r="N354" s="38" t="inlineStr">
        <is>
          <t>Angel (individual)</t>
        </is>
      </c>
      <c r="O354" s="39" t="n">
        <v>0.01</v>
      </c>
      <c r="P354" s="102">
        <f>HYPERLINK("https://my.pitchbook.com?c=179852-77", "View company online")</f>
      </c>
    </row>
    <row r="355">
      <c r="A355" s="9" t="inlineStr">
        <is>
          <t>173892-61</t>
        </is>
      </c>
      <c r="B355" s="10" t="inlineStr">
        <is>
          <t>VisionX</t>
        </is>
      </c>
      <c r="C355" s="11" t="inlineStr">
        <is>
          <t/>
        </is>
      </c>
      <c r="D355" s="12" t="inlineStr">
        <is>
          <t/>
        </is>
      </c>
      <c r="E355" s="13" t="inlineStr">
        <is>
          <t/>
        </is>
      </c>
      <c r="F355" s="14" t="inlineStr">
        <is>
          <t/>
        </is>
      </c>
      <c r="G355" s="15" t="inlineStr">
        <is>
          <t/>
        </is>
      </c>
      <c r="H355" s="16" t="inlineStr">
        <is>
          <t/>
        </is>
      </c>
      <c r="I355" s="17" t="inlineStr">
        <is>
          <t/>
        </is>
      </c>
      <c r="J355" s="18" t="inlineStr">
        <is>
          <t/>
        </is>
      </c>
      <c r="K355" s="19" t="inlineStr">
        <is>
          <t>Privately Held (backing)</t>
        </is>
      </c>
      <c r="L355" s="20" t="inlineStr">
        <is>
          <t>Accelerator/Incubator Backed</t>
        </is>
      </c>
      <c r="M355" s="21" t="n">
        <v>42583.0</v>
      </c>
      <c r="N355" s="22" t="inlineStr">
        <is>
          <t>Accelerator/Incubator</t>
        </is>
      </c>
      <c r="O355" s="23" t="n">
        <v>0.15</v>
      </c>
      <c r="P355" s="101">
        <f>HYPERLINK("https://my.pitchbook.com?c=173892-61", "View company online")</f>
      </c>
    </row>
    <row r="356">
      <c r="A356" s="25" t="inlineStr">
        <is>
          <t>174390-67</t>
        </is>
      </c>
      <c r="B356" s="26" t="inlineStr">
        <is>
          <t>Visionary Realms</t>
        </is>
      </c>
      <c r="C356" s="27" t="inlineStr">
        <is>
          <t/>
        </is>
      </c>
      <c r="D356" s="28" t="inlineStr">
        <is>
          <t/>
        </is>
      </c>
      <c r="E356" s="29" t="inlineStr">
        <is>
          <t/>
        </is>
      </c>
      <c r="F356" s="30" t="inlineStr">
        <is>
          <t/>
        </is>
      </c>
      <c r="G356" s="31" t="inlineStr">
        <is>
          <t/>
        </is>
      </c>
      <c r="H356" s="32" t="inlineStr">
        <is>
          <t/>
        </is>
      </c>
      <c r="I356" s="33" t="inlineStr">
        <is>
          <t/>
        </is>
      </c>
      <c r="J356" s="34" t="inlineStr">
        <is>
          <t/>
        </is>
      </c>
      <c r="K356" s="35" t="inlineStr">
        <is>
          <t>Privately Held (backing)</t>
        </is>
      </c>
      <c r="L356" s="36" t="inlineStr">
        <is>
          <t>Angel-Backed</t>
        </is>
      </c>
      <c r="M356" s="37" t="n">
        <v>42851.0</v>
      </c>
      <c r="N356" s="38" t="inlineStr">
        <is>
          <t>Angel (individual)</t>
        </is>
      </c>
      <c r="O356" s="39" t="inlineStr">
        <is>
          <t/>
        </is>
      </c>
      <c r="P356" s="102">
        <f>HYPERLINK("https://my.pitchbook.com?c=174390-67", "View company online")</f>
      </c>
    </row>
    <row r="357">
      <c r="A357" s="9" t="inlineStr">
        <is>
          <t>102623-05</t>
        </is>
      </c>
      <c r="B357" s="10" t="inlineStr">
        <is>
          <t>Visionary Pharmaceuticals</t>
        </is>
      </c>
      <c r="C357" s="11" t="inlineStr">
        <is>
          <t/>
        </is>
      </c>
      <c r="D357" s="12" t="inlineStr">
        <is>
          <t/>
        </is>
      </c>
      <c r="E357" s="13" t="inlineStr">
        <is>
          <t/>
        </is>
      </c>
      <c r="F357" s="14" t="inlineStr">
        <is>
          <t/>
        </is>
      </c>
      <c r="G357" s="15" t="inlineStr">
        <is>
          <t/>
        </is>
      </c>
      <c r="H357" s="16" t="inlineStr">
        <is>
          <t/>
        </is>
      </c>
      <c r="I357" s="17" t="inlineStr">
        <is>
          <t/>
        </is>
      </c>
      <c r="J357" s="18" t="inlineStr">
        <is>
          <t/>
        </is>
      </c>
      <c r="K357" s="19" t="inlineStr">
        <is>
          <t>Privately Held (backing)</t>
        </is>
      </c>
      <c r="L357" s="20" t="inlineStr">
        <is>
          <t>Accelerator/Incubator Backed</t>
        </is>
      </c>
      <c r="M357" s="21" t="n">
        <v>41338.0</v>
      </c>
      <c r="N357" s="22" t="inlineStr">
        <is>
          <t>Grant</t>
        </is>
      </c>
      <c r="O357" s="23" t="inlineStr">
        <is>
          <t/>
        </is>
      </c>
      <c r="P357" s="101">
        <f>HYPERLINK("https://my.pitchbook.com?c=102623-05", "View company online")</f>
      </c>
    </row>
    <row r="358">
      <c r="A358" s="25" t="inlineStr">
        <is>
          <t>56413-18</t>
        </is>
      </c>
      <c r="B358" s="26" t="inlineStr">
        <is>
          <t>Visible Brands</t>
        </is>
      </c>
      <c r="C358" s="27" t="inlineStr">
        <is>
          <t/>
        </is>
      </c>
      <c r="D358" s="28" t="inlineStr">
        <is>
          <t/>
        </is>
      </c>
      <c r="E358" s="29" t="inlineStr">
        <is>
          <t/>
        </is>
      </c>
      <c r="F358" s="30" t="inlineStr">
        <is>
          <t/>
        </is>
      </c>
      <c r="G358" s="31" t="inlineStr">
        <is>
          <t/>
        </is>
      </c>
      <c r="H358" s="32" t="inlineStr">
        <is>
          <t/>
        </is>
      </c>
      <c r="I358" s="33" t="inlineStr">
        <is>
          <t/>
        </is>
      </c>
      <c r="J358" s="34" t="inlineStr">
        <is>
          <t/>
        </is>
      </c>
      <c r="K358" s="35" t="inlineStr">
        <is>
          <t>Privately Held (backing)</t>
        </is>
      </c>
      <c r="L358" s="36" t="inlineStr">
        <is>
          <t>Angel-Backed</t>
        </is>
      </c>
      <c r="M358" s="37" t="n">
        <v>41662.0</v>
      </c>
      <c r="N358" s="38" t="inlineStr">
        <is>
          <t>Angel (individual)</t>
        </is>
      </c>
      <c r="O358" s="39" t="n">
        <v>4.6</v>
      </c>
      <c r="P358" s="102">
        <f>HYPERLINK("https://my.pitchbook.com?c=56413-18", "View company online")</f>
      </c>
    </row>
    <row r="359">
      <c r="A359" s="9" t="inlineStr">
        <is>
          <t>103495-33</t>
        </is>
      </c>
      <c r="B359" s="10" t="inlineStr">
        <is>
          <t>Visada</t>
        </is>
      </c>
      <c r="C359" s="11" t="inlineStr">
        <is>
          <t/>
        </is>
      </c>
      <c r="D359" s="12" t="inlineStr">
        <is>
          <t/>
        </is>
      </c>
      <c r="E359" s="13" t="inlineStr">
        <is>
          <t/>
        </is>
      </c>
      <c r="F359" s="14" t="inlineStr">
        <is>
          <t/>
        </is>
      </c>
      <c r="G359" s="15" t="inlineStr">
        <is>
          <t/>
        </is>
      </c>
      <c r="H359" s="16" t="inlineStr">
        <is>
          <t/>
        </is>
      </c>
      <c r="I359" s="17" t="inlineStr">
        <is>
          <t/>
        </is>
      </c>
      <c r="J359" s="18" t="inlineStr">
        <is>
          <t/>
        </is>
      </c>
      <c r="K359" s="19" t="inlineStr">
        <is>
          <t>Privately Held (backing)</t>
        </is>
      </c>
      <c r="L359" s="20" t="inlineStr">
        <is>
          <t>Angel-Backed</t>
        </is>
      </c>
      <c r="M359" s="21" t="n">
        <v>41456.0</v>
      </c>
      <c r="N359" s="22" t="inlineStr">
        <is>
          <t>Seed Round</t>
        </is>
      </c>
      <c r="O359" s="23" t="n">
        <v>1.1</v>
      </c>
      <c r="P359" s="101">
        <f>HYPERLINK("https://my.pitchbook.com?c=103495-33", "View company online")</f>
      </c>
    </row>
    <row r="360">
      <c r="A360" s="25" t="inlineStr">
        <is>
          <t>118845-55</t>
        </is>
      </c>
      <c r="B360" s="26" t="inlineStr">
        <is>
          <t>VirtuMed</t>
        </is>
      </c>
      <c r="C360" s="27" t="inlineStr">
        <is>
          <t/>
        </is>
      </c>
      <c r="D360" s="28" t="inlineStr">
        <is>
          <t/>
        </is>
      </c>
      <c r="E360" s="29" t="inlineStr">
        <is>
          <t/>
        </is>
      </c>
      <c r="F360" s="30" t="inlineStr">
        <is>
          <t/>
        </is>
      </c>
      <c r="G360" s="31" t="inlineStr">
        <is>
          <t/>
        </is>
      </c>
      <c r="H360" s="32" t="inlineStr">
        <is>
          <t/>
        </is>
      </c>
      <c r="I360" s="33" t="inlineStr">
        <is>
          <t/>
        </is>
      </c>
      <c r="J360" s="34" t="inlineStr">
        <is>
          <t/>
        </is>
      </c>
      <c r="K360" s="35" t="inlineStr">
        <is>
          <t>Privately Held (backing)</t>
        </is>
      </c>
      <c r="L360" s="36" t="inlineStr">
        <is>
          <t>Angel-Backed</t>
        </is>
      </c>
      <c r="M360" s="37" t="n">
        <v>42213.0</v>
      </c>
      <c r="N360" s="38" t="inlineStr">
        <is>
          <t>Angel (individual)</t>
        </is>
      </c>
      <c r="O360" s="39" t="n">
        <v>0.05</v>
      </c>
      <c r="P360" s="102">
        <f>HYPERLINK("https://my.pitchbook.com?c=118845-55", "View company online")</f>
      </c>
    </row>
    <row r="361">
      <c r="A361" s="9" t="inlineStr">
        <is>
          <t>99356-86</t>
        </is>
      </c>
      <c r="B361" s="10" t="inlineStr">
        <is>
          <t>Virgo Travel</t>
        </is>
      </c>
      <c r="C361" s="11" t="inlineStr">
        <is>
          <t/>
        </is>
      </c>
      <c r="D361" s="12" t="inlineStr">
        <is>
          <t/>
        </is>
      </c>
      <c r="E361" s="13" t="inlineStr">
        <is>
          <t/>
        </is>
      </c>
      <c r="F361" s="14" t="inlineStr">
        <is>
          <t/>
        </is>
      </c>
      <c r="G361" s="15" t="inlineStr">
        <is>
          <t/>
        </is>
      </c>
      <c r="H361" s="16" t="inlineStr">
        <is>
          <t/>
        </is>
      </c>
      <c r="I361" s="17" t="inlineStr">
        <is>
          <t/>
        </is>
      </c>
      <c r="J361" s="18" t="inlineStr">
        <is>
          <t/>
        </is>
      </c>
      <c r="K361" s="19" t="inlineStr">
        <is>
          <t>Privately Held (backing)</t>
        </is>
      </c>
      <c r="L361" s="20" t="inlineStr">
        <is>
          <t>Angel-Backed</t>
        </is>
      </c>
      <c r="M361" s="21" t="n">
        <v>41939.0</v>
      </c>
      <c r="N361" s="22" t="inlineStr">
        <is>
          <t>Seed Round</t>
        </is>
      </c>
      <c r="O361" s="23" t="n">
        <v>0.77</v>
      </c>
      <c r="P361" s="101">
        <f>HYPERLINK("https://my.pitchbook.com?c=99356-86", "View company online")</f>
      </c>
    </row>
    <row r="362">
      <c r="A362" s="25" t="inlineStr">
        <is>
          <t>154056-52</t>
        </is>
      </c>
      <c r="B362" s="26" t="inlineStr">
        <is>
          <t>Virginia Black</t>
        </is>
      </c>
      <c r="C362" s="27" t="inlineStr">
        <is>
          <t/>
        </is>
      </c>
      <c r="D362" s="28" t="inlineStr">
        <is>
          <t/>
        </is>
      </c>
      <c r="E362" s="29" t="inlineStr">
        <is>
          <t/>
        </is>
      </c>
      <c r="F362" s="30" t="inlineStr">
        <is>
          <t/>
        </is>
      </c>
      <c r="G362" s="31" t="inlineStr">
        <is>
          <t/>
        </is>
      </c>
      <c r="H362" s="32" t="inlineStr">
        <is>
          <t/>
        </is>
      </c>
      <c r="I362" s="33" t="inlineStr">
        <is>
          <t/>
        </is>
      </c>
      <c r="J362" s="34" t="inlineStr">
        <is>
          <t/>
        </is>
      </c>
      <c r="K362" s="35" t="inlineStr">
        <is>
          <t>Privately Held (backing)</t>
        </is>
      </c>
      <c r="L362" s="36" t="inlineStr">
        <is>
          <t>Angel-Backed</t>
        </is>
      </c>
      <c r="M362" s="37" t="n">
        <v>42418.0</v>
      </c>
      <c r="N362" s="38" t="inlineStr">
        <is>
          <t>Seed Round</t>
        </is>
      </c>
      <c r="O362" s="39" t="n">
        <v>1.55</v>
      </c>
      <c r="P362" s="102">
        <f>HYPERLINK("https://my.pitchbook.com?c=154056-52", "View company online")</f>
      </c>
    </row>
    <row r="363">
      <c r="A363" s="9" t="inlineStr">
        <is>
          <t>104349-34</t>
        </is>
      </c>
      <c r="B363" s="10" t="inlineStr">
        <is>
          <t>ViRect</t>
        </is>
      </c>
      <c r="C363" s="11" t="inlineStr">
        <is>
          <t/>
        </is>
      </c>
      <c r="D363" s="12" t="inlineStr">
        <is>
          <t/>
        </is>
      </c>
      <c r="E363" s="13" t="inlineStr">
        <is>
          <t/>
        </is>
      </c>
      <c r="F363" s="14" t="inlineStr">
        <is>
          <t/>
        </is>
      </c>
      <c r="G363" s="15" t="inlineStr">
        <is>
          <t/>
        </is>
      </c>
      <c r="H363" s="16" t="inlineStr">
        <is>
          <t/>
        </is>
      </c>
      <c r="I363" s="17" t="inlineStr">
        <is>
          <t/>
        </is>
      </c>
      <c r="J363" s="18" t="inlineStr">
        <is>
          <t/>
        </is>
      </c>
      <c r="K363" s="19" t="inlineStr">
        <is>
          <t>Privately Held (backing)</t>
        </is>
      </c>
      <c r="L363" s="20" t="inlineStr">
        <is>
          <t>Accelerator/Incubator Backed</t>
        </is>
      </c>
      <c r="M363" s="21" t="n">
        <v>42269.0</v>
      </c>
      <c r="N363" s="22" t="inlineStr">
        <is>
          <t>Angel (individual)</t>
        </is>
      </c>
      <c r="O363" s="23" t="inlineStr">
        <is>
          <t/>
        </is>
      </c>
      <c r="P363" s="101">
        <f>HYPERLINK("https://my.pitchbook.com?c=104349-34", "View company online")</f>
      </c>
    </row>
    <row r="364">
      <c r="A364" s="25" t="inlineStr">
        <is>
          <t>169851-61</t>
        </is>
      </c>
      <c r="B364" s="26" t="inlineStr">
        <is>
          <t>Viralocity Software</t>
        </is>
      </c>
      <c r="C364" s="27" t="inlineStr">
        <is>
          <t/>
        </is>
      </c>
      <c r="D364" s="28" t="inlineStr">
        <is>
          <t/>
        </is>
      </c>
      <c r="E364" s="29" t="inlineStr">
        <is>
          <t/>
        </is>
      </c>
      <c r="F364" s="30" t="inlineStr">
        <is>
          <t/>
        </is>
      </c>
      <c r="G364" s="31" t="inlineStr">
        <is>
          <t/>
        </is>
      </c>
      <c r="H364" s="32" t="inlineStr">
        <is>
          <t/>
        </is>
      </c>
      <c r="I364" s="33" t="inlineStr">
        <is>
          <t/>
        </is>
      </c>
      <c r="J364" s="34" t="inlineStr">
        <is>
          <t/>
        </is>
      </c>
      <c r="K364" s="35" t="inlineStr">
        <is>
          <t>Privately Held (backing)</t>
        </is>
      </c>
      <c r="L364" s="36" t="inlineStr">
        <is>
          <t>Angel-Backed</t>
        </is>
      </c>
      <c r="M364" s="37" t="n">
        <v>42748.0</v>
      </c>
      <c r="N364" s="38" t="inlineStr">
        <is>
          <t>Angel (individual)</t>
        </is>
      </c>
      <c r="O364" s="39" t="n">
        <v>0.27</v>
      </c>
      <c r="P364" s="102">
        <f>HYPERLINK("https://my.pitchbook.com?c=169851-61", "View company online")</f>
      </c>
    </row>
    <row r="365">
      <c r="A365" s="9" t="inlineStr">
        <is>
          <t>123267-79</t>
        </is>
      </c>
      <c r="B365" s="10" t="inlineStr">
        <is>
          <t>Viral Forensics</t>
        </is>
      </c>
      <c r="C365" s="11" t="inlineStr">
        <is>
          <t/>
        </is>
      </c>
      <c r="D365" s="12" t="inlineStr">
        <is>
          <t/>
        </is>
      </c>
      <c r="E365" s="13" t="inlineStr">
        <is>
          <t/>
        </is>
      </c>
      <c r="F365" s="14" t="inlineStr">
        <is>
          <t/>
        </is>
      </c>
      <c r="G365" s="15" t="inlineStr">
        <is>
          <t/>
        </is>
      </c>
      <c r="H365" s="16" t="inlineStr">
        <is>
          <t/>
        </is>
      </c>
      <c r="I365" s="17" t="inlineStr">
        <is>
          <t/>
        </is>
      </c>
      <c r="J365" s="18" t="inlineStr">
        <is>
          <t/>
        </is>
      </c>
      <c r="K365" s="19" t="inlineStr">
        <is>
          <t>Privately Held (backing)</t>
        </is>
      </c>
      <c r="L365" s="20" t="inlineStr">
        <is>
          <t>Accelerator/Incubator Backed</t>
        </is>
      </c>
      <c r="M365" s="21" t="inlineStr">
        <is>
          <t/>
        </is>
      </c>
      <c r="N365" s="22" t="inlineStr">
        <is>
          <t>Accelerator/Incubator</t>
        </is>
      </c>
      <c r="O365" s="23" t="inlineStr">
        <is>
          <t/>
        </is>
      </c>
      <c r="P365" s="101">
        <f>HYPERLINK("https://my.pitchbook.com?c=123267-79", "View company online")</f>
      </c>
    </row>
    <row r="366">
      <c r="A366" s="25" t="inlineStr">
        <is>
          <t>103493-98</t>
        </is>
      </c>
      <c r="B366" s="26" t="inlineStr">
        <is>
          <t>Vir2us</t>
        </is>
      </c>
      <c r="C366" s="27" t="inlineStr">
        <is>
          <t/>
        </is>
      </c>
      <c r="D366" s="28" t="inlineStr">
        <is>
          <t/>
        </is>
      </c>
      <c r="E366" s="29" t="inlineStr">
        <is>
          <t/>
        </is>
      </c>
      <c r="F366" s="30" t="inlineStr">
        <is>
          <t/>
        </is>
      </c>
      <c r="G366" s="31" t="inlineStr">
        <is>
          <t/>
        </is>
      </c>
      <c r="H366" s="32" t="inlineStr">
        <is>
          <t/>
        </is>
      </c>
      <c r="I366" s="33" t="inlineStr">
        <is>
          <t/>
        </is>
      </c>
      <c r="J366" s="34" t="inlineStr">
        <is>
          <t/>
        </is>
      </c>
      <c r="K366" s="35" t="inlineStr">
        <is>
          <t>Privately Held (backing)</t>
        </is>
      </c>
      <c r="L366" s="36" t="inlineStr">
        <is>
          <t>Angel-Backed</t>
        </is>
      </c>
      <c r="M366" s="37" t="n">
        <v>41009.0</v>
      </c>
      <c r="N366" s="38" t="inlineStr">
        <is>
          <t>Angel (individual)</t>
        </is>
      </c>
      <c r="O366" s="39" t="n">
        <v>3.0</v>
      </c>
      <c r="P366" s="102">
        <f>HYPERLINK("https://my.pitchbook.com?c=103493-98", "View company online")</f>
      </c>
    </row>
    <row r="367">
      <c r="A367" s="9" t="inlineStr">
        <is>
          <t>56430-01</t>
        </is>
      </c>
      <c r="B367" s="10" t="inlineStr">
        <is>
          <t>VipeCloud</t>
        </is>
      </c>
      <c r="C367" s="11" t="inlineStr">
        <is>
          <t/>
        </is>
      </c>
      <c r="D367" s="12" t="inlineStr">
        <is>
          <t/>
        </is>
      </c>
      <c r="E367" s="13" t="inlineStr">
        <is>
          <t/>
        </is>
      </c>
      <c r="F367" s="14" t="inlineStr">
        <is>
          <t/>
        </is>
      </c>
      <c r="G367" s="15" t="inlineStr">
        <is>
          <t/>
        </is>
      </c>
      <c r="H367" s="16" t="inlineStr">
        <is>
          <t/>
        </is>
      </c>
      <c r="I367" s="17" t="inlineStr">
        <is>
          <t/>
        </is>
      </c>
      <c r="J367" s="18" t="inlineStr">
        <is>
          <t/>
        </is>
      </c>
      <c r="K367" s="19" t="inlineStr">
        <is>
          <t>Privately Held (backing)</t>
        </is>
      </c>
      <c r="L367" s="20" t="inlineStr">
        <is>
          <t>Accelerator/Incubator Backed</t>
        </is>
      </c>
      <c r="M367" s="21" t="n">
        <v>41312.0</v>
      </c>
      <c r="N367" s="22" t="inlineStr">
        <is>
          <t>Accelerator/Incubator</t>
        </is>
      </c>
      <c r="O367" s="23" t="inlineStr">
        <is>
          <t/>
        </is>
      </c>
      <c r="P367" s="101">
        <f>HYPERLINK("https://my.pitchbook.com?c=56430-01", "View company online")</f>
      </c>
    </row>
    <row r="368">
      <c r="A368" s="25" t="inlineStr">
        <is>
          <t>59254-03</t>
        </is>
      </c>
      <c r="B368" s="26" t="inlineStr">
        <is>
          <t>Vionic</t>
        </is>
      </c>
      <c r="C368" s="27" t="inlineStr">
        <is>
          <t/>
        </is>
      </c>
      <c r="D368" s="28" t="inlineStr">
        <is>
          <t/>
        </is>
      </c>
      <c r="E368" s="29" t="inlineStr">
        <is>
          <t/>
        </is>
      </c>
      <c r="F368" s="30" t="inlineStr">
        <is>
          <t/>
        </is>
      </c>
      <c r="G368" s="31" t="inlineStr">
        <is>
          <t/>
        </is>
      </c>
      <c r="H368" s="32" t="inlineStr">
        <is>
          <t/>
        </is>
      </c>
      <c r="I368" s="33" t="inlineStr">
        <is>
          <t/>
        </is>
      </c>
      <c r="J368" s="34" t="inlineStr">
        <is>
          <t/>
        </is>
      </c>
      <c r="K368" s="35" t="inlineStr">
        <is>
          <t>Privately Held (backing)</t>
        </is>
      </c>
      <c r="L368" s="36" t="inlineStr">
        <is>
          <t>Angel-Backed</t>
        </is>
      </c>
      <c r="M368" s="37" t="n">
        <v>42307.0</v>
      </c>
      <c r="N368" s="38" t="inlineStr">
        <is>
          <t>Seed Round</t>
        </is>
      </c>
      <c r="O368" s="39" t="n">
        <v>0.42</v>
      </c>
      <c r="P368" s="102">
        <f>HYPERLINK("https://my.pitchbook.com?c=59254-03", "View company online")</f>
      </c>
    </row>
    <row r="369">
      <c r="A369" s="9" t="inlineStr">
        <is>
          <t>118713-07</t>
        </is>
      </c>
      <c r="B369" s="10" t="inlineStr">
        <is>
          <t>Vinz Clortho</t>
        </is>
      </c>
      <c r="C369" s="11" t="inlineStr">
        <is>
          <t/>
        </is>
      </c>
      <c r="D369" s="12" t="inlineStr">
        <is>
          <t/>
        </is>
      </c>
      <c r="E369" s="13" t="inlineStr">
        <is>
          <t/>
        </is>
      </c>
      <c r="F369" s="14" t="inlineStr">
        <is>
          <t/>
        </is>
      </c>
      <c r="G369" s="15" t="inlineStr">
        <is>
          <t/>
        </is>
      </c>
      <c r="H369" s="16" t="inlineStr">
        <is>
          <t/>
        </is>
      </c>
      <c r="I369" s="17" t="inlineStr">
        <is>
          <t/>
        </is>
      </c>
      <c r="J369" s="18" t="inlineStr">
        <is>
          <t/>
        </is>
      </c>
      <c r="K369" s="19" t="inlineStr">
        <is>
          <t>Privately Held (backing)</t>
        </is>
      </c>
      <c r="L369" s="20" t="inlineStr">
        <is>
          <t>Angel-Backed</t>
        </is>
      </c>
      <c r="M369" s="21" t="n">
        <v>42167.0</v>
      </c>
      <c r="N369" s="22" t="inlineStr">
        <is>
          <t>Angel (individual)</t>
        </is>
      </c>
      <c r="O369" s="23" t="n">
        <v>0.05</v>
      </c>
      <c r="P369" s="101">
        <f>HYPERLINK("https://my.pitchbook.com?c=118713-07", "View company online")</f>
      </c>
    </row>
    <row r="370">
      <c r="A370" s="25" t="inlineStr">
        <is>
          <t>113719-69</t>
        </is>
      </c>
      <c r="B370" s="26" t="inlineStr">
        <is>
          <t>Vinsight</t>
        </is>
      </c>
      <c r="C370" s="27" t="inlineStr">
        <is>
          <t/>
        </is>
      </c>
      <c r="D370" s="28" t="inlineStr">
        <is>
          <t/>
        </is>
      </c>
      <c r="E370" s="29" t="inlineStr">
        <is>
          <t/>
        </is>
      </c>
      <c r="F370" s="30" t="inlineStr">
        <is>
          <t/>
        </is>
      </c>
      <c r="G370" s="31" t="inlineStr">
        <is>
          <t/>
        </is>
      </c>
      <c r="H370" s="32" t="inlineStr">
        <is>
          <t/>
        </is>
      </c>
      <c r="I370" s="33" t="inlineStr">
        <is>
          <t/>
        </is>
      </c>
      <c r="J370" s="34" t="inlineStr">
        <is>
          <t/>
        </is>
      </c>
      <c r="K370" s="35" t="inlineStr">
        <is>
          <t>Privately Held (backing)</t>
        </is>
      </c>
      <c r="L370" s="36" t="inlineStr">
        <is>
          <t>Accelerator/Incubator Backed</t>
        </is>
      </c>
      <c r="M370" s="37" t="n">
        <v>42815.0</v>
      </c>
      <c r="N370" s="38" t="inlineStr">
        <is>
          <t>Accelerator/Incubator</t>
        </is>
      </c>
      <c r="O370" s="39" t="n">
        <v>0.12</v>
      </c>
      <c r="P370" s="102">
        <f>HYPERLINK("https://my.pitchbook.com?c=113719-69", "View company online")</f>
      </c>
    </row>
    <row r="371">
      <c r="A371" s="9" t="inlineStr">
        <is>
          <t>54330-76</t>
        </is>
      </c>
      <c r="B371" s="10" t="inlineStr">
        <is>
          <t>VinPerfect</t>
        </is>
      </c>
      <c r="C371" s="11" t="inlineStr">
        <is>
          <t/>
        </is>
      </c>
      <c r="D371" s="12" t="inlineStr">
        <is>
          <t/>
        </is>
      </c>
      <c r="E371" s="13" t="inlineStr">
        <is>
          <t/>
        </is>
      </c>
      <c r="F371" s="14" t="inlineStr">
        <is>
          <t/>
        </is>
      </c>
      <c r="G371" s="15" t="inlineStr">
        <is>
          <t/>
        </is>
      </c>
      <c r="H371" s="16" t="inlineStr">
        <is>
          <t/>
        </is>
      </c>
      <c r="I371" s="17" t="inlineStr">
        <is>
          <t/>
        </is>
      </c>
      <c r="J371" s="18" t="inlineStr">
        <is>
          <t/>
        </is>
      </c>
      <c r="K371" s="19" t="inlineStr">
        <is>
          <t>Privately Held (backing)</t>
        </is>
      </c>
      <c r="L371" s="20" t="inlineStr">
        <is>
          <t>Angel-Backed</t>
        </is>
      </c>
      <c r="M371" s="21" t="n">
        <v>41901.0</v>
      </c>
      <c r="N371" s="22" t="inlineStr">
        <is>
          <t>Later Stage VC</t>
        </is>
      </c>
      <c r="O371" s="23" t="n">
        <v>0.69</v>
      </c>
      <c r="P371" s="101">
        <f>HYPERLINK("https://my.pitchbook.com?c=54330-76", "View company online")</f>
      </c>
    </row>
    <row r="372">
      <c r="A372" s="25" t="inlineStr">
        <is>
          <t>127583-02</t>
        </is>
      </c>
      <c r="B372" s="26" t="inlineStr">
        <is>
          <t>Vinoshipper</t>
        </is>
      </c>
      <c r="C372" s="27" t="inlineStr">
        <is>
          <t/>
        </is>
      </c>
      <c r="D372" s="28" t="inlineStr">
        <is>
          <t/>
        </is>
      </c>
      <c r="E372" s="29" t="inlineStr">
        <is>
          <t/>
        </is>
      </c>
      <c r="F372" s="30" t="inlineStr">
        <is>
          <t/>
        </is>
      </c>
      <c r="G372" s="31" t="inlineStr">
        <is>
          <t/>
        </is>
      </c>
      <c r="H372" s="32" t="inlineStr">
        <is>
          <t/>
        </is>
      </c>
      <c r="I372" s="33" t="inlineStr">
        <is>
          <t/>
        </is>
      </c>
      <c r="J372" s="34" t="inlineStr">
        <is>
          <t/>
        </is>
      </c>
      <c r="K372" s="35" t="inlineStr">
        <is>
          <t>Privately Held (backing)</t>
        </is>
      </c>
      <c r="L372" s="36" t="inlineStr">
        <is>
          <t>Angel-Backed</t>
        </is>
      </c>
      <c r="M372" s="37" t="n">
        <v>42438.0</v>
      </c>
      <c r="N372" s="38" t="inlineStr">
        <is>
          <t>Angel (individual)</t>
        </is>
      </c>
      <c r="O372" s="39" t="n">
        <v>0.61</v>
      </c>
      <c r="P372" s="102">
        <f>HYPERLINK("https://my.pitchbook.com?c=127583-02", "View company online")</f>
      </c>
    </row>
    <row r="373">
      <c r="A373" s="9" t="inlineStr">
        <is>
          <t>103317-85</t>
        </is>
      </c>
      <c r="B373" s="10" t="inlineStr">
        <is>
          <t>Vinomis Laboratories</t>
        </is>
      </c>
      <c r="C373" s="11" t="inlineStr">
        <is>
          <t/>
        </is>
      </c>
      <c r="D373" s="12" t="inlineStr">
        <is>
          <t/>
        </is>
      </c>
      <c r="E373" s="13" t="inlineStr">
        <is>
          <t/>
        </is>
      </c>
      <c r="F373" s="14" t="inlineStr">
        <is>
          <t/>
        </is>
      </c>
      <c r="G373" s="15" t="inlineStr">
        <is>
          <t/>
        </is>
      </c>
      <c r="H373" s="16" t="inlineStr">
        <is>
          <t/>
        </is>
      </c>
      <c r="I373" s="17" t="inlineStr">
        <is>
          <t/>
        </is>
      </c>
      <c r="J373" s="18" t="inlineStr">
        <is>
          <t/>
        </is>
      </c>
      <c r="K373" s="19" t="inlineStr">
        <is>
          <t>Privately Held (backing)</t>
        </is>
      </c>
      <c r="L373" s="20" t="inlineStr">
        <is>
          <t>Angel-Backed</t>
        </is>
      </c>
      <c r="M373" s="21" t="n">
        <v>41429.0</v>
      </c>
      <c r="N373" s="22" t="inlineStr">
        <is>
          <t>Seed Round</t>
        </is>
      </c>
      <c r="O373" s="23" t="n">
        <v>0.39</v>
      </c>
      <c r="P373" s="101">
        <f>HYPERLINK("https://my.pitchbook.com?c=103317-85", "View company online")</f>
      </c>
    </row>
    <row r="374">
      <c r="A374" s="25" t="inlineStr">
        <is>
          <t>104769-19</t>
        </is>
      </c>
      <c r="B374" s="26" t="inlineStr">
        <is>
          <t>Vinobo</t>
        </is>
      </c>
      <c r="C374" s="27" t="inlineStr">
        <is>
          <t/>
        </is>
      </c>
      <c r="D374" s="28" t="inlineStr">
        <is>
          <t/>
        </is>
      </c>
      <c r="E374" s="29" t="inlineStr">
        <is>
          <t/>
        </is>
      </c>
      <c r="F374" s="30" t="inlineStr">
        <is>
          <t/>
        </is>
      </c>
      <c r="G374" s="31" t="inlineStr">
        <is>
          <t/>
        </is>
      </c>
      <c r="H374" s="32" t="inlineStr">
        <is>
          <t/>
        </is>
      </c>
      <c r="I374" s="33" t="inlineStr">
        <is>
          <t/>
        </is>
      </c>
      <c r="J374" s="34" t="inlineStr">
        <is>
          <t/>
        </is>
      </c>
      <c r="K374" s="35" t="inlineStr">
        <is>
          <t>Privately Held (backing)</t>
        </is>
      </c>
      <c r="L374" s="36" t="inlineStr">
        <is>
          <t>Angel-Backed</t>
        </is>
      </c>
      <c r="M374" s="37" t="n">
        <v>41426.0</v>
      </c>
      <c r="N374" s="38" t="inlineStr">
        <is>
          <t>Seed Round</t>
        </is>
      </c>
      <c r="O374" s="39" t="inlineStr">
        <is>
          <t/>
        </is>
      </c>
      <c r="P374" s="102">
        <f>HYPERLINK("https://my.pitchbook.com?c=104769-19", "View company online")</f>
      </c>
    </row>
    <row r="375">
      <c r="A375" s="9" t="inlineStr">
        <is>
          <t>94775-41</t>
        </is>
      </c>
      <c r="B375" s="10" t="inlineStr">
        <is>
          <t>Vincita Networks</t>
        </is>
      </c>
      <c r="C375" s="11" t="inlineStr">
        <is>
          <t/>
        </is>
      </c>
      <c r="D375" s="12" t="inlineStr">
        <is>
          <t/>
        </is>
      </c>
      <c r="E375" s="13" t="inlineStr">
        <is>
          <t/>
        </is>
      </c>
      <c r="F375" s="14" t="inlineStr">
        <is>
          <t/>
        </is>
      </c>
      <c r="G375" s="15" t="inlineStr">
        <is>
          <t/>
        </is>
      </c>
      <c r="H375" s="16" t="inlineStr">
        <is>
          <t/>
        </is>
      </c>
      <c r="I375" s="17" t="inlineStr">
        <is>
          <t/>
        </is>
      </c>
      <c r="J375" s="18" t="inlineStr">
        <is>
          <t/>
        </is>
      </c>
      <c r="K375" s="19" t="inlineStr">
        <is>
          <t>Privately Held (backing)</t>
        </is>
      </c>
      <c r="L375" s="20" t="inlineStr">
        <is>
          <t>Angel-Backed</t>
        </is>
      </c>
      <c r="M375" s="21" t="n">
        <v>40760.0</v>
      </c>
      <c r="N375" s="22" t="inlineStr">
        <is>
          <t>Seed Round</t>
        </is>
      </c>
      <c r="O375" s="23" t="n">
        <v>0.25</v>
      </c>
      <c r="P375" s="101">
        <f>HYPERLINK("https://my.pitchbook.com?c=94775-41", "View company online")</f>
      </c>
    </row>
    <row r="376">
      <c r="A376" s="25" t="inlineStr">
        <is>
          <t>178719-31</t>
        </is>
      </c>
      <c r="B376" s="26" t="inlineStr">
        <is>
          <t>Villa (Toolbox)</t>
        </is>
      </c>
      <c r="C376" s="27" t="inlineStr">
        <is>
          <t/>
        </is>
      </c>
      <c r="D376" s="28" t="inlineStr">
        <is>
          <t/>
        </is>
      </c>
      <c r="E376" s="29" t="inlineStr">
        <is>
          <t/>
        </is>
      </c>
      <c r="F376" s="30" t="inlineStr">
        <is>
          <t/>
        </is>
      </c>
      <c r="G376" s="31" t="inlineStr">
        <is>
          <t/>
        </is>
      </c>
      <c r="H376" s="32" t="inlineStr">
        <is>
          <t/>
        </is>
      </c>
      <c r="I376" s="33" t="inlineStr">
        <is>
          <t/>
        </is>
      </c>
      <c r="J376" s="34" t="inlineStr">
        <is>
          <t/>
        </is>
      </c>
      <c r="K376" s="35" t="inlineStr">
        <is>
          <t>Privately Held (backing)</t>
        </is>
      </c>
      <c r="L376" s="36" t="inlineStr">
        <is>
          <t>Accelerator/Incubator Backed</t>
        </is>
      </c>
      <c r="M376" s="37" t="inlineStr">
        <is>
          <t/>
        </is>
      </c>
      <c r="N376" s="38" t="inlineStr">
        <is>
          <t>Angel (individual)</t>
        </is>
      </c>
      <c r="O376" s="39" t="n">
        <v>0.18</v>
      </c>
      <c r="P376" s="102">
        <f>HYPERLINK("https://my.pitchbook.com?c=178719-31", "View company online")</f>
      </c>
    </row>
    <row r="377">
      <c r="A377" s="9" t="inlineStr">
        <is>
          <t>118239-94</t>
        </is>
      </c>
      <c r="B377" s="10" t="inlineStr">
        <is>
          <t>ViKPiK</t>
        </is>
      </c>
      <c r="C377" s="11" t="inlineStr">
        <is>
          <t/>
        </is>
      </c>
      <c r="D377" s="12" t="inlineStr">
        <is>
          <t/>
        </is>
      </c>
      <c r="E377" s="13" t="inlineStr">
        <is>
          <t/>
        </is>
      </c>
      <c r="F377" s="14" t="inlineStr">
        <is>
          <t/>
        </is>
      </c>
      <c r="G377" s="15" t="inlineStr">
        <is>
          <t/>
        </is>
      </c>
      <c r="H377" s="16" t="inlineStr">
        <is>
          <t/>
        </is>
      </c>
      <c r="I377" s="17" t="inlineStr">
        <is>
          <t/>
        </is>
      </c>
      <c r="J377" s="18" t="inlineStr">
        <is>
          <t/>
        </is>
      </c>
      <c r="K377" s="19" t="inlineStr">
        <is>
          <t>Privately Held (backing)</t>
        </is>
      </c>
      <c r="L377" s="20" t="inlineStr">
        <is>
          <t>Angel-Backed</t>
        </is>
      </c>
      <c r="M377" s="21" t="n">
        <v>42217.0</v>
      </c>
      <c r="N377" s="22" t="inlineStr">
        <is>
          <t>Seed Round</t>
        </is>
      </c>
      <c r="O377" s="23" t="n">
        <v>0.15</v>
      </c>
      <c r="P377" s="101">
        <f>HYPERLINK("https://my.pitchbook.com?c=118239-94", "View company online")</f>
      </c>
    </row>
    <row r="378">
      <c r="A378" s="25" t="inlineStr">
        <is>
          <t>149195-98</t>
        </is>
      </c>
      <c r="B378" s="26" t="inlineStr">
        <is>
          <t>Viking Scientific</t>
        </is>
      </c>
      <c r="C378" s="27" t="inlineStr">
        <is>
          <t/>
        </is>
      </c>
      <c r="D378" s="28" t="inlineStr">
        <is>
          <t/>
        </is>
      </c>
      <c r="E378" s="29" t="inlineStr">
        <is>
          <t/>
        </is>
      </c>
      <c r="F378" s="30" t="inlineStr">
        <is>
          <t/>
        </is>
      </c>
      <c r="G378" s="31" t="inlineStr">
        <is>
          <t/>
        </is>
      </c>
      <c r="H378" s="32" t="inlineStr">
        <is>
          <t/>
        </is>
      </c>
      <c r="I378" s="33" t="inlineStr">
        <is>
          <t/>
        </is>
      </c>
      <c r="J378" s="34" t="inlineStr">
        <is>
          <t/>
        </is>
      </c>
      <c r="K378" s="35" t="inlineStr">
        <is>
          <t>Privately Held (backing)</t>
        </is>
      </c>
      <c r="L378" s="36" t="inlineStr">
        <is>
          <t>Accelerator/Incubator Backed</t>
        </is>
      </c>
      <c r="M378" s="37" t="inlineStr">
        <is>
          <t/>
        </is>
      </c>
      <c r="N378" s="38" t="inlineStr">
        <is>
          <t>Accelerator/Incubator</t>
        </is>
      </c>
      <c r="O378" s="39" t="inlineStr">
        <is>
          <t/>
        </is>
      </c>
      <c r="P378" s="102">
        <f>HYPERLINK("https://my.pitchbook.com?c=149195-98", "View company online")</f>
      </c>
    </row>
    <row r="379">
      <c r="A379" s="9" t="inlineStr">
        <is>
          <t>163339-39</t>
        </is>
      </c>
      <c r="B379" s="10" t="inlineStr">
        <is>
          <t>Vigilant Web</t>
        </is>
      </c>
      <c r="C379" s="11" t="inlineStr">
        <is>
          <t/>
        </is>
      </c>
      <c r="D379" s="12" t="inlineStr">
        <is>
          <t/>
        </is>
      </c>
      <c r="E379" s="13" t="inlineStr">
        <is>
          <t/>
        </is>
      </c>
      <c r="F379" s="14" t="inlineStr">
        <is>
          <t/>
        </is>
      </c>
      <c r="G379" s="15" t="inlineStr">
        <is>
          <t/>
        </is>
      </c>
      <c r="H379" s="16" t="inlineStr">
        <is>
          <t/>
        </is>
      </c>
      <c r="I379" s="17" t="inlineStr">
        <is>
          <t/>
        </is>
      </c>
      <c r="J379" s="18" t="inlineStr">
        <is>
          <t/>
        </is>
      </c>
      <c r="K379" s="19" t="inlineStr">
        <is>
          <t>Privately Held (backing)</t>
        </is>
      </c>
      <c r="L379" s="20" t="inlineStr">
        <is>
          <t>Accelerator/Incubator Backed</t>
        </is>
      </c>
      <c r="M379" s="21" t="n">
        <v>42552.0</v>
      </c>
      <c r="N379" s="22" t="inlineStr">
        <is>
          <t>Accelerator/Incubator</t>
        </is>
      </c>
      <c r="O379" s="23" t="n">
        <v>0.25</v>
      </c>
      <c r="P379" s="101">
        <f>HYPERLINK("https://my.pitchbook.com?c=163339-39", "View company online")</f>
      </c>
    </row>
    <row r="380">
      <c r="A380" s="25" t="inlineStr">
        <is>
          <t>103025-53</t>
        </is>
      </c>
      <c r="B380" s="26" t="inlineStr">
        <is>
          <t>ViFlux</t>
        </is>
      </c>
      <c r="C380" s="27" t="inlineStr">
        <is>
          <t/>
        </is>
      </c>
      <c r="D380" s="28" t="inlineStr">
        <is>
          <t/>
        </is>
      </c>
      <c r="E380" s="29" t="inlineStr">
        <is>
          <t/>
        </is>
      </c>
      <c r="F380" s="30" t="inlineStr">
        <is>
          <t/>
        </is>
      </c>
      <c r="G380" s="31" t="inlineStr">
        <is>
          <t/>
        </is>
      </c>
      <c r="H380" s="32" t="inlineStr">
        <is>
          <t/>
        </is>
      </c>
      <c r="I380" s="33" t="inlineStr">
        <is>
          <t/>
        </is>
      </c>
      <c r="J380" s="34" t="inlineStr">
        <is>
          <t/>
        </is>
      </c>
      <c r="K380" s="35" t="inlineStr">
        <is>
          <t>Privately Held (backing)</t>
        </is>
      </c>
      <c r="L380" s="36" t="inlineStr">
        <is>
          <t>Accelerator/Incubator Backed</t>
        </is>
      </c>
      <c r="M380" s="37" t="n">
        <v>40969.0</v>
      </c>
      <c r="N380" s="38" t="inlineStr">
        <is>
          <t>Accelerator/Incubator</t>
        </is>
      </c>
      <c r="O380" s="39" t="n">
        <v>0.03</v>
      </c>
      <c r="P380" s="102">
        <f>HYPERLINK("https://my.pitchbook.com?c=103025-53", "View company online")</f>
      </c>
    </row>
    <row r="381">
      <c r="A381" s="9" t="inlineStr">
        <is>
          <t>157320-82</t>
        </is>
      </c>
      <c r="B381" s="10" t="inlineStr">
        <is>
          <t>ViewSay</t>
        </is>
      </c>
      <c r="C381" s="11" t="inlineStr">
        <is>
          <t/>
        </is>
      </c>
      <c r="D381" s="12" t="inlineStr">
        <is>
          <t/>
        </is>
      </c>
      <c r="E381" s="13" t="inlineStr">
        <is>
          <t/>
        </is>
      </c>
      <c r="F381" s="14" t="inlineStr">
        <is>
          <t/>
        </is>
      </c>
      <c r="G381" s="15" t="inlineStr">
        <is>
          <t/>
        </is>
      </c>
      <c r="H381" s="16" t="inlineStr">
        <is>
          <t/>
        </is>
      </c>
      <c r="I381" s="17" t="inlineStr">
        <is>
          <t/>
        </is>
      </c>
      <c r="J381" s="18" t="inlineStr">
        <is>
          <t/>
        </is>
      </c>
      <c r="K381" s="19" t="inlineStr">
        <is>
          <t>Privately Held (backing)</t>
        </is>
      </c>
      <c r="L381" s="20" t="inlineStr">
        <is>
          <t>Accelerator/Incubator Backed</t>
        </is>
      </c>
      <c r="M381" s="21" t="inlineStr">
        <is>
          <t/>
        </is>
      </c>
      <c r="N381" s="22" t="inlineStr">
        <is>
          <t>Accelerator/Incubator</t>
        </is>
      </c>
      <c r="O381" s="23" t="inlineStr">
        <is>
          <t/>
        </is>
      </c>
      <c r="P381" s="101">
        <f>HYPERLINK("https://my.pitchbook.com?c=157320-82", "View company online")</f>
      </c>
    </row>
    <row r="382">
      <c r="A382" s="25" t="inlineStr">
        <is>
          <t>148730-41</t>
        </is>
      </c>
      <c r="B382" s="26" t="inlineStr">
        <is>
          <t>Vidlet</t>
        </is>
      </c>
      <c r="C382" s="27" t="inlineStr">
        <is>
          <t/>
        </is>
      </c>
      <c r="D382" s="28" t="inlineStr">
        <is>
          <t/>
        </is>
      </c>
      <c r="E382" s="29" t="inlineStr">
        <is>
          <t/>
        </is>
      </c>
      <c r="F382" s="30" t="inlineStr">
        <is>
          <t/>
        </is>
      </c>
      <c r="G382" s="31" t="inlineStr">
        <is>
          <t/>
        </is>
      </c>
      <c r="H382" s="32" t="inlineStr">
        <is>
          <t/>
        </is>
      </c>
      <c r="I382" s="33" t="inlineStr">
        <is>
          <t/>
        </is>
      </c>
      <c r="J382" s="34" t="inlineStr">
        <is>
          <t/>
        </is>
      </c>
      <c r="K382" s="35" t="inlineStr">
        <is>
          <t>Privately Held (backing)</t>
        </is>
      </c>
      <c r="L382" s="36" t="inlineStr">
        <is>
          <t>Angel-Backed</t>
        </is>
      </c>
      <c r="M382" s="37" t="n">
        <v>42804.0</v>
      </c>
      <c r="N382" s="38" t="inlineStr">
        <is>
          <t>Angel (individual)</t>
        </is>
      </c>
      <c r="O382" s="39" t="n">
        <v>0.57</v>
      </c>
      <c r="P382" s="102">
        <f>HYPERLINK("https://my.pitchbook.com?c=148730-41", "View company online")</f>
      </c>
    </row>
    <row r="383">
      <c r="A383" s="9" t="inlineStr">
        <is>
          <t>97269-40</t>
        </is>
      </c>
      <c r="B383" s="10" t="inlineStr">
        <is>
          <t>Vidiam</t>
        </is>
      </c>
      <c r="C383" s="11" t="inlineStr">
        <is>
          <t/>
        </is>
      </c>
      <c r="D383" s="12" t="inlineStr">
        <is>
          <t/>
        </is>
      </c>
      <c r="E383" s="13" t="inlineStr">
        <is>
          <t/>
        </is>
      </c>
      <c r="F383" s="14" t="inlineStr">
        <is>
          <t/>
        </is>
      </c>
      <c r="G383" s="15" t="inlineStr">
        <is>
          <t/>
        </is>
      </c>
      <c r="H383" s="16" t="inlineStr">
        <is>
          <t/>
        </is>
      </c>
      <c r="I383" s="17" t="inlineStr">
        <is>
          <t/>
        </is>
      </c>
      <c r="J383" s="18" t="inlineStr">
        <is>
          <t/>
        </is>
      </c>
      <c r="K383" s="19" t="inlineStr">
        <is>
          <t>Privately Held (backing)</t>
        </is>
      </c>
      <c r="L383" s="20" t="inlineStr">
        <is>
          <t>Angel-Backed</t>
        </is>
      </c>
      <c r="M383" s="21" t="n">
        <v>41308.0</v>
      </c>
      <c r="N383" s="22" t="inlineStr">
        <is>
          <t>Seed Round</t>
        </is>
      </c>
      <c r="O383" s="23" t="n">
        <v>0.35</v>
      </c>
      <c r="P383" s="101">
        <f>HYPERLINK("https://my.pitchbook.com?c=97269-40", "View company online")</f>
      </c>
    </row>
    <row r="384">
      <c r="A384" s="25" t="inlineStr">
        <is>
          <t>151486-39</t>
        </is>
      </c>
      <c r="B384" s="26" t="inlineStr">
        <is>
          <t>VidFluent</t>
        </is>
      </c>
      <c r="C384" s="27" t="inlineStr">
        <is>
          <t/>
        </is>
      </c>
      <c r="D384" s="28" t="inlineStr">
        <is>
          <t/>
        </is>
      </c>
      <c r="E384" s="29" t="inlineStr">
        <is>
          <t/>
        </is>
      </c>
      <c r="F384" s="30" t="inlineStr">
        <is>
          <t/>
        </is>
      </c>
      <c r="G384" s="31" t="inlineStr">
        <is>
          <t/>
        </is>
      </c>
      <c r="H384" s="32" t="inlineStr">
        <is>
          <t/>
        </is>
      </c>
      <c r="I384" s="33" t="inlineStr">
        <is>
          <t/>
        </is>
      </c>
      <c r="J384" s="34" t="inlineStr">
        <is>
          <t/>
        </is>
      </c>
      <c r="K384" s="35" t="inlineStr">
        <is>
          <t>Privately Held (backing)</t>
        </is>
      </c>
      <c r="L384" s="36" t="inlineStr">
        <is>
          <t>Accelerator/Incubator Backed</t>
        </is>
      </c>
      <c r="M384" s="37" t="n">
        <v>42213.0</v>
      </c>
      <c r="N384" s="38" t="inlineStr">
        <is>
          <t>Accelerator/Incubator</t>
        </is>
      </c>
      <c r="O384" s="39" t="n">
        <v>0.05</v>
      </c>
      <c r="P384" s="102">
        <f>HYPERLINK("https://my.pitchbook.com?c=151486-39", "View company online")</f>
      </c>
    </row>
    <row r="385">
      <c r="A385" s="9" t="inlineStr">
        <is>
          <t>104457-97</t>
        </is>
      </c>
      <c r="B385" s="10" t="inlineStr">
        <is>
          <t>Viderian</t>
        </is>
      </c>
      <c r="C385" s="77">
        <f>HYPERLINK("https://my.pitchbook.com?rrp=104457-97&amp;type=c", "This Company's information is not available to download. Need this Company? Request availability")</f>
      </c>
      <c r="D385" s="12" t="inlineStr">
        <is>
          <t/>
        </is>
      </c>
      <c r="E385" s="13" t="inlineStr">
        <is>
          <t/>
        </is>
      </c>
      <c r="F385" s="14" t="inlineStr">
        <is>
          <t/>
        </is>
      </c>
      <c r="G385" s="15" t="inlineStr">
        <is>
          <t/>
        </is>
      </c>
      <c r="H385" s="16" t="inlineStr">
        <is>
          <t/>
        </is>
      </c>
      <c r="I385" s="17" t="inlineStr">
        <is>
          <t/>
        </is>
      </c>
      <c r="J385" s="18" t="inlineStr">
        <is>
          <t/>
        </is>
      </c>
      <c r="K385" s="19" t="inlineStr">
        <is>
          <t/>
        </is>
      </c>
      <c r="L385" s="20" t="inlineStr">
        <is>
          <t/>
        </is>
      </c>
      <c r="M385" s="21" t="inlineStr">
        <is>
          <t/>
        </is>
      </c>
      <c r="N385" s="22" t="inlineStr">
        <is>
          <t/>
        </is>
      </c>
      <c r="O385" s="23" t="inlineStr">
        <is>
          <t/>
        </is>
      </c>
      <c r="P385" s="24" t="inlineStr">
        <is>
          <t/>
        </is>
      </c>
    </row>
    <row r="386">
      <c r="A386" s="25" t="inlineStr">
        <is>
          <t>57583-90</t>
        </is>
      </c>
      <c r="B386" s="26" t="inlineStr">
        <is>
          <t>VideoMining</t>
        </is>
      </c>
      <c r="C386" s="78">
        <f>HYPERLINK("https://my.pitchbook.com?rrp=57583-90&amp;type=c", "This Company's information is not available to download. Need this Company? Request availability")</f>
      </c>
      <c r="D386" s="28" t="inlineStr">
        <is>
          <t/>
        </is>
      </c>
      <c r="E386" s="29" t="inlineStr">
        <is>
          <t/>
        </is>
      </c>
      <c r="F386" s="30" t="inlineStr">
        <is>
          <t/>
        </is>
      </c>
      <c r="G386" s="31" t="inlineStr">
        <is>
          <t/>
        </is>
      </c>
      <c r="H386" s="32" t="inlineStr">
        <is>
          <t/>
        </is>
      </c>
      <c r="I386" s="33" t="inlineStr">
        <is>
          <t/>
        </is>
      </c>
      <c r="J386" s="34" t="inlineStr">
        <is>
          <t/>
        </is>
      </c>
      <c r="K386" s="35" t="inlineStr">
        <is>
          <t/>
        </is>
      </c>
      <c r="L386" s="36" t="inlineStr">
        <is>
          <t/>
        </is>
      </c>
      <c r="M386" s="37" t="inlineStr">
        <is>
          <t/>
        </is>
      </c>
      <c r="N386" s="38" t="inlineStr">
        <is>
          <t/>
        </is>
      </c>
      <c r="O386" s="39" t="inlineStr">
        <is>
          <t/>
        </is>
      </c>
      <c r="P386" s="40" t="inlineStr">
        <is>
          <t/>
        </is>
      </c>
    </row>
    <row r="387">
      <c r="A387" s="9" t="inlineStr">
        <is>
          <t>98915-68</t>
        </is>
      </c>
      <c r="B387" s="10" t="inlineStr">
        <is>
          <t>Videolla</t>
        </is>
      </c>
      <c r="C387" s="11" t="inlineStr">
        <is>
          <t/>
        </is>
      </c>
      <c r="D387" s="12" t="inlineStr">
        <is>
          <t/>
        </is>
      </c>
      <c r="E387" s="13" t="inlineStr">
        <is>
          <t/>
        </is>
      </c>
      <c r="F387" s="14" t="inlineStr">
        <is>
          <t/>
        </is>
      </c>
      <c r="G387" s="15" t="inlineStr">
        <is>
          <t/>
        </is>
      </c>
      <c r="H387" s="16" t="inlineStr">
        <is>
          <t/>
        </is>
      </c>
      <c r="I387" s="17" t="inlineStr">
        <is>
          <t/>
        </is>
      </c>
      <c r="J387" s="18" t="inlineStr">
        <is>
          <t/>
        </is>
      </c>
      <c r="K387" s="19" t="inlineStr">
        <is>
          <t>Privately Held (backing)</t>
        </is>
      </c>
      <c r="L387" s="20" t="inlineStr">
        <is>
          <t>Accelerator/Incubator Backed</t>
        </is>
      </c>
      <c r="M387" s="21" t="n">
        <v>40879.0</v>
      </c>
      <c r="N387" s="22" t="inlineStr">
        <is>
          <t>Accelerator/Incubator</t>
        </is>
      </c>
      <c r="O387" s="23" t="inlineStr">
        <is>
          <t/>
        </is>
      </c>
      <c r="P387" s="101">
        <f>HYPERLINK("https://my.pitchbook.com?c=98915-68", "View company online")</f>
      </c>
    </row>
    <row r="388">
      <c r="A388" s="25" t="inlineStr">
        <is>
          <t>106840-36</t>
        </is>
      </c>
      <c r="B388" s="26" t="inlineStr">
        <is>
          <t>VideoKall</t>
        </is>
      </c>
      <c r="C388" s="27" t="inlineStr">
        <is>
          <t/>
        </is>
      </c>
      <c r="D388" s="28" t="inlineStr">
        <is>
          <t/>
        </is>
      </c>
      <c r="E388" s="29" t="inlineStr">
        <is>
          <t/>
        </is>
      </c>
      <c r="F388" s="30" t="inlineStr">
        <is>
          <t/>
        </is>
      </c>
      <c r="G388" s="31" t="inlineStr">
        <is>
          <t/>
        </is>
      </c>
      <c r="H388" s="32" t="inlineStr">
        <is>
          <t/>
        </is>
      </c>
      <c r="I388" s="33" t="inlineStr">
        <is>
          <t/>
        </is>
      </c>
      <c r="J388" s="34" t="inlineStr">
        <is>
          <t/>
        </is>
      </c>
      <c r="K388" s="35" t="inlineStr">
        <is>
          <t>Privately Held (backing)</t>
        </is>
      </c>
      <c r="L388" s="36" t="inlineStr">
        <is>
          <t>Accelerator/Incubator Backed</t>
        </is>
      </c>
      <c r="M388" s="37" t="n">
        <v>42016.0</v>
      </c>
      <c r="N388" s="38" t="inlineStr">
        <is>
          <t>Accelerator/Incubator</t>
        </is>
      </c>
      <c r="O388" s="39" t="inlineStr">
        <is>
          <t/>
        </is>
      </c>
      <c r="P388" s="102">
        <f>HYPERLINK("https://my.pitchbook.com?c=106840-36", "View company online")</f>
      </c>
    </row>
    <row r="389">
      <c r="A389" s="9" t="inlineStr">
        <is>
          <t>103432-24</t>
        </is>
      </c>
      <c r="B389" s="10" t="inlineStr">
        <is>
          <t>Video Analytics</t>
        </is>
      </c>
      <c r="C389" s="11" t="inlineStr">
        <is>
          <t/>
        </is>
      </c>
      <c r="D389" s="12" t="inlineStr">
        <is>
          <t/>
        </is>
      </c>
      <c r="E389" s="13" t="inlineStr">
        <is>
          <t/>
        </is>
      </c>
      <c r="F389" s="14" t="inlineStr">
        <is>
          <t/>
        </is>
      </c>
      <c r="G389" s="15" t="inlineStr">
        <is>
          <t/>
        </is>
      </c>
      <c r="H389" s="16" t="inlineStr">
        <is>
          <t/>
        </is>
      </c>
      <c r="I389" s="17" t="inlineStr">
        <is>
          <t/>
        </is>
      </c>
      <c r="J389" s="18" t="inlineStr">
        <is>
          <t/>
        </is>
      </c>
      <c r="K389" s="19" t="inlineStr">
        <is>
          <t>Privately Held (backing)</t>
        </is>
      </c>
      <c r="L389" s="20" t="inlineStr">
        <is>
          <t>Angel-Backed</t>
        </is>
      </c>
      <c r="M389" s="21" t="n">
        <v>41395.0</v>
      </c>
      <c r="N389" s="22" t="inlineStr">
        <is>
          <t>Angel (individual)</t>
        </is>
      </c>
      <c r="O389" s="23" t="n">
        <v>0.1</v>
      </c>
      <c r="P389" s="101">
        <f>HYPERLINK("https://my.pitchbook.com?c=103432-24", "View company online")</f>
      </c>
    </row>
    <row r="390">
      <c r="A390" s="25" t="inlineStr">
        <is>
          <t>61699-33</t>
        </is>
      </c>
      <c r="B390" s="26" t="inlineStr">
        <is>
          <t>Videable</t>
        </is>
      </c>
      <c r="C390" s="27" t="inlineStr">
        <is>
          <t/>
        </is>
      </c>
      <c r="D390" s="28" t="inlineStr">
        <is>
          <t/>
        </is>
      </c>
      <c r="E390" s="29" t="inlineStr">
        <is>
          <t/>
        </is>
      </c>
      <c r="F390" s="30" t="inlineStr">
        <is>
          <t/>
        </is>
      </c>
      <c r="G390" s="31" t="inlineStr">
        <is>
          <t/>
        </is>
      </c>
      <c r="H390" s="32" t="inlineStr">
        <is>
          <t/>
        </is>
      </c>
      <c r="I390" s="33" t="inlineStr">
        <is>
          <t/>
        </is>
      </c>
      <c r="J390" s="34" t="inlineStr">
        <is>
          <t/>
        </is>
      </c>
      <c r="K390" s="35" t="inlineStr">
        <is>
          <t>Privately Held (backing)</t>
        </is>
      </c>
      <c r="L390" s="36" t="inlineStr">
        <is>
          <t>Accelerator/Incubator Backed</t>
        </is>
      </c>
      <c r="M390" s="37" t="n">
        <v>41142.0</v>
      </c>
      <c r="N390" s="38" t="inlineStr">
        <is>
          <t>Accelerator/Incubator</t>
        </is>
      </c>
      <c r="O390" s="39" t="inlineStr">
        <is>
          <t/>
        </is>
      </c>
      <c r="P390" s="102">
        <f>HYPERLINK("https://my.pitchbook.com?c=61699-33", "View company online")</f>
      </c>
    </row>
    <row r="391">
      <c r="A391" s="9" t="inlineStr">
        <is>
          <t>95979-61</t>
        </is>
      </c>
      <c r="B391" s="10" t="inlineStr">
        <is>
          <t>Victory Sports &amp; Entertainment</t>
        </is>
      </c>
      <c r="C391" s="11" t="inlineStr">
        <is>
          <t/>
        </is>
      </c>
      <c r="D391" s="12" t="inlineStr">
        <is>
          <t/>
        </is>
      </c>
      <c r="E391" s="13" t="inlineStr">
        <is>
          <t/>
        </is>
      </c>
      <c r="F391" s="14" t="inlineStr">
        <is>
          <t/>
        </is>
      </c>
      <c r="G391" s="15" t="inlineStr">
        <is>
          <t/>
        </is>
      </c>
      <c r="H391" s="16" t="inlineStr">
        <is>
          <t/>
        </is>
      </c>
      <c r="I391" s="17" t="inlineStr">
        <is>
          <t/>
        </is>
      </c>
      <c r="J391" s="18" t="inlineStr">
        <is>
          <t/>
        </is>
      </c>
      <c r="K391" s="19" t="inlineStr">
        <is>
          <t>Privately Held (backing)</t>
        </is>
      </c>
      <c r="L391" s="20" t="inlineStr">
        <is>
          <t>Angel-Backed</t>
        </is>
      </c>
      <c r="M391" s="21" t="n">
        <v>41426.0</v>
      </c>
      <c r="N391" s="22" t="inlineStr">
        <is>
          <t>Seed Round</t>
        </is>
      </c>
      <c r="O391" s="23" t="n">
        <v>2.0</v>
      </c>
      <c r="P391" s="101">
        <f>HYPERLINK("https://my.pitchbook.com?c=95979-61", "View company online")</f>
      </c>
    </row>
    <row r="392">
      <c r="A392" s="25" t="inlineStr">
        <is>
          <t>103552-48</t>
        </is>
      </c>
      <c r="B392" s="26" t="inlineStr">
        <is>
          <t>Vicejar</t>
        </is>
      </c>
      <c r="C392" s="27" t="inlineStr">
        <is>
          <t/>
        </is>
      </c>
      <c r="D392" s="28" t="inlineStr">
        <is>
          <t/>
        </is>
      </c>
      <c r="E392" s="29" t="inlineStr">
        <is>
          <t/>
        </is>
      </c>
      <c r="F392" s="30" t="inlineStr">
        <is>
          <t/>
        </is>
      </c>
      <c r="G392" s="31" t="inlineStr">
        <is>
          <t/>
        </is>
      </c>
      <c r="H392" s="32" t="inlineStr">
        <is>
          <t/>
        </is>
      </c>
      <c r="I392" s="33" t="inlineStr">
        <is>
          <t/>
        </is>
      </c>
      <c r="J392" s="34" t="inlineStr">
        <is>
          <t/>
        </is>
      </c>
      <c r="K392" s="35" t="inlineStr">
        <is>
          <t>Privately Held (backing)</t>
        </is>
      </c>
      <c r="L392" s="36" t="inlineStr">
        <is>
          <t>Angel-Backed</t>
        </is>
      </c>
      <c r="M392" s="37" t="inlineStr">
        <is>
          <t/>
        </is>
      </c>
      <c r="N392" s="38" t="inlineStr">
        <is>
          <t>Angel (individual)</t>
        </is>
      </c>
      <c r="O392" s="39" t="n">
        <v>0.2</v>
      </c>
      <c r="P392" s="102">
        <f>HYPERLINK("https://my.pitchbook.com?c=103552-48", "View company online")</f>
      </c>
    </row>
    <row r="393">
      <c r="A393" s="9" t="inlineStr">
        <is>
          <t>170436-79</t>
        </is>
      </c>
      <c r="B393" s="10" t="inlineStr">
        <is>
          <t>Vibedration</t>
        </is>
      </c>
      <c r="C393" s="11" t="inlineStr">
        <is>
          <t/>
        </is>
      </c>
      <c r="D393" s="12" t="inlineStr">
        <is>
          <t/>
        </is>
      </c>
      <c r="E393" s="13" t="inlineStr">
        <is>
          <t/>
        </is>
      </c>
      <c r="F393" s="14" t="inlineStr">
        <is>
          <t/>
        </is>
      </c>
      <c r="G393" s="15" t="inlineStr">
        <is>
          <t/>
        </is>
      </c>
      <c r="H393" s="16" t="inlineStr">
        <is>
          <t/>
        </is>
      </c>
      <c r="I393" s="17" t="inlineStr">
        <is>
          <t/>
        </is>
      </c>
      <c r="J393" s="18" t="inlineStr">
        <is>
          <t/>
        </is>
      </c>
      <c r="K393" s="19" t="inlineStr">
        <is>
          <t>Privately Held (backing)</t>
        </is>
      </c>
      <c r="L393" s="20" t="inlineStr">
        <is>
          <t>Angel-Backed</t>
        </is>
      </c>
      <c r="M393" s="21" t="n">
        <v>42772.0</v>
      </c>
      <c r="N393" s="22" t="inlineStr">
        <is>
          <t>Seed Round</t>
        </is>
      </c>
      <c r="O393" s="23" t="n">
        <v>0.79</v>
      </c>
      <c r="P393" s="101">
        <f>HYPERLINK("https://my.pitchbook.com?c=170436-79", "View company online")</f>
      </c>
    </row>
    <row r="394">
      <c r="A394" s="25" t="inlineStr">
        <is>
          <t>55464-04</t>
        </is>
      </c>
      <c r="B394" s="26" t="inlineStr">
        <is>
          <t>Vibease</t>
        </is>
      </c>
      <c r="C394" s="27" t="inlineStr">
        <is>
          <t/>
        </is>
      </c>
      <c r="D394" s="28" t="inlineStr">
        <is>
          <t/>
        </is>
      </c>
      <c r="E394" s="29" t="inlineStr">
        <is>
          <t/>
        </is>
      </c>
      <c r="F394" s="30" t="inlineStr">
        <is>
          <t/>
        </is>
      </c>
      <c r="G394" s="31" t="inlineStr">
        <is>
          <t/>
        </is>
      </c>
      <c r="H394" s="32" t="inlineStr">
        <is>
          <t/>
        </is>
      </c>
      <c r="I394" s="33" t="inlineStr">
        <is>
          <t/>
        </is>
      </c>
      <c r="J394" s="34" t="inlineStr">
        <is>
          <t/>
        </is>
      </c>
      <c r="K394" s="35" t="inlineStr">
        <is>
          <t>Privately Held (backing)</t>
        </is>
      </c>
      <c r="L394" s="36" t="inlineStr">
        <is>
          <t>Angel-Backed</t>
        </is>
      </c>
      <c r="M394" s="37" t="n">
        <v>42354.0</v>
      </c>
      <c r="N394" s="38" t="inlineStr">
        <is>
          <t>Accelerator/Incubator</t>
        </is>
      </c>
      <c r="O394" s="39" t="inlineStr">
        <is>
          <t/>
        </is>
      </c>
      <c r="P394" s="102">
        <f>HYPERLINK("https://my.pitchbook.com?c=55464-04", "View company online")</f>
      </c>
    </row>
    <row r="395">
      <c r="A395" s="9" t="inlineStr">
        <is>
          <t>170978-77</t>
        </is>
      </c>
      <c r="B395" s="10" t="inlineStr">
        <is>
          <t>Viasys Intelligent Video</t>
        </is>
      </c>
      <c r="C395" s="11" t="inlineStr">
        <is>
          <t/>
        </is>
      </c>
      <c r="D395" s="12" t="inlineStr">
        <is>
          <t/>
        </is>
      </c>
      <c r="E395" s="13" t="inlineStr">
        <is>
          <t/>
        </is>
      </c>
      <c r="F395" s="14" t="inlineStr">
        <is>
          <t/>
        </is>
      </c>
      <c r="G395" s="15" t="inlineStr">
        <is>
          <t/>
        </is>
      </c>
      <c r="H395" s="16" t="inlineStr">
        <is>
          <t/>
        </is>
      </c>
      <c r="I395" s="17" t="inlineStr">
        <is>
          <t/>
        </is>
      </c>
      <c r="J395" s="18" t="inlineStr">
        <is>
          <t/>
        </is>
      </c>
      <c r="K395" s="19" t="inlineStr">
        <is>
          <t>Privately Held (backing)</t>
        </is>
      </c>
      <c r="L395" s="20" t="inlineStr">
        <is>
          <t>Accelerator/Incubator Backed</t>
        </is>
      </c>
      <c r="M395" s="21" t="inlineStr">
        <is>
          <t/>
        </is>
      </c>
      <c r="N395" s="22" t="inlineStr">
        <is>
          <t>Accelerator/Incubator</t>
        </is>
      </c>
      <c r="O395" s="23" t="inlineStr">
        <is>
          <t/>
        </is>
      </c>
      <c r="P395" s="101">
        <f>HYPERLINK("https://my.pitchbook.com?c=170978-77", "View company online")</f>
      </c>
    </row>
    <row r="396">
      <c r="A396" s="25" t="inlineStr">
        <is>
          <t>99219-61</t>
        </is>
      </c>
      <c r="B396" s="26" t="inlineStr">
        <is>
          <t>Vianza</t>
        </is>
      </c>
      <c r="C396" s="27" t="inlineStr">
        <is>
          <t/>
        </is>
      </c>
      <c r="D396" s="28" t="inlineStr">
        <is>
          <t/>
        </is>
      </c>
      <c r="E396" s="29" t="inlineStr">
        <is>
          <t/>
        </is>
      </c>
      <c r="F396" s="30" t="inlineStr">
        <is>
          <t/>
        </is>
      </c>
      <c r="G396" s="31" t="inlineStr">
        <is>
          <t/>
        </is>
      </c>
      <c r="H396" s="32" t="inlineStr">
        <is>
          <t/>
        </is>
      </c>
      <c r="I396" s="33" t="inlineStr">
        <is>
          <t/>
        </is>
      </c>
      <c r="J396" s="34" t="inlineStr">
        <is>
          <t/>
        </is>
      </c>
      <c r="K396" s="35" t="inlineStr">
        <is>
          <t>Privately Held (backing)</t>
        </is>
      </c>
      <c r="L396" s="36" t="inlineStr">
        <is>
          <t>Accelerator/Incubator Backed</t>
        </is>
      </c>
      <c r="M396" s="37" t="n">
        <v>41883.0</v>
      </c>
      <c r="N396" s="38" t="inlineStr">
        <is>
          <t>Accelerator/Incubator</t>
        </is>
      </c>
      <c r="O396" s="39" t="n">
        <v>0.03</v>
      </c>
      <c r="P396" s="102">
        <f>HYPERLINK("https://my.pitchbook.com?c=99219-61", "View company online")</f>
      </c>
    </row>
    <row r="397">
      <c r="A397" s="9" t="inlineStr">
        <is>
          <t>169313-14</t>
        </is>
      </c>
      <c r="B397" s="10" t="inlineStr">
        <is>
          <t>ViaeX Technology</t>
        </is>
      </c>
      <c r="C397" s="11" t="inlineStr">
        <is>
          <t/>
        </is>
      </c>
      <c r="D397" s="12" t="inlineStr">
        <is>
          <t/>
        </is>
      </c>
      <c r="E397" s="13" t="inlineStr">
        <is>
          <t/>
        </is>
      </c>
      <c r="F397" s="14" t="inlineStr">
        <is>
          <t/>
        </is>
      </c>
      <c r="G397" s="15" t="inlineStr">
        <is>
          <t/>
        </is>
      </c>
      <c r="H397" s="16" t="inlineStr">
        <is>
          <t/>
        </is>
      </c>
      <c r="I397" s="17" t="inlineStr">
        <is>
          <t/>
        </is>
      </c>
      <c r="J397" s="18" t="inlineStr">
        <is>
          <t/>
        </is>
      </c>
      <c r="K397" s="19" t="inlineStr">
        <is>
          <t>Privately Held (backing)</t>
        </is>
      </c>
      <c r="L397" s="20" t="inlineStr">
        <is>
          <t>Accelerator/Incubator Backed</t>
        </is>
      </c>
      <c r="M397" s="21" t="n">
        <v>42641.0</v>
      </c>
      <c r="N397" s="22" t="inlineStr">
        <is>
          <t>Accelerator/Incubator</t>
        </is>
      </c>
      <c r="O397" s="23" t="n">
        <v>0.2</v>
      </c>
      <c r="P397" s="101">
        <f>HYPERLINK("https://my.pitchbook.com?c=169313-14", "View company online")</f>
      </c>
    </row>
    <row r="398">
      <c r="A398" s="25" t="inlineStr">
        <is>
          <t>103551-67</t>
        </is>
      </c>
      <c r="B398" s="26" t="inlineStr">
        <is>
          <t>ViaClix</t>
        </is>
      </c>
      <c r="C398" s="27" t="inlineStr">
        <is>
          <t/>
        </is>
      </c>
      <c r="D398" s="28" t="inlineStr">
        <is>
          <t/>
        </is>
      </c>
      <c r="E398" s="29" t="inlineStr">
        <is>
          <t/>
        </is>
      </c>
      <c r="F398" s="30" t="inlineStr">
        <is>
          <t/>
        </is>
      </c>
      <c r="G398" s="31" t="inlineStr">
        <is>
          <t/>
        </is>
      </c>
      <c r="H398" s="32" t="inlineStr">
        <is>
          <t/>
        </is>
      </c>
      <c r="I398" s="33" t="inlineStr">
        <is>
          <t/>
        </is>
      </c>
      <c r="J398" s="34" t="inlineStr">
        <is>
          <t/>
        </is>
      </c>
      <c r="K398" s="35" t="inlineStr">
        <is>
          <t>Privately Held (backing)</t>
        </is>
      </c>
      <c r="L398" s="36" t="inlineStr">
        <is>
          <t>Angel-Backed</t>
        </is>
      </c>
      <c r="M398" s="37" t="n">
        <v>40351.0</v>
      </c>
      <c r="N398" s="38" t="inlineStr">
        <is>
          <t>Angel (individual)</t>
        </is>
      </c>
      <c r="O398" s="39" t="n">
        <v>3.1</v>
      </c>
      <c r="P398" s="102">
        <f>HYPERLINK("https://my.pitchbook.com?c=103551-67", "View company online")</f>
      </c>
    </row>
    <row r="399">
      <c r="A399" s="9" t="inlineStr">
        <is>
          <t>150700-78</t>
        </is>
      </c>
      <c r="B399" s="10" t="inlineStr">
        <is>
          <t>viaChat</t>
        </is>
      </c>
      <c r="C399" s="11" t="inlineStr">
        <is>
          <t/>
        </is>
      </c>
      <c r="D399" s="12" t="inlineStr">
        <is>
          <t/>
        </is>
      </c>
      <c r="E399" s="13" t="inlineStr">
        <is>
          <t/>
        </is>
      </c>
      <c r="F399" s="14" t="inlineStr">
        <is>
          <t/>
        </is>
      </c>
      <c r="G399" s="15" t="inlineStr">
        <is>
          <t/>
        </is>
      </c>
      <c r="H399" s="16" t="inlineStr">
        <is>
          <t/>
        </is>
      </c>
      <c r="I399" s="17" t="inlineStr">
        <is>
          <t/>
        </is>
      </c>
      <c r="J399" s="18" t="inlineStr">
        <is>
          <t/>
        </is>
      </c>
      <c r="K399" s="19" t="inlineStr">
        <is>
          <t>Privately Held (backing)</t>
        </is>
      </c>
      <c r="L399" s="20" t="inlineStr">
        <is>
          <t>Angel-Backed</t>
        </is>
      </c>
      <c r="M399" s="21" t="n">
        <v>42374.0</v>
      </c>
      <c r="N399" s="22" t="inlineStr">
        <is>
          <t>Angel (individual)</t>
        </is>
      </c>
      <c r="O399" s="23" t="n">
        <v>0.2</v>
      </c>
      <c r="P399" s="101">
        <f>HYPERLINK("https://my.pitchbook.com?c=150700-78", "View company online")</f>
      </c>
    </row>
    <row r="400">
      <c r="A400" s="25" t="inlineStr">
        <is>
          <t>110513-44</t>
        </is>
      </c>
      <c r="B400" s="26" t="inlineStr">
        <is>
          <t>Via Analytics</t>
        </is>
      </c>
      <c r="C400" s="27" t="inlineStr">
        <is>
          <t/>
        </is>
      </c>
      <c r="D400" s="28" t="inlineStr">
        <is>
          <t/>
        </is>
      </c>
      <c r="E400" s="29" t="inlineStr">
        <is>
          <t/>
        </is>
      </c>
      <c r="F400" s="30" t="inlineStr">
        <is>
          <t/>
        </is>
      </c>
      <c r="G400" s="31" t="inlineStr">
        <is>
          <t/>
        </is>
      </c>
      <c r="H400" s="32" t="inlineStr">
        <is>
          <t/>
        </is>
      </c>
      <c r="I400" s="33" t="inlineStr">
        <is>
          <t/>
        </is>
      </c>
      <c r="J400" s="34" t="inlineStr">
        <is>
          <t/>
        </is>
      </c>
      <c r="K400" s="35" t="inlineStr">
        <is>
          <t>Privately Held (backing)</t>
        </is>
      </c>
      <c r="L400" s="36" t="inlineStr">
        <is>
          <t>Accelerator/Incubator Backed</t>
        </is>
      </c>
      <c r="M400" s="37" t="inlineStr">
        <is>
          <t/>
        </is>
      </c>
      <c r="N400" s="38" t="inlineStr">
        <is>
          <t>Accelerator/Incubator</t>
        </is>
      </c>
      <c r="O400" s="39" t="inlineStr">
        <is>
          <t/>
        </is>
      </c>
      <c r="P400" s="102">
        <f>HYPERLINK("https://my.pitchbook.com?c=110513-44", "View company online")</f>
      </c>
    </row>
    <row r="401">
      <c r="A401" s="9" t="inlineStr">
        <is>
          <t>103021-57</t>
        </is>
      </c>
      <c r="B401" s="10" t="inlineStr">
        <is>
          <t>Vetter Software</t>
        </is>
      </c>
      <c r="C401" s="77">
        <f>HYPERLINK("https://my.pitchbook.com?rrp=103021-57&amp;type=c", "This Company's information is not available to download. Need this Company? Request availability")</f>
      </c>
      <c r="D401" s="12" t="inlineStr">
        <is>
          <t/>
        </is>
      </c>
      <c r="E401" s="13" t="inlineStr">
        <is>
          <t/>
        </is>
      </c>
      <c r="F401" s="14" t="inlineStr">
        <is>
          <t/>
        </is>
      </c>
      <c r="G401" s="15" t="inlineStr">
        <is>
          <t/>
        </is>
      </c>
      <c r="H401" s="16" t="inlineStr">
        <is>
          <t/>
        </is>
      </c>
      <c r="I401" s="17" t="inlineStr">
        <is>
          <t/>
        </is>
      </c>
      <c r="J401" s="18" t="inlineStr">
        <is>
          <t/>
        </is>
      </c>
      <c r="K401" s="19" t="inlineStr">
        <is>
          <t/>
        </is>
      </c>
      <c r="L401" s="20" t="inlineStr">
        <is>
          <t/>
        </is>
      </c>
      <c r="M401" s="21" t="inlineStr">
        <is>
          <t/>
        </is>
      </c>
      <c r="N401" s="22" t="inlineStr">
        <is>
          <t/>
        </is>
      </c>
      <c r="O401" s="23" t="inlineStr">
        <is>
          <t/>
        </is>
      </c>
      <c r="P401" s="24" t="inlineStr">
        <is>
          <t/>
        </is>
      </c>
    </row>
    <row r="402">
      <c r="A402" s="25" t="inlineStr">
        <is>
          <t>172559-26</t>
        </is>
      </c>
      <c r="B402" s="26" t="inlineStr">
        <is>
          <t>VetShare</t>
        </is>
      </c>
      <c r="C402" s="78">
        <f>HYPERLINK("https://my.pitchbook.com?rrp=172559-26&amp;type=c", "This Company's information is not available to download. Need this Company? Request availability")</f>
      </c>
      <c r="D402" s="28" t="inlineStr">
        <is>
          <t/>
        </is>
      </c>
      <c r="E402" s="29" t="inlineStr">
        <is>
          <t/>
        </is>
      </c>
      <c r="F402" s="30" t="inlineStr">
        <is>
          <t/>
        </is>
      </c>
      <c r="G402" s="31" t="inlineStr">
        <is>
          <t/>
        </is>
      </c>
      <c r="H402" s="32" t="inlineStr">
        <is>
          <t/>
        </is>
      </c>
      <c r="I402" s="33" t="inlineStr">
        <is>
          <t/>
        </is>
      </c>
      <c r="J402" s="34" t="inlineStr">
        <is>
          <t/>
        </is>
      </c>
      <c r="K402" s="35" t="inlineStr">
        <is>
          <t/>
        </is>
      </c>
      <c r="L402" s="36" t="inlineStr">
        <is>
          <t/>
        </is>
      </c>
      <c r="M402" s="37" t="inlineStr">
        <is>
          <t/>
        </is>
      </c>
      <c r="N402" s="38" t="inlineStr">
        <is>
          <t/>
        </is>
      </c>
      <c r="O402" s="39" t="inlineStr">
        <is>
          <t/>
        </is>
      </c>
      <c r="P402" s="40" t="inlineStr">
        <is>
          <t/>
        </is>
      </c>
    </row>
    <row r="403">
      <c r="A403" s="9" t="inlineStr">
        <is>
          <t>103404-61</t>
        </is>
      </c>
      <c r="B403" s="10" t="inlineStr">
        <is>
          <t>VetCompare</t>
        </is>
      </c>
      <c r="C403" s="11" t="inlineStr">
        <is>
          <t/>
        </is>
      </c>
      <c r="D403" s="12" t="inlineStr">
        <is>
          <t/>
        </is>
      </c>
      <c r="E403" s="13" t="inlineStr">
        <is>
          <t/>
        </is>
      </c>
      <c r="F403" s="14" t="inlineStr">
        <is>
          <t/>
        </is>
      </c>
      <c r="G403" s="15" t="inlineStr">
        <is>
          <t/>
        </is>
      </c>
      <c r="H403" s="16" t="inlineStr">
        <is>
          <t/>
        </is>
      </c>
      <c r="I403" s="17" t="inlineStr">
        <is>
          <t/>
        </is>
      </c>
      <c r="J403" s="18" t="inlineStr">
        <is>
          <t/>
        </is>
      </c>
      <c r="K403" s="19" t="inlineStr">
        <is>
          <t>Privately Held (backing)</t>
        </is>
      </c>
      <c r="L403" s="20" t="inlineStr">
        <is>
          <t>Accelerator/Incubator Backed</t>
        </is>
      </c>
      <c r="M403" s="21" t="n">
        <v>41834.0</v>
      </c>
      <c r="N403" s="22" t="inlineStr">
        <is>
          <t>Accelerator/Incubator</t>
        </is>
      </c>
      <c r="O403" s="23" t="inlineStr">
        <is>
          <t/>
        </is>
      </c>
      <c r="P403" s="101">
        <f>HYPERLINK("https://my.pitchbook.com?c=103404-61", "View company online")</f>
      </c>
    </row>
    <row r="404">
      <c r="A404" s="25" t="inlineStr">
        <is>
          <t>102614-95</t>
        </is>
      </c>
      <c r="B404" s="26" t="inlineStr">
        <is>
          <t>Vessix</t>
        </is>
      </c>
      <c r="C404" s="27" t="inlineStr">
        <is>
          <t/>
        </is>
      </c>
      <c r="D404" s="28" t="inlineStr">
        <is>
          <t/>
        </is>
      </c>
      <c r="E404" s="29" t="inlineStr">
        <is>
          <t/>
        </is>
      </c>
      <c r="F404" s="30" t="inlineStr">
        <is>
          <t/>
        </is>
      </c>
      <c r="G404" s="31" t="inlineStr">
        <is>
          <t/>
        </is>
      </c>
      <c r="H404" s="32" t="inlineStr">
        <is>
          <t/>
        </is>
      </c>
      <c r="I404" s="33" t="inlineStr">
        <is>
          <t/>
        </is>
      </c>
      <c r="J404" s="34" t="inlineStr">
        <is>
          <t/>
        </is>
      </c>
      <c r="K404" s="35" t="inlineStr">
        <is>
          <t>Privately Held (backing)</t>
        </is>
      </c>
      <c r="L404" s="36" t="inlineStr">
        <is>
          <t>Accelerator/Incubator Backed</t>
        </is>
      </c>
      <c r="M404" s="37" t="n">
        <v>42509.0</v>
      </c>
      <c r="N404" s="38" t="inlineStr">
        <is>
          <t>Angel (individual)</t>
        </is>
      </c>
      <c r="O404" s="39" t="n">
        <v>0.03</v>
      </c>
      <c r="P404" s="102">
        <f>HYPERLINK("https://my.pitchbook.com?c=102614-95", "View company online")</f>
      </c>
    </row>
    <row r="405">
      <c r="A405" s="9" t="inlineStr">
        <is>
          <t>121427-29</t>
        </is>
      </c>
      <c r="B405" s="10" t="inlineStr">
        <is>
          <t>Vervid</t>
        </is>
      </c>
      <c r="C405" s="11" t="inlineStr">
        <is>
          <t/>
        </is>
      </c>
      <c r="D405" s="12" t="inlineStr">
        <is>
          <t/>
        </is>
      </c>
      <c r="E405" s="13" t="inlineStr">
        <is>
          <t/>
        </is>
      </c>
      <c r="F405" s="14" t="inlineStr">
        <is>
          <t/>
        </is>
      </c>
      <c r="G405" s="15" t="inlineStr">
        <is>
          <t/>
        </is>
      </c>
      <c r="H405" s="16" t="inlineStr">
        <is>
          <t/>
        </is>
      </c>
      <c r="I405" s="17" t="inlineStr">
        <is>
          <t/>
        </is>
      </c>
      <c r="J405" s="18" t="inlineStr">
        <is>
          <t/>
        </is>
      </c>
      <c r="K405" s="19" t="inlineStr">
        <is>
          <t>Privately Held (backing)</t>
        </is>
      </c>
      <c r="L405" s="20" t="inlineStr">
        <is>
          <t>Accelerator/Incubator Backed</t>
        </is>
      </c>
      <c r="M405" s="21" t="n">
        <v>42158.0</v>
      </c>
      <c r="N405" s="22" t="inlineStr">
        <is>
          <t>Accelerator/Incubator</t>
        </is>
      </c>
      <c r="O405" s="23" t="n">
        <v>0.03</v>
      </c>
      <c r="P405" s="101">
        <f>HYPERLINK("https://my.pitchbook.com?c=121427-29", "View company online")</f>
      </c>
    </row>
    <row r="406">
      <c r="A406" s="25" t="inlineStr">
        <is>
          <t>177667-75</t>
        </is>
      </c>
      <c r="B406" s="26" t="inlineStr">
        <is>
          <t>Veruca</t>
        </is>
      </c>
      <c r="C406" s="78">
        <f>HYPERLINK("https://my.pitchbook.com?rrp=177667-75&amp;type=c", "This Company's information is not available to download. Need this Company? Request availability")</f>
      </c>
      <c r="D406" s="28" t="inlineStr">
        <is>
          <t/>
        </is>
      </c>
      <c r="E406" s="29" t="inlineStr">
        <is>
          <t/>
        </is>
      </c>
      <c r="F406" s="30" t="inlineStr">
        <is>
          <t/>
        </is>
      </c>
      <c r="G406" s="31" t="inlineStr">
        <is>
          <t/>
        </is>
      </c>
      <c r="H406" s="32" t="inlineStr">
        <is>
          <t/>
        </is>
      </c>
      <c r="I406" s="33" t="inlineStr">
        <is>
          <t/>
        </is>
      </c>
      <c r="J406" s="34" t="inlineStr">
        <is>
          <t/>
        </is>
      </c>
      <c r="K406" s="35" t="inlineStr">
        <is>
          <t/>
        </is>
      </c>
      <c r="L406" s="36" t="inlineStr">
        <is>
          <t/>
        </is>
      </c>
      <c r="M406" s="37" t="inlineStr">
        <is>
          <t/>
        </is>
      </c>
      <c r="N406" s="38" t="inlineStr">
        <is>
          <t/>
        </is>
      </c>
      <c r="O406" s="39" t="inlineStr">
        <is>
          <t/>
        </is>
      </c>
      <c r="P406" s="40" t="inlineStr">
        <is>
          <t/>
        </is>
      </c>
    </row>
    <row r="407">
      <c r="A407" s="9" t="inlineStr">
        <is>
          <t>62015-05</t>
        </is>
      </c>
      <c r="B407" s="10" t="inlineStr">
        <is>
          <t>VerticaLive</t>
        </is>
      </c>
      <c r="C407" s="11" t="inlineStr">
        <is>
          <t/>
        </is>
      </c>
      <c r="D407" s="12" t="inlineStr">
        <is>
          <t/>
        </is>
      </c>
      <c r="E407" s="13" t="inlineStr">
        <is>
          <t>FY 2017</t>
        </is>
      </c>
      <c r="F407" s="14" t="n">
        <v>4.0</v>
      </c>
      <c r="G407" s="15" t="inlineStr">
        <is>
          <t/>
        </is>
      </c>
      <c r="H407" s="16" t="inlineStr">
        <is>
          <t/>
        </is>
      </c>
      <c r="I407" s="17" t="inlineStr">
        <is>
          <t/>
        </is>
      </c>
      <c r="J407" s="18" t="inlineStr">
        <is>
          <t/>
        </is>
      </c>
      <c r="K407" s="19" t="inlineStr">
        <is>
          <t>Privately Held (backing)</t>
        </is>
      </c>
      <c r="L407" s="20" t="inlineStr">
        <is>
          <t>Angel-Backed</t>
        </is>
      </c>
      <c r="M407" s="21" t="n">
        <v>41137.0</v>
      </c>
      <c r="N407" s="22" t="inlineStr">
        <is>
          <t>Angel (individual)</t>
        </is>
      </c>
      <c r="O407" s="23" t="n">
        <v>1.0</v>
      </c>
      <c r="P407" s="101">
        <f>HYPERLINK("https://my.pitchbook.com?c=62015-05", "View company online")</f>
      </c>
    </row>
    <row r="408">
      <c r="A408" s="25" t="inlineStr">
        <is>
          <t>58571-65</t>
        </is>
      </c>
      <c r="B408" s="26" t="inlineStr">
        <is>
          <t>Vertical Point Solutions</t>
        </is>
      </c>
      <c r="C408" s="27" t="inlineStr">
        <is>
          <t/>
        </is>
      </c>
      <c r="D408" s="28" t="inlineStr">
        <is>
          <t/>
        </is>
      </c>
      <c r="E408" s="29" t="inlineStr">
        <is>
          <t/>
        </is>
      </c>
      <c r="F408" s="30" t="inlineStr">
        <is>
          <t/>
        </is>
      </c>
      <c r="G408" s="31" t="inlineStr">
        <is>
          <t/>
        </is>
      </c>
      <c r="H408" s="32" t="inlineStr">
        <is>
          <t/>
        </is>
      </c>
      <c r="I408" s="33" t="inlineStr">
        <is>
          <t/>
        </is>
      </c>
      <c r="J408" s="34" t="inlineStr">
        <is>
          <t/>
        </is>
      </c>
      <c r="K408" s="35" t="inlineStr">
        <is>
          <t>Privately Held (backing)</t>
        </is>
      </c>
      <c r="L408" s="36" t="inlineStr">
        <is>
          <t>Angel-Backed</t>
        </is>
      </c>
      <c r="M408" s="37" t="n">
        <v>41508.0</v>
      </c>
      <c r="N408" s="38" t="inlineStr">
        <is>
          <t>Angel (individual)</t>
        </is>
      </c>
      <c r="O408" s="39" t="n">
        <v>1.23</v>
      </c>
      <c r="P408" s="102">
        <f>HYPERLINK("https://my.pitchbook.com?c=58571-65", "View company online")</f>
      </c>
    </row>
    <row r="409">
      <c r="A409" s="9" t="inlineStr">
        <is>
          <t>171817-30</t>
        </is>
      </c>
      <c r="B409" s="10" t="inlineStr">
        <is>
          <t>Vertex Promotional</t>
        </is>
      </c>
      <c r="C409" s="77">
        <f>HYPERLINK("https://my.pitchbook.com?rrp=171817-30&amp;type=c", "This Company's information is not available to download. Need this Company? Request availability")</f>
      </c>
      <c r="D409" s="12" t="inlineStr">
        <is>
          <t/>
        </is>
      </c>
      <c r="E409" s="13" t="inlineStr">
        <is>
          <t/>
        </is>
      </c>
      <c r="F409" s="14" t="inlineStr">
        <is>
          <t/>
        </is>
      </c>
      <c r="G409" s="15" t="inlineStr">
        <is>
          <t/>
        </is>
      </c>
      <c r="H409" s="16" t="inlineStr">
        <is>
          <t/>
        </is>
      </c>
      <c r="I409" s="17" t="inlineStr">
        <is>
          <t/>
        </is>
      </c>
      <c r="J409" s="18" t="inlineStr">
        <is>
          <t/>
        </is>
      </c>
      <c r="K409" s="19" t="inlineStr">
        <is>
          <t/>
        </is>
      </c>
      <c r="L409" s="20" t="inlineStr">
        <is>
          <t/>
        </is>
      </c>
      <c r="M409" s="21" t="inlineStr">
        <is>
          <t/>
        </is>
      </c>
      <c r="N409" s="22" t="inlineStr">
        <is>
          <t/>
        </is>
      </c>
      <c r="O409" s="23" t="inlineStr">
        <is>
          <t/>
        </is>
      </c>
      <c r="P409" s="24" t="inlineStr">
        <is>
          <t/>
        </is>
      </c>
    </row>
    <row r="410">
      <c r="A410" s="25" t="inlineStr">
        <is>
          <t>133482-79</t>
        </is>
      </c>
      <c r="B410" s="26" t="inlineStr">
        <is>
          <t>Vertechs Enterprises</t>
        </is>
      </c>
      <c r="C410" s="27" t="inlineStr">
        <is>
          <t/>
        </is>
      </c>
      <c r="D410" s="28" t="inlineStr">
        <is>
          <t/>
        </is>
      </c>
      <c r="E410" s="29" t="inlineStr">
        <is>
          <t/>
        </is>
      </c>
      <c r="F410" s="30" t="inlineStr">
        <is>
          <t/>
        </is>
      </c>
      <c r="G410" s="31" t="inlineStr">
        <is>
          <t/>
        </is>
      </c>
      <c r="H410" s="32" t="inlineStr">
        <is>
          <t/>
        </is>
      </c>
      <c r="I410" s="33" t="inlineStr">
        <is>
          <t/>
        </is>
      </c>
      <c r="J410" s="34" t="inlineStr">
        <is>
          <t/>
        </is>
      </c>
      <c r="K410" s="35" t="inlineStr">
        <is>
          <t>Privately Held (backing)</t>
        </is>
      </c>
      <c r="L410" s="36" t="inlineStr">
        <is>
          <t>Angel-Backed</t>
        </is>
      </c>
      <c r="M410" s="37" t="n">
        <v>42424.0</v>
      </c>
      <c r="N410" s="38" t="inlineStr">
        <is>
          <t>Later Stage VC</t>
        </is>
      </c>
      <c r="O410" s="39" t="n">
        <v>0.76</v>
      </c>
      <c r="P410" s="102">
        <f>HYPERLINK("https://my.pitchbook.com?c=133482-79", "View company online")</f>
      </c>
    </row>
    <row r="411">
      <c r="A411" s="9" t="inlineStr">
        <is>
          <t>166340-35</t>
        </is>
      </c>
      <c r="B411" s="10" t="inlineStr">
        <is>
          <t>Vertebrae</t>
        </is>
      </c>
      <c r="C411" s="11" t="inlineStr">
        <is>
          <t/>
        </is>
      </c>
      <c r="D411" s="12" t="inlineStr">
        <is>
          <t/>
        </is>
      </c>
      <c r="E411" s="13" t="inlineStr">
        <is>
          <t/>
        </is>
      </c>
      <c r="F411" s="14" t="inlineStr">
        <is>
          <t/>
        </is>
      </c>
      <c r="G411" s="15" t="inlineStr">
        <is>
          <t/>
        </is>
      </c>
      <c r="H411" s="16" t="inlineStr">
        <is>
          <t/>
        </is>
      </c>
      <c r="I411" s="17" t="inlineStr">
        <is>
          <t/>
        </is>
      </c>
      <c r="J411" s="18" t="inlineStr">
        <is>
          <t/>
        </is>
      </c>
      <c r="K411" s="19" t="inlineStr">
        <is>
          <t>Privately Held (backing)</t>
        </is>
      </c>
      <c r="L411" s="20" t="inlineStr">
        <is>
          <t>Accelerator/Incubator Backed</t>
        </is>
      </c>
      <c r="M411" s="21" t="n">
        <v>42821.0</v>
      </c>
      <c r="N411" s="22" t="inlineStr">
        <is>
          <t>Accelerator/Incubator</t>
        </is>
      </c>
      <c r="O411" s="23" t="inlineStr">
        <is>
          <t/>
        </is>
      </c>
      <c r="P411" s="101">
        <f>HYPERLINK("https://my.pitchbook.com?c=166340-35", "View company online")</f>
      </c>
    </row>
    <row r="412">
      <c r="A412" s="25" t="inlineStr">
        <is>
          <t>176380-75</t>
        </is>
      </c>
      <c r="B412" s="26" t="inlineStr">
        <is>
          <t>Versafit</t>
        </is>
      </c>
      <c r="C412" s="78">
        <f>HYPERLINK("https://my.pitchbook.com?rrp=176380-75&amp;type=c", "This Company's information is not available to download. Need this Company? Request availability")</f>
      </c>
      <c r="D412" s="28" t="inlineStr">
        <is>
          <t/>
        </is>
      </c>
      <c r="E412" s="29" t="inlineStr">
        <is>
          <t/>
        </is>
      </c>
      <c r="F412" s="30" t="inlineStr">
        <is>
          <t/>
        </is>
      </c>
      <c r="G412" s="31" t="inlineStr">
        <is>
          <t/>
        </is>
      </c>
      <c r="H412" s="32" t="inlineStr">
        <is>
          <t/>
        </is>
      </c>
      <c r="I412" s="33" t="inlineStr">
        <is>
          <t/>
        </is>
      </c>
      <c r="J412" s="34" t="inlineStr">
        <is>
          <t/>
        </is>
      </c>
      <c r="K412" s="35" t="inlineStr">
        <is>
          <t/>
        </is>
      </c>
      <c r="L412" s="36" t="inlineStr">
        <is>
          <t/>
        </is>
      </c>
      <c r="M412" s="37" t="inlineStr">
        <is>
          <t/>
        </is>
      </c>
      <c r="N412" s="38" t="inlineStr">
        <is>
          <t/>
        </is>
      </c>
      <c r="O412" s="39" t="inlineStr">
        <is>
          <t/>
        </is>
      </c>
      <c r="P412" s="40" t="inlineStr">
        <is>
          <t/>
        </is>
      </c>
    </row>
    <row r="413">
      <c r="A413" s="9" t="inlineStr">
        <is>
          <t>122346-64</t>
        </is>
      </c>
      <c r="B413" s="10" t="inlineStr">
        <is>
          <t>Vernox Labs</t>
        </is>
      </c>
      <c r="C413" s="11" t="inlineStr">
        <is>
          <t/>
        </is>
      </c>
      <c r="D413" s="12" t="inlineStr">
        <is>
          <t/>
        </is>
      </c>
      <c r="E413" s="13" t="inlineStr">
        <is>
          <t/>
        </is>
      </c>
      <c r="F413" s="14" t="inlineStr">
        <is>
          <t/>
        </is>
      </c>
      <c r="G413" s="15" t="inlineStr">
        <is>
          <t/>
        </is>
      </c>
      <c r="H413" s="16" t="inlineStr">
        <is>
          <t/>
        </is>
      </c>
      <c r="I413" s="17" t="inlineStr">
        <is>
          <t/>
        </is>
      </c>
      <c r="J413" s="18" t="inlineStr">
        <is>
          <t/>
        </is>
      </c>
      <c r="K413" s="19" t="inlineStr">
        <is>
          <t>Privately Held (backing)</t>
        </is>
      </c>
      <c r="L413" s="20" t="inlineStr">
        <is>
          <t>Accelerator/Incubator Backed</t>
        </is>
      </c>
      <c r="M413" s="21" t="n">
        <v>42234.0</v>
      </c>
      <c r="N413" s="22" t="inlineStr">
        <is>
          <t>Accelerator/Incubator</t>
        </is>
      </c>
      <c r="O413" s="23" t="n">
        <v>0.12</v>
      </c>
      <c r="P413" s="101">
        <f>HYPERLINK("https://my.pitchbook.com?c=122346-64", "View company online")</f>
      </c>
    </row>
    <row r="414">
      <c r="A414" s="25" t="inlineStr">
        <is>
          <t>104232-34</t>
        </is>
      </c>
      <c r="B414" s="26" t="inlineStr">
        <is>
          <t>VeriTainer Asset Holding</t>
        </is>
      </c>
      <c r="C414" s="27" t="inlineStr">
        <is>
          <t/>
        </is>
      </c>
      <c r="D414" s="28" t="inlineStr">
        <is>
          <t/>
        </is>
      </c>
      <c r="E414" s="29" t="inlineStr">
        <is>
          <t/>
        </is>
      </c>
      <c r="F414" s="30" t="inlineStr">
        <is>
          <t/>
        </is>
      </c>
      <c r="G414" s="31" t="inlineStr">
        <is>
          <t/>
        </is>
      </c>
      <c r="H414" s="32" t="inlineStr">
        <is>
          <t/>
        </is>
      </c>
      <c r="I414" s="33" t="inlineStr">
        <is>
          <t/>
        </is>
      </c>
      <c r="J414" s="34" t="inlineStr">
        <is>
          <t/>
        </is>
      </c>
      <c r="K414" s="35" t="inlineStr">
        <is>
          <t>Privately Held (backing)</t>
        </is>
      </c>
      <c r="L414" s="36" t="inlineStr">
        <is>
          <t>Angel-Backed</t>
        </is>
      </c>
      <c r="M414" s="37" t="n">
        <v>41682.0</v>
      </c>
      <c r="N414" s="38" t="inlineStr">
        <is>
          <t>Angel (individual)</t>
        </is>
      </c>
      <c r="O414" s="39" t="n">
        <v>0.61</v>
      </c>
      <c r="P414" s="102">
        <f>HYPERLINK("https://my.pitchbook.com?c=104232-34", "View company online")</f>
      </c>
    </row>
    <row r="415">
      <c r="A415" s="9" t="inlineStr">
        <is>
          <t>172379-62</t>
        </is>
      </c>
      <c r="B415" s="10" t="inlineStr">
        <is>
          <t>Verigio Communications</t>
        </is>
      </c>
      <c r="C415" s="77">
        <f>HYPERLINK("https://my.pitchbook.com?rrp=172379-62&amp;type=c", "This Company's information is not available to download. Need this Company? Request availability")</f>
      </c>
      <c r="D415" s="12" t="inlineStr">
        <is>
          <t/>
        </is>
      </c>
      <c r="E415" s="13" t="inlineStr">
        <is>
          <t/>
        </is>
      </c>
      <c r="F415" s="14" t="inlineStr">
        <is>
          <t/>
        </is>
      </c>
      <c r="G415" s="15" t="inlineStr">
        <is>
          <t/>
        </is>
      </c>
      <c r="H415" s="16" t="inlineStr">
        <is>
          <t/>
        </is>
      </c>
      <c r="I415" s="17" t="inlineStr">
        <is>
          <t/>
        </is>
      </c>
      <c r="J415" s="18" t="inlineStr">
        <is>
          <t/>
        </is>
      </c>
      <c r="K415" s="19" t="inlineStr">
        <is>
          <t/>
        </is>
      </c>
      <c r="L415" s="20" t="inlineStr">
        <is>
          <t/>
        </is>
      </c>
      <c r="M415" s="21" t="inlineStr">
        <is>
          <t/>
        </is>
      </c>
      <c r="N415" s="22" t="inlineStr">
        <is>
          <t/>
        </is>
      </c>
      <c r="O415" s="23" t="inlineStr">
        <is>
          <t/>
        </is>
      </c>
      <c r="P415" s="24" t="inlineStr">
        <is>
          <t/>
        </is>
      </c>
    </row>
    <row r="416">
      <c r="A416" s="25" t="inlineStr">
        <is>
          <t>158696-56</t>
        </is>
      </c>
      <c r="B416" s="26" t="inlineStr">
        <is>
          <t>VerifiR</t>
        </is>
      </c>
      <c r="C416" s="27" t="inlineStr">
        <is>
          <t/>
        </is>
      </c>
      <c r="D416" s="28" t="inlineStr">
        <is>
          <t/>
        </is>
      </c>
      <c r="E416" s="29" t="inlineStr">
        <is>
          <t/>
        </is>
      </c>
      <c r="F416" s="30" t="inlineStr">
        <is>
          <t/>
        </is>
      </c>
      <c r="G416" s="31" t="inlineStr">
        <is>
          <t/>
        </is>
      </c>
      <c r="H416" s="32" t="inlineStr">
        <is>
          <t/>
        </is>
      </c>
      <c r="I416" s="33" t="inlineStr">
        <is>
          <t/>
        </is>
      </c>
      <c r="J416" s="34" t="inlineStr">
        <is>
          <t/>
        </is>
      </c>
      <c r="K416" s="35" t="inlineStr">
        <is>
          <t>Privately Held (backing)</t>
        </is>
      </c>
      <c r="L416" s="36" t="inlineStr">
        <is>
          <t>Accelerator/Incubator Backed</t>
        </is>
      </c>
      <c r="M416" s="37" t="inlineStr">
        <is>
          <t/>
        </is>
      </c>
      <c r="N416" s="38" t="inlineStr">
        <is>
          <t>Accelerator/Incubator</t>
        </is>
      </c>
      <c r="O416" s="39" t="inlineStr">
        <is>
          <t/>
        </is>
      </c>
      <c r="P416" s="102">
        <f>HYPERLINK("https://my.pitchbook.com?c=158696-56", "View company online")</f>
      </c>
    </row>
    <row r="417">
      <c r="A417" s="9" t="inlineStr">
        <is>
          <t>178225-75</t>
        </is>
      </c>
      <c r="B417" s="10" t="inlineStr">
        <is>
          <t>VeriComply</t>
        </is>
      </c>
      <c r="C417" s="77">
        <f>HYPERLINK("https://my.pitchbook.com?rrp=178225-75&amp;type=c", "This Company's information is not available to download. Need this Company? Request availability")</f>
      </c>
      <c r="D417" s="12" t="inlineStr">
        <is>
          <t/>
        </is>
      </c>
      <c r="E417" s="13" t="inlineStr">
        <is>
          <t/>
        </is>
      </c>
      <c r="F417" s="14" t="inlineStr">
        <is>
          <t/>
        </is>
      </c>
      <c r="G417" s="15" t="inlineStr">
        <is>
          <t/>
        </is>
      </c>
      <c r="H417" s="16" t="inlineStr">
        <is>
          <t/>
        </is>
      </c>
      <c r="I417" s="17" t="inlineStr">
        <is>
          <t/>
        </is>
      </c>
      <c r="J417" s="18" t="inlineStr">
        <is>
          <t/>
        </is>
      </c>
      <c r="K417" s="19" t="inlineStr">
        <is>
          <t/>
        </is>
      </c>
      <c r="L417" s="20" t="inlineStr">
        <is>
          <t/>
        </is>
      </c>
      <c r="M417" s="21" t="inlineStr">
        <is>
          <t/>
        </is>
      </c>
      <c r="N417" s="22" t="inlineStr">
        <is>
          <t/>
        </is>
      </c>
      <c r="O417" s="23" t="inlineStr">
        <is>
          <t/>
        </is>
      </c>
      <c r="P417" s="24" t="inlineStr">
        <is>
          <t/>
        </is>
      </c>
    </row>
    <row r="418">
      <c r="A418" s="25" t="inlineStr">
        <is>
          <t>152103-25</t>
        </is>
      </c>
      <c r="B418" s="26" t="inlineStr">
        <is>
          <t>Verdiseno</t>
        </is>
      </c>
      <c r="C418" s="27" t="inlineStr">
        <is>
          <t/>
        </is>
      </c>
      <c r="D418" s="28" t="inlineStr">
        <is>
          <t/>
        </is>
      </c>
      <c r="E418" s="29" t="inlineStr">
        <is>
          <t/>
        </is>
      </c>
      <c r="F418" s="30" t="inlineStr">
        <is>
          <t/>
        </is>
      </c>
      <c r="G418" s="31" t="inlineStr">
        <is>
          <t/>
        </is>
      </c>
      <c r="H418" s="32" t="inlineStr">
        <is>
          <t/>
        </is>
      </c>
      <c r="I418" s="33" t="inlineStr">
        <is>
          <t/>
        </is>
      </c>
      <c r="J418" s="34" t="inlineStr">
        <is>
          <t/>
        </is>
      </c>
      <c r="K418" s="35" t="inlineStr">
        <is>
          <t>Privately Held (backing)</t>
        </is>
      </c>
      <c r="L418" s="36" t="inlineStr">
        <is>
          <t>Angel-Backed</t>
        </is>
      </c>
      <c r="M418" s="37" t="n">
        <v>41243.0</v>
      </c>
      <c r="N418" s="38" t="inlineStr">
        <is>
          <t>Convertible Debt</t>
        </is>
      </c>
      <c r="O418" s="39" t="n">
        <v>0.03</v>
      </c>
      <c r="P418" s="102">
        <f>HYPERLINK("https://my.pitchbook.com?c=152103-25", "View company online")</f>
      </c>
    </row>
    <row r="419">
      <c r="A419" s="9" t="inlineStr">
        <is>
          <t>169294-60</t>
        </is>
      </c>
      <c r="B419" s="10" t="inlineStr">
        <is>
          <t>Verdical</t>
        </is>
      </c>
      <c r="C419" s="11" t="inlineStr">
        <is>
          <t/>
        </is>
      </c>
      <c r="D419" s="12" t="inlineStr">
        <is>
          <t/>
        </is>
      </c>
      <c r="E419" s="13" t="inlineStr">
        <is>
          <t/>
        </is>
      </c>
      <c r="F419" s="14" t="inlineStr">
        <is>
          <t/>
        </is>
      </c>
      <c r="G419" s="15" t="inlineStr">
        <is>
          <t/>
        </is>
      </c>
      <c r="H419" s="16" t="inlineStr">
        <is>
          <t/>
        </is>
      </c>
      <c r="I419" s="17" t="inlineStr">
        <is>
          <t/>
        </is>
      </c>
      <c r="J419" s="18" t="inlineStr">
        <is>
          <t/>
        </is>
      </c>
      <c r="K419" s="19" t="inlineStr">
        <is>
          <t>Privately Held (backing)</t>
        </is>
      </c>
      <c r="L419" s="20" t="inlineStr">
        <is>
          <t>Accelerator/Incubator Backed</t>
        </is>
      </c>
      <c r="M419" s="21" t="n">
        <v>42684.0</v>
      </c>
      <c r="N419" s="22" t="inlineStr">
        <is>
          <t>Accelerator/Incubator</t>
        </is>
      </c>
      <c r="O419" s="23" t="inlineStr">
        <is>
          <t/>
        </is>
      </c>
      <c r="P419" s="101">
        <f>HYPERLINK("https://my.pitchbook.com?c=169294-60", "View company online")</f>
      </c>
    </row>
    <row r="420">
      <c r="A420" s="25" t="inlineStr">
        <is>
          <t>123639-40</t>
        </is>
      </c>
      <c r="B420" s="26" t="inlineStr">
        <is>
          <t>Verbatm</t>
        </is>
      </c>
      <c r="C420" s="27" t="inlineStr">
        <is>
          <t/>
        </is>
      </c>
      <c r="D420" s="28" t="inlineStr">
        <is>
          <t/>
        </is>
      </c>
      <c r="E420" s="29" t="inlineStr">
        <is>
          <t/>
        </is>
      </c>
      <c r="F420" s="30" t="inlineStr">
        <is>
          <t/>
        </is>
      </c>
      <c r="G420" s="31" t="inlineStr">
        <is>
          <t/>
        </is>
      </c>
      <c r="H420" s="32" t="inlineStr">
        <is>
          <t/>
        </is>
      </c>
      <c r="I420" s="33" t="inlineStr">
        <is>
          <t/>
        </is>
      </c>
      <c r="J420" s="34" t="inlineStr">
        <is>
          <t/>
        </is>
      </c>
      <c r="K420" s="35" t="inlineStr">
        <is>
          <t>Privately Held (backing)</t>
        </is>
      </c>
      <c r="L420" s="36" t="inlineStr">
        <is>
          <t>Accelerator/Incubator Backed</t>
        </is>
      </c>
      <c r="M420" s="37" t="n">
        <v>42219.0</v>
      </c>
      <c r="N420" s="38" t="inlineStr">
        <is>
          <t>Accelerator/Incubator</t>
        </is>
      </c>
      <c r="O420" s="39" t="n">
        <v>0.05</v>
      </c>
      <c r="P420" s="102">
        <f>HYPERLINK("https://my.pitchbook.com?c=123639-40", "View company online")</f>
      </c>
    </row>
    <row r="421">
      <c r="A421" s="9" t="inlineStr">
        <is>
          <t>104761-54</t>
        </is>
      </c>
      <c r="B421" s="10" t="inlineStr">
        <is>
          <t>Venyooz</t>
        </is>
      </c>
      <c r="C421" s="11" t="inlineStr">
        <is>
          <t/>
        </is>
      </c>
      <c r="D421" s="12" t="inlineStr">
        <is>
          <t/>
        </is>
      </c>
      <c r="E421" s="13" t="inlineStr">
        <is>
          <t/>
        </is>
      </c>
      <c r="F421" s="14" t="inlineStr">
        <is>
          <t/>
        </is>
      </c>
      <c r="G421" s="15" t="inlineStr">
        <is>
          <t/>
        </is>
      </c>
      <c r="H421" s="16" t="inlineStr">
        <is>
          <t/>
        </is>
      </c>
      <c r="I421" s="17" t="inlineStr">
        <is>
          <t/>
        </is>
      </c>
      <c r="J421" s="18" t="inlineStr">
        <is>
          <t/>
        </is>
      </c>
      <c r="K421" s="19" t="inlineStr">
        <is>
          <t>Privately Held (backing)</t>
        </is>
      </c>
      <c r="L421" s="20" t="inlineStr">
        <is>
          <t>Angel-Backed</t>
        </is>
      </c>
      <c r="M421" s="21" t="n">
        <v>42116.0</v>
      </c>
      <c r="N421" s="22" t="inlineStr">
        <is>
          <t>Angel (individual)</t>
        </is>
      </c>
      <c r="O421" s="23" t="n">
        <v>0.11</v>
      </c>
      <c r="P421" s="101">
        <f>HYPERLINK("https://my.pitchbook.com?c=104761-54", "View company online")</f>
      </c>
    </row>
    <row r="422">
      <c r="A422" s="25" t="inlineStr">
        <is>
          <t>171944-02</t>
        </is>
      </c>
      <c r="B422" s="26" t="inlineStr">
        <is>
          <t>Venuelytics</t>
        </is>
      </c>
      <c r="C422" s="78">
        <f>HYPERLINK("https://my.pitchbook.com?rrp=171944-02&amp;type=c", "This Company's information is not available to download. Need this Company? Request availability")</f>
      </c>
      <c r="D422" s="28" t="inlineStr">
        <is>
          <t/>
        </is>
      </c>
      <c r="E422" s="29" t="inlineStr">
        <is>
          <t/>
        </is>
      </c>
      <c r="F422" s="30" t="inlineStr">
        <is>
          <t/>
        </is>
      </c>
      <c r="G422" s="31" t="inlineStr">
        <is>
          <t/>
        </is>
      </c>
      <c r="H422" s="32" t="inlineStr">
        <is>
          <t/>
        </is>
      </c>
      <c r="I422" s="33" t="inlineStr">
        <is>
          <t/>
        </is>
      </c>
      <c r="J422" s="34" t="inlineStr">
        <is>
          <t/>
        </is>
      </c>
      <c r="K422" s="35" t="inlineStr">
        <is>
          <t/>
        </is>
      </c>
      <c r="L422" s="36" t="inlineStr">
        <is>
          <t/>
        </is>
      </c>
      <c r="M422" s="37" t="inlineStr">
        <is>
          <t/>
        </is>
      </c>
      <c r="N422" s="38" t="inlineStr">
        <is>
          <t/>
        </is>
      </c>
      <c r="O422" s="39" t="inlineStr">
        <is>
          <t/>
        </is>
      </c>
      <c r="P422" s="40" t="inlineStr">
        <is>
          <t/>
        </is>
      </c>
    </row>
    <row r="423">
      <c r="A423" s="9" t="inlineStr">
        <is>
          <t>97188-85</t>
        </is>
      </c>
      <c r="B423" s="10" t="inlineStr">
        <is>
          <t>Venue Report</t>
        </is>
      </c>
      <c r="C423" s="11" t="inlineStr">
        <is>
          <t/>
        </is>
      </c>
      <c r="D423" s="12" t="inlineStr">
        <is>
          <t/>
        </is>
      </c>
      <c r="E423" s="13" t="inlineStr">
        <is>
          <t/>
        </is>
      </c>
      <c r="F423" s="14" t="inlineStr">
        <is>
          <t/>
        </is>
      </c>
      <c r="G423" s="15" t="inlineStr">
        <is>
          <t/>
        </is>
      </c>
      <c r="H423" s="16" t="inlineStr">
        <is>
          <t/>
        </is>
      </c>
      <c r="I423" s="17" t="inlineStr">
        <is>
          <t/>
        </is>
      </c>
      <c r="J423" s="18" t="inlineStr">
        <is>
          <t/>
        </is>
      </c>
      <c r="K423" s="19" t="inlineStr">
        <is>
          <t>Privately Held (backing)</t>
        </is>
      </c>
      <c r="L423" s="20" t="inlineStr">
        <is>
          <t>Angel-Backed</t>
        </is>
      </c>
      <c r="M423" s="21" t="n">
        <v>42594.0</v>
      </c>
      <c r="N423" s="22" t="inlineStr">
        <is>
          <t>Angel (individual)</t>
        </is>
      </c>
      <c r="O423" s="23" t="n">
        <v>0.5</v>
      </c>
      <c r="P423" s="101">
        <f>HYPERLINK("https://my.pitchbook.com?c=97188-85", "View company online")</f>
      </c>
    </row>
    <row r="424">
      <c r="A424" s="25" t="inlineStr">
        <is>
          <t>176821-66</t>
        </is>
      </c>
      <c r="B424" s="26" t="inlineStr">
        <is>
          <t>Venture West Funding</t>
        </is>
      </c>
      <c r="C424" s="78">
        <f>HYPERLINK("https://my.pitchbook.com?rrp=176821-66&amp;type=c", "This Company's information is not available to download. Need this Company? Request availability")</f>
      </c>
      <c r="D424" s="28" t="inlineStr">
        <is>
          <t/>
        </is>
      </c>
      <c r="E424" s="29" t="inlineStr">
        <is>
          <t/>
        </is>
      </c>
      <c r="F424" s="30" t="inlineStr">
        <is>
          <t/>
        </is>
      </c>
      <c r="G424" s="31" t="inlineStr">
        <is>
          <t/>
        </is>
      </c>
      <c r="H424" s="32" t="inlineStr">
        <is>
          <t/>
        </is>
      </c>
      <c r="I424" s="33" t="inlineStr">
        <is>
          <t/>
        </is>
      </c>
      <c r="J424" s="34" t="inlineStr">
        <is>
          <t/>
        </is>
      </c>
      <c r="K424" s="35" t="inlineStr">
        <is>
          <t/>
        </is>
      </c>
      <c r="L424" s="36" t="inlineStr">
        <is>
          <t/>
        </is>
      </c>
      <c r="M424" s="37" t="inlineStr">
        <is>
          <t/>
        </is>
      </c>
      <c r="N424" s="38" t="inlineStr">
        <is>
          <t/>
        </is>
      </c>
      <c r="O424" s="39" t="inlineStr">
        <is>
          <t/>
        </is>
      </c>
      <c r="P424" s="40" t="inlineStr">
        <is>
          <t/>
        </is>
      </c>
    </row>
    <row r="425">
      <c r="A425" s="9" t="inlineStr">
        <is>
          <t>173922-67</t>
        </is>
      </c>
      <c r="B425" s="10" t="inlineStr">
        <is>
          <t>Ventura County Office of Education</t>
        </is>
      </c>
      <c r="C425" s="77">
        <f>HYPERLINK("https://my.pitchbook.com?rrp=173922-67&amp;type=c", "This Company's information is not available to download. Need this Company? Request availability")</f>
      </c>
      <c r="D425" s="12" t="inlineStr">
        <is>
          <t/>
        </is>
      </c>
      <c r="E425" s="13" t="inlineStr">
        <is>
          <t/>
        </is>
      </c>
      <c r="F425" s="14" t="inlineStr">
        <is>
          <t/>
        </is>
      </c>
      <c r="G425" s="15" t="inlineStr">
        <is>
          <t/>
        </is>
      </c>
      <c r="H425" s="16" t="inlineStr">
        <is>
          <t/>
        </is>
      </c>
      <c r="I425" s="17" t="inlineStr">
        <is>
          <t/>
        </is>
      </c>
      <c r="J425" s="18" t="inlineStr">
        <is>
          <t/>
        </is>
      </c>
      <c r="K425" s="19" t="inlineStr">
        <is>
          <t/>
        </is>
      </c>
      <c r="L425" s="20" t="inlineStr">
        <is>
          <t/>
        </is>
      </c>
      <c r="M425" s="21" t="inlineStr">
        <is>
          <t/>
        </is>
      </c>
      <c r="N425" s="22" t="inlineStr">
        <is>
          <t/>
        </is>
      </c>
      <c r="O425" s="23" t="inlineStr">
        <is>
          <t/>
        </is>
      </c>
      <c r="P425" s="24" t="inlineStr">
        <is>
          <t/>
        </is>
      </c>
    </row>
    <row r="426">
      <c r="A426" s="25" t="inlineStr">
        <is>
          <t>63605-17</t>
        </is>
      </c>
      <c r="B426" s="26" t="inlineStr">
        <is>
          <t>Venovate</t>
        </is>
      </c>
      <c r="C426" s="27" t="inlineStr">
        <is>
          <t/>
        </is>
      </c>
      <c r="D426" s="28" t="inlineStr">
        <is>
          <t/>
        </is>
      </c>
      <c r="E426" s="29" t="inlineStr">
        <is>
          <t/>
        </is>
      </c>
      <c r="F426" s="30" t="inlineStr">
        <is>
          <t/>
        </is>
      </c>
      <c r="G426" s="31" t="inlineStr">
        <is>
          <t/>
        </is>
      </c>
      <c r="H426" s="32" t="inlineStr">
        <is>
          <t/>
        </is>
      </c>
      <c r="I426" s="33" t="inlineStr">
        <is>
          <t/>
        </is>
      </c>
      <c r="J426" s="34" t="inlineStr">
        <is>
          <t/>
        </is>
      </c>
      <c r="K426" s="35" t="inlineStr">
        <is>
          <t>Privately Held (backing)</t>
        </is>
      </c>
      <c r="L426" s="36" t="inlineStr">
        <is>
          <t>Accelerator/Incubator Backed</t>
        </is>
      </c>
      <c r="M426" s="37" t="n">
        <v>41640.0</v>
      </c>
      <c r="N426" s="38" t="inlineStr">
        <is>
          <t>Accelerator/Incubator</t>
        </is>
      </c>
      <c r="O426" s="39" t="inlineStr">
        <is>
          <t/>
        </is>
      </c>
      <c r="P426" s="102">
        <f>HYPERLINK("https://my.pitchbook.com?c=63605-17", "View company online")</f>
      </c>
    </row>
    <row r="427">
      <c r="A427" s="9" t="inlineStr">
        <is>
          <t>169312-51</t>
        </is>
      </c>
      <c r="B427" s="10" t="inlineStr">
        <is>
          <t>Venomyx Therapeutics</t>
        </is>
      </c>
      <c r="C427" s="11" t="inlineStr">
        <is>
          <t/>
        </is>
      </c>
      <c r="D427" s="12" t="inlineStr">
        <is>
          <t/>
        </is>
      </c>
      <c r="E427" s="13" t="inlineStr">
        <is>
          <t/>
        </is>
      </c>
      <c r="F427" s="14" t="inlineStr">
        <is>
          <t/>
        </is>
      </c>
      <c r="G427" s="15" t="inlineStr">
        <is>
          <t/>
        </is>
      </c>
      <c r="H427" s="16" t="inlineStr">
        <is>
          <t/>
        </is>
      </c>
      <c r="I427" s="17" t="inlineStr">
        <is>
          <t/>
        </is>
      </c>
      <c r="J427" s="18" t="inlineStr">
        <is>
          <t/>
        </is>
      </c>
      <c r="K427" s="19" t="inlineStr">
        <is>
          <t>Privately Held (backing)</t>
        </is>
      </c>
      <c r="L427" s="20" t="inlineStr">
        <is>
          <t>Accelerator/Incubator Backed</t>
        </is>
      </c>
      <c r="M427" s="21" t="n">
        <v>42650.0</v>
      </c>
      <c r="N427" s="22" t="inlineStr">
        <is>
          <t>Accelerator/Incubator</t>
        </is>
      </c>
      <c r="O427" s="23" t="n">
        <v>0.25</v>
      </c>
      <c r="P427" s="101">
        <f>HYPERLINK("https://my.pitchbook.com?c=169312-51", "View company online")</f>
      </c>
    </row>
    <row r="428">
      <c r="A428" s="25" t="inlineStr">
        <is>
          <t>118598-77</t>
        </is>
      </c>
      <c r="B428" s="26" t="inlineStr">
        <is>
          <t>Vendri</t>
        </is>
      </c>
      <c r="C428" s="27" t="inlineStr">
        <is>
          <t/>
        </is>
      </c>
      <c r="D428" s="28" t="inlineStr">
        <is>
          <t/>
        </is>
      </c>
      <c r="E428" s="29" t="inlineStr">
        <is>
          <t/>
        </is>
      </c>
      <c r="F428" s="30" t="inlineStr">
        <is>
          <t/>
        </is>
      </c>
      <c r="G428" s="31" t="inlineStr">
        <is>
          <t/>
        </is>
      </c>
      <c r="H428" s="32" t="inlineStr">
        <is>
          <t/>
        </is>
      </c>
      <c r="I428" s="33" t="inlineStr">
        <is>
          <t/>
        </is>
      </c>
      <c r="J428" s="34" t="inlineStr">
        <is>
          <t/>
        </is>
      </c>
      <c r="K428" s="35" t="inlineStr">
        <is>
          <t>Privately Held (backing)</t>
        </is>
      </c>
      <c r="L428" s="36" t="inlineStr">
        <is>
          <t>Accelerator/Incubator Backed</t>
        </is>
      </c>
      <c r="M428" s="37" t="n">
        <v>42208.0</v>
      </c>
      <c r="N428" s="38" t="inlineStr">
        <is>
          <t>Grant</t>
        </is>
      </c>
      <c r="O428" s="39" t="n">
        <v>0.05</v>
      </c>
      <c r="P428" s="102">
        <f>HYPERLINK("https://my.pitchbook.com?c=118598-77", "View company online")</f>
      </c>
    </row>
    <row r="429">
      <c r="A429" s="9" t="inlineStr">
        <is>
          <t>104760-28</t>
        </is>
      </c>
      <c r="B429" s="10" t="inlineStr">
        <is>
          <t>VendOp</t>
        </is>
      </c>
      <c r="C429" s="11" t="inlineStr">
        <is>
          <t/>
        </is>
      </c>
      <c r="D429" s="12" t="inlineStr">
        <is>
          <t/>
        </is>
      </c>
      <c r="E429" s="13" t="inlineStr">
        <is>
          <t/>
        </is>
      </c>
      <c r="F429" s="14" t="inlineStr">
        <is>
          <t/>
        </is>
      </c>
      <c r="G429" s="15" t="inlineStr">
        <is>
          <t/>
        </is>
      </c>
      <c r="H429" s="16" t="inlineStr">
        <is>
          <t/>
        </is>
      </c>
      <c r="I429" s="17" t="inlineStr">
        <is>
          <t/>
        </is>
      </c>
      <c r="J429" s="18" t="inlineStr">
        <is>
          <t/>
        </is>
      </c>
      <c r="K429" s="19" t="inlineStr">
        <is>
          <t>Privately Held (backing)</t>
        </is>
      </c>
      <c r="L429" s="20" t="inlineStr">
        <is>
          <t>Angel-Backed</t>
        </is>
      </c>
      <c r="M429" s="21" t="n">
        <v>42102.0</v>
      </c>
      <c r="N429" s="22" t="inlineStr">
        <is>
          <t>Seed Round</t>
        </is>
      </c>
      <c r="O429" s="23" t="n">
        <v>1.1</v>
      </c>
      <c r="P429" s="101">
        <f>HYPERLINK("https://my.pitchbook.com?c=104760-28", "View company online")</f>
      </c>
    </row>
    <row r="430">
      <c r="A430" s="25" t="inlineStr">
        <is>
          <t>103400-83</t>
        </is>
      </c>
      <c r="B430" s="26" t="inlineStr">
        <is>
          <t>Vendigi</t>
        </is>
      </c>
      <c r="C430" s="27" t="inlineStr">
        <is>
          <t/>
        </is>
      </c>
      <c r="D430" s="28" t="inlineStr">
        <is>
          <t/>
        </is>
      </c>
      <c r="E430" s="29" t="inlineStr">
        <is>
          <t/>
        </is>
      </c>
      <c r="F430" s="30" t="inlineStr">
        <is>
          <t/>
        </is>
      </c>
      <c r="G430" s="31" t="inlineStr">
        <is>
          <t/>
        </is>
      </c>
      <c r="H430" s="32" t="inlineStr">
        <is>
          <t/>
        </is>
      </c>
      <c r="I430" s="33" t="inlineStr">
        <is>
          <t/>
        </is>
      </c>
      <c r="J430" s="34" t="inlineStr">
        <is>
          <t/>
        </is>
      </c>
      <c r="K430" s="35" t="inlineStr">
        <is>
          <t>Privately Held (backing)</t>
        </is>
      </c>
      <c r="L430" s="36" t="inlineStr">
        <is>
          <t>Angel-Backed</t>
        </is>
      </c>
      <c r="M430" s="37" t="n">
        <v>41787.0</v>
      </c>
      <c r="N430" s="38" t="inlineStr">
        <is>
          <t>Convertible Debt</t>
        </is>
      </c>
      <c r="O430" s="39" t="inlineStr">
        <is>
          <t/>
        </is>
      </c>
      <c r="P430" s="102">
        <f>HYPERLINK("https://my.pitchbook.com?c=103400-83", "View company online")</f>
      </c>
    </row>
    <row r="431">
      <c r="A431" s="9" t="inlineStr">
        <is>
          <t>103355-29</t>
        </is>
      </c>
      <c r="B431" s="10" t="inlineStr">
        <is>
          <t>Vencosba</t>
        </is>
      </c>
      <c r="C431" s="11" t="inlineStr">
        <is>
          <t/>
        </is>
      </c>
      <c r="D431" s="12" t="inlineStr">
        <is>
          <t/>
        </is>
      </c>
      <c r="E431" s="13" t="inlineStr">
        <is>
          <t/>
        </is>
      </c>
      <c r="F431" s="14" t="inlineStr">
        <is>
          <t/>
        </is>
      </c>
      <c r="G431" s="15" t="inlineStr">
        <is>
          <t/>
        </is>
      </c>
      <c r="H431" s="16" t="inlineStr">
        <is>
          <t/>
        </is>
      </c>
      <c r="I431" s="17" t="inlineStr">
        <is>
          <t/>
        </is>
      </c>
      <c r="J431" s="18" t="inlineStr">
        <is>
          <t/>
        </is>
      </c>
      <c r="K431" s="19" t="inlineStr">
        <is>
          <t>Privately Held (backing)</t>
        </is>
      </c>
      <c r="L431" s="20" t="inlineStr">
        <is>
          <t>Accelerator/Incubator Backed</t>
        </is>
      </c>
      <c r="M431" s="21" t="inlineStr">
        <is>
          <t/>
        </is>
      </c>
      <c r="N431" s="22" t="inlineStr">
        <is>
          <t>Accelerator/Incubator</t>
        </is>
      </c>
      <c r="O431" s="23" t="inlineStr">
        <is>
          <t/>
        </is>
      </c>
      <c r="P431" s="101">
        <f>HYPERLINK("https://my.pitchbook.com?c=103355-29", "View company online")</f>
      </c>
    </row>
    <row r="432">
      <c r="A432" s="25" t="inlineStr">
        <is>
          <t>171815-95</t>
        </is>
      </c>
      <c r="B432" s="26" t="inlineStr">
        <is>
          <t>Vence</t>
        </is>
      </c>
      <c r="C432" s="27" t="inlineStr">
        <is>
          <t/>
        </is>
      </c>
      <c r="D432" s="28" t="inlineStr">
        <is>
          <t/>
        </is>
      </c>
      <c r="E432" s="29" t="inlineStr">
        <is>
          <t/>
        </is>
      </c>
      <c r="F432" s="30" t="inlineStr">
        <is>
          <t/>
        </is>
      </c>
      <c r="G432" s="31" t="inlineStr">
        <is>
          <t/>
        </is>
      </c>
      <c r="H432" s="32" t="inlineStr">
        <is>
          <t/>
        </is>
      </c>
      <c r="I432" s="33" t="inlineStr">
        <is>
          <t/>
        </is>
      </c>
      <c r="J432" s="34" t="inlineStr">
        <is>
          <t/>
        </is>
      </c>
      <c r="K432" s="35" t="inlineStr">
        <is>
          <t>Privately Held (backing)</t>
        </is>
      </c>
      <c r="L432" s="36" t="inlineStr">
        <is>
          <t>Accelerator/Incubator Backed</t>
        </is>
      </c>
      <c r="M432" s="37" t="n">
        <v>42878.0</v>
      </c>
      <c r="N432" s="38" t="inlineStr">
        <is>
          <t>Accelerator/Incubator</t>
        </is>
      </c>
      <c r="O432" s="39" t="inlineStr">
        <is>
          <t/>
        </is>
      </c>
      <c r="P432" s="102">
        <f>HYPERLINK("https://my.pitchbook.com?c=171815-95", "View company online")</f>
      </c>
    </row>
    <row r="433">
      <c r="A433" s="9" t="inlineStr">
        <is>
          <t>167195-26</t>
        </is>
      </c>
      <c r="B433" s="10" t="inlineStr">
        <is>
          <t>VENA (atmosperic water generation technology company)</t>
        </is>
      </c>
      <c r="C433" s="11" t="inlineStr">
        <is>
          <t/>
        </is>
      </c>
      <c r="D433" s="12" t="inlineStr">
        <is>
          <t/>
        </is>
      </c>
      <c r="E433" s="13" t="inlineStr">
        <is>
          <t/>
        </is>
      </c>
      <c r="F433" s="14" t="inlineStr">
        <is>
          <t/>
        </is>
      </c>
      <c r="G433" s="15" t="inlineStr">
        <is>
          <t/>
        </is>
      </c>
      <c r="H433" s="16" t="inlineStr">
        <is>
          <t/>
        </is>
      </c>
      <c r="I433" s="17" t="inlineStr">
        <is>
          <t/>
        </is>
      </c>
      <c r="J433" s="18" t="inlineStr">
        <is>
          <t/>
        </is>
      </c>
      <c r="K433" s="19" t="inlineStr">
        <is>
          <t>Privately Held (backing)</t>
        </is>
      </c>
      <c r="L433" s="20" t="inlineStr">
        <is>
          <t>Accelerator/Incubator Backed</t>
        </is>
      </c>
      <c r="M433" s="21" t="n">
        <v>42005.0</v>
      </c>
      <c r="N433" s="22" t="inlineStr">
        <is>
          <t>Accelerator/Incubator</t>
        </is>
      </c>
      <c r="O433" s="23" t="n">
        <v>0.3</v>
      </c>
      <c r="P433" s="101">
        <f>HYPERLINK("https://my.pitchbook.com?c=167195-26", "View company online")</f>
      </c>
    </row>
    <row r="434">
      <c r="A434" s="25" t="inlineStr">
        <is>
          <t>122547-52</t>
        </is>
      </c>
      <c r="B434" s="26" t="inlineStr">
        <is>
          <t>Velocity Signs</t>
        </is>
      </c>
      <c r="C434" s="27" t="inlineStr">
        <is>
          <t/>
        </is>
      </c>
      <c r="D434" s="28" t="inlineStr">
        <is>
          <t/>
        </is>
      </c>
      <c r="E434" s="29" t="inlineStr">
        <is>
          <t/>
        </is>
      </c>
      <c r="F434" s="30" t="inlineStr">
        <is>
          <t/>
        </is>
      </c>
      <c r="G434" s="31" t="inlineStr">
        <is>
          <t/>
        </is>
      </c>
      <c r="H434" s="32" t="inlineStr">
        <is>
          <t/>
        </is>
      </c>
      <c r="I434" s="33" t="inlineStr">
        <is>
          <t/>
        </is>
      </c>
      <c r="J434" s="34" t="inlineStr">
        <is>
          <t/>
        </is>
      </c>
      <c r="K434" s="35" t="inlineStr">
        <is>
          <t>Privately Held (backing)</t>
        </is>
      </c>
      <c r="L434" s="36" t="inlineStr">
        <is>
          <t>Angel-Backed</t>
        </is>
      </c>
      <c r="M434" s="37" t="n">
        <v>41730.0</v>
      </c>
      <c r="N434" s="38" t="inlineStr">
        <is>
          <t>Angel (individual)</t>
        </is>
      </c>
      <c r="O434" s="39" t="n">
        <v>0.23</v>
      </c>
      <c r="P434" s="102">
        <f>HYPERLINK("https://my.pitchbook.com?c=122547-52", "View company online")</f>
      </c>
    </row>
    <row r="435">
      <c r="A435" s="9" t="inlineStr">
        <is>
          <t>106980-22</t>
        </is>
      </c>
      <c r="B435" s="10" t="inlineStr">
        <is>
          <t>Velo3D</t>
        </is>
      </c>
      <c r="C435" s="11" t="inlineStr">
        <is>
          <t/>
        </is>
      </c>
      <c r="D435" s="12" t="inlineStr">
        <is>
          <t/>
        </is>
      </c>
      <c r="E435" s="13" t="inlineStr">
        <is>
          <t/>
        </is>
      </c>
      <c r="F435" s="14" t="inlineStr">
        <is>
          <t/>
        </is>
      </c>
      <c r="G435" s="15" t="inlineStr">
        <is>
          <t/>
        </is>
      </c>
      <c r="H435" s="16" t="inlineStr">
        <is>
          <t/>
        </is>
      </c>
      <c r="I435" s="17" t="inlineStr">
        <is>
          <t/>
        </is>
      </c>
      <c r="J435" s="18" t="inlineStr">
        <is>
          <t/>
        </is>
      </c>
      <c r="K435" s="19" t="inlineStr">
        <is>
          <t>Privately Held (backing)</t>
        </is>
      </c>
      <c r="L435" s="20" t="inlineStr">
        <is>
          <t>Accelerator/Incubator Backed</t>
        </is>
      </c>
      <c r="M435" s="21" t="n">
        <v>42158.0</v>
      </c>
      <c r="N435" s="22" t="inlineStr">
        <is>
          <t>Early Stage VC</t>
        </is>
      </c>
      <c r="O435" s="23" t="n">
        <v>22.09</v>
      </c>
      <c r="P435" s="101">
        <f>HYPERLINK("https://my.pitchbook.com?c=106980-22", "View company online")</f>
      </c>
    </row>
    <row r="436">
      <c r="A436" s="25" t="inlineStr">
        <is>
          <t>112730-32</t>
        </is>
      </c>
      <c r="B436" s="26" t="inlineStr">
        <is>
          <t>Vega Energy Systems</t>
        </is>
      </c>
      <c r="C436" s="27" t="inlineStr">
        <is>
          <t/>
        </is>
      </c>
      <c r="D436" s="28" t="inlineStr">
        <is>
          <t/>
        </is>
      </c>
      <c r="E436" s="29" t="inlineStr">
        <is>
          <t/>
        </is>
      </c>
      <c r="F436" s="30" t="inlineStr">
        <is>
          <t/>
        </is>
      </c>
      <c r="G436" s="31" t="inlineStr">
        <is>
          <t/>
        </is>
      </c>
      <c r="H436" s="32" t="inlineStr">
        <is>
          <t/>
        </is>
      </c>
      <c r="I436" s="33" t="inlineStr">
        <is>
          <t/>
        </is>
      </c>
      <c r="J436" s="34" t="inlineStr">
        <is>
          <t/>
        </is>
      </c>
      <c r="K436" s="35" t="inlineStr">
        <is>
          <t>Privately Held (backing)</t>
        </is>
      </c>
      <c r="L436" s="36" t="inlineStr">
        <is>
          <t>Angel-Backed</t>
        </is>
      </c>
      <c r="M436" s="37" t="n">
        <v>42129.0</v>
      </c>
      <c r="N436" s="38" t="inlineStr">
        <is>
          <t>Seed Round</t>
        </is>
      </c>
      <c r="O436" s="39" t="n">
        <v>0.08</v>
      </c>
      <c r="P436" s="102">
        <f>HYPERLINK("https://my.pitchbook.com?c=112730-32", "View company online")</f>
      </c>
    </row>
    <row r="437">
      <c r="A437" s="9" t="inlineStr">
        <is>
          <t>102953-89</t>
        </is>
      </c>
      <c r="B437" s="10" t="inlineStr">
        <is>
          <t>Veestro</t>
        </is>
      </c>
      <c r="C437" s="11" t="inlineStr">
        <is>
          <t/>
        </is>
      </c>
      <c r="D437" s="12" t="inlineStr">
        <is>
          <t/>
        </is>
      </c>
      <c r="E437" s="13" t="inlineStr">
        <is>
          <t>FY 2017</t>
        </is>
      </c>
      <c r="F437" s="14" t="n">
        <v>6.0</v>
      </c>
      <c r="G437" s="15" t="inlineStr">
        <is>
          <t/>
        </is>
      </c>
      <c r="H437" s="16" t="inlineStr">
        <is>
          <t/>
        </is>
      </c>
      <c r="I437" s="17" t="inlineStr">
        <is>
          <t/>
        </is>
      </c>
      <c r="J437" s="18" t="inlineStr">
        <is>
          <t/>
        </is>
      </c>
      <c r="K437" s="19" t="inlineStr">
        <is>
          <t>Privately Held (backing)</t>
        </is>
      </c>
      <c r="L437" s="20" t="inlineStr">
        <is>
          <t>Angel-Backed</t>
        </is>
      </c>
      <c r="M437" s="21" t="n">
        <v>42779.0</v>
      </c>
      <c r="N437" s="22" t="inlineStr">
        <is>
          <t>PE Growth/Expansion</t>
        </is>
      </c>
      <c r="O437" s="23" t="n">
        <v>4.0</v>
      </c>
      <c r="P437" s="101">
        <f>HYPERLINK("https://my.pitchbook.com?c=102953-89", "View company online")</f>
      </c>
    </row>
    <row r="438">
      <c r="A438" s="25" t="inlineStr">
        <is>
          <t>177568-93</t>
        </is>
      </c>
      <c r="B438" s="26" t="inlineStr">
        <is>
          <t>VeepWorks</t>
        </is>
      </c>
      <c r="C438" s="78">
        <f>HYPERLINK("https://my.pitchbook.com?rrp=177568-93&amp;type=c", "This Company's information is not available to download. Need this Company? Request availability")</f>
      </c>
      <c r="D438" s="28" t="inlineStr">
        <is>
          <t/>
        </is>
      </c>
      <c r="E438" s="29" t="inlineStr">
        <is>
          <t/>
        </is>
      </c>
      <c r="F438" s="30" t="inlineStr">
        <is>
          <t/>
        </is>
      </c>
      <c r="G438" s="31" t="inlineStr">
        <is>
          <t/>
        </is>
      </c>
      <c r="H438" s="32" t="inlineStr">
        <is>
          <t/>
        </is>
      </c>
      <c r="I438" s="33" t="inlineStr">
        <is>
          <t/>
        </is>
      </c>
      <c r="J438" s="34" t="inlineStr">
        <is>
          <t/>
        </is>
      </c>
      <c r="K438" s="35" t="inlineStr">
        <is>
          <t/>
        </is>
      </c>
      <c r="L438" s="36" t="inlineStr">
        <is>
          <t/>
        </is>
      </c>
      <c r="M438" s="37" t="inlineStr">
        <is>
          <t/>
        </is>
      </c>
      <c r="N438" s="38" t="inlineStr">
        <is>
          <t/>
        </is>
      </c>
      <c r="O438" s="39" t="inlineStr">
        <is>
          <t/>
        </is>
      </c>
      <c r="P438" s="40" t="inlineStr">
        <is>
          <t/>
        </is>
      </c>
    </row>
    <row r="439">
      <c r="A439" s="9" t="inlineStr">
        <is>
          <t>98445-07</t>
        </is>
      </c>
      <c r="B439" s="10" t="inlineStr">
        <is>
          <t>Veebot</t>
        </is>
      </c>
      <c r="C439" s="11" t="inlineStr">
        <is>
          <t/>
        </is>
      </c>
      <c r="D439" s="12" t="inlineStr">
        <is>
          <t/>
        </is>
      </c>
      <c r="E439" s="13" t="inlineStr">
        <is>
          <t/>
        </is>
      </c>
      <c r="F439" s="14" t="inlineStr">
        <is>
          <t/>
        </is>
      </c>
      <c r="G439" s="15" t="inlineStr">
        <is>
          <t/>
        </is>
      </c>
      <c r="H439" s="16" t="inlineStr">
        <is>
          <t/>
        </is>
      </c>
      <c r="I439" s="17" t="inlineStr">
        <is>
          <t/>
        </is>
      </c>
      <c r="J439" s="18" t="inlineStr">
        <is>
          <t/>
        </is>
      </c>
      <c r="K439" s="19" t="inlineStr">
        <is>
          <t>Privately Held (backing)</t>
        </is>
      </c>
      <c r="L439" s="20" t="inlineStr">
        <is>
          <t>Accelerator/Incubator Backed</t>
        </is>
      </c>
      <c r="M439" s="21" t="n">
        <v>41158.0</v>
      </c>
      <c r="N439" s="22" t="inlineStr">
        <is>
          <t>Accelerator/Incubator</t>
        </is>
      </c>
      <c r="O439" s="23" t="inlineStr">
        <is>
          <t/>
        </is>
      </c>
      <c r="P439" s="101">
        <f>HYPERLINK("https://my.pitchbook.com?c=98445-07", "View company online")</f>
      </c>
    </row>
    <row r="440">
      <c r="A440" s="25" t="inlineStr">
        <is>
          <t>157896-73</t>
        </is>
      </c>
      <c r="B440" s="26" t="inlineStr">
        <is>
          <t>Vector Space Systems</t>
        </is>
      </c>
      <c r="C440" s="27" t="inlineStr">
        <is>
          <t/>
        </is>
      </c>
      <c r="D440" s="28" t="inlineStr">
        <is>
          <t/>
        </is>
      </c>
      <c r="E440" s="29" t="inlineStr">
        <is>
          <t/>
        </is>
      </c>
      <c r="F440" s="30" t="inlineStr">
        <is>
          <t/>
        </is>
      </c>
      <c r="G440" s="31" t="inlineStr">
        <is>
          <t/>
        </is>
      </c>
      <c r="H440" s="32" t="inlineStr">
        <is>
          <t/>
        </is>
      </c>
      <c r="I440" s="33" t="inlineStr">
        <is>
          <t/>
        </is>
      </c>
      <c r="J440" s="34" t="inlineStr">
        <is>
          <t/>
        </is>
      </c>
      <c r="K440" s="35" t="inlineStr">
        <is>
          <t>Privately Held (backing)</t>
        </is>
      </c>
      <c r="L440" s="36" t="inlineStr">
        <is>
          <t>Angel-Backed</t>
        </is>
      </c>
      <c r="M440" s="37" t="n">
        <v>42767.0</v>
      </c>
      <c r="N440" s="38" t="inlineStr">
        <is>
          <t>Later Stage VC</t>
        </is>
      </c>
      <c r="O440" s="39" t="inlineStr">
        <is>
          <t/>
        </is>
      </c>
      <c r="P440" s="102">
        <f>HYPERLINK("https://my.pitchbook.com?c=157896-73", "View company online")</f>
      </c>
    </row>
    <row r="441">
      <c r="A441" s="9" t="inlineStr">
        <is>
          <t>51502-87</t>
        </is>
      </c>
      <c r="B441" s="10" t="inlineStr">
        <is>
          <t>vChatter</t>
        </is>
      </c>
      <c r="C441" s="11" t="inlineStr">
        <is>
          <t/>
        </is>
      </c>
      <c r="D441" s="12" t="inlineStr">
        <is>
          <t/>
        </is>
      </c>
      <c r="E441" s="13" t="inlineStr">
        <is>
          <t/>
        </is>
      </c>
      <c r="F441" s="14" t="inlineStr">
        <is>
          <t/>
        </is>
      </c>
      <c r="G441" s="15" t="inlineStr">
        <is>
          <t/>
        </is>
      </c>
      <c r="H441" s="16" t="inlineStr">
        <is>
          <t/>
        </is>
      </c>
      <c r="I441" s="17" t="inlineStr">
        <is>
          <t/>
        </is>
      </c>
      <c r="J441" s="18" t="inlineStr">
        <is>
          <t/>
        </is>
      </c>
      <c r="K441" s="19" t="inlineStr">
        <is>
          <t>Privately Held (backing)</t>
        </is>
      </c>
      <c r="L441" s="20" t="inlineStr">
        <is>
          <t>Angel-Backed</t>
        </is>
      </c>
      <c r="M441" s="21" t="n">
        <v>40563.0</v>
      </c>
      <c r="N441" s="22" t="inlineStr">
        <is>
          <t>Angel (individual)</t>
        </is>
      </c>
      <c r="O441" s="23" t="n">
        <v>0.6</v>
      </c>
      <c r="P441" s="101">
        <f>HYPERLINK("https://my.pitchbook.com?c=51502-87", "View company online")</f>
      </c>
    </row>
    <row r="442">
      <c r="A442" s="25" t="inlineStr">
        <is>
          <t>102570-85</t>
        </is>
      </c>
      <c r="B442" s="26" t="inlineStr">
        <is>
          <t>Vascular Designs</t>
        </is>
      </c>
      <c r="C442" s="27" t="inlineStr">
        <is>
          <t/>
        </is>
      </c>
      <c r="D442" s="28" t="inlineStr">
        <is>
          <t/>
        </is>
      </c>
      <c r="E442" s="29" t="inlineStr">
        <is>
          <t/>
        </is>
      </c>
      <c r="F442" s="30" t="inlineStr">
        <is>
          <t/>
        </is>
      </c>
      <c r="G442" s="31" t="inlineStr">
        <is>
          <t/>
        </is>
      </c>
      <c r="H442" s="32" t="inlineStr">
        <is>
          <t/>
        </is>
      </c>
      <c r="I442" s="33" t="inlineStr">
        <is>
          <t/>
        </is>
      </c>
      <c r="J442" s="34" t="inlineStr">
        <is>
          <t/>
        </is>
      </c>
      <c r="K442" s="35" t="inlineStr">
        <is>
          <t>Privately Held (backing)</t>
        </is>
      </c>
      <c r="L442" s="36" t="inlineStr">
        <is>
          <t>Angel-Backed</t>
        </is>
      </c>
      <c r="M442" s="37" t="n">
        <v>40529.0</v>
      </c>
      <c r="N442" s="38" t="inlineStr">
        <is>
          <t>Angel (individual)</t>
        </is>
      </c>
      <c r="O442" s="39" t="n">
        <v>0.29</v>
      </c>
      <c r="P442" s="102">
        <f>HYPERLINK("https://my.pitchbook.com?c=102570-85", "View company online")</f>
      </c>
    </row>
    <row r="443">
      <c r="A443" s="9" t="inlineStr">
        <is>
          <t>109453-78</t>
        </is>
      </c>
      <c r="B443" s="10" t="inlineStr">
        <is>
          <t>Vasari Energy</t>
        </is>
      </c>
      <c r="C443" s="11" t="inlineStr">
        <is>
          <t/>
        </is>
      </c>
      <c r="D443" s="12" t="inlineStr">
        <is>
          <t/>
        </is>
      </c>
      <c r="E443" s="13" t="inlineStr">
        <is>
          <t/>
        </is>
      </c>
      <c r="F443" s="14" t="inlineStr">
        <is>
          <t/>
        </is>
      </c>
      <c r="G443" s="15" t="inlineStr">
        <is>
          <t/>
        </is>
      </c>
      <c r="H443" s="16" t="inlineStr">
        <is>
          <t/>
        </is>
      </c>
      <c r="I443" s="17" t="inlineStr">
        <is>
          <t/>
        </is>
      </c>
      <c r="J443" s="18" t="inlineStr">
        <is>
          <t/>
        </is>
      </c>
      <c r="K443" s="19" t="inlineStr">
        <is>
          <t>Privately Held (backing)</t>
        </is>
      </c>
      <c r="L443" s="20" t="inlineStr">
        <is>
          <t>Angel-Backed</t>
        </is>
      </c>
      <c r="M443" s="21" t="n">
        <v>42832.0</v>
      </c>
      <c r="N443" s="22" t="inlineStr">
        <is>
          <t>Angel (individual)</t>
        </is>
      </c>
      <c r="O443" s="23" t="inlineStr">
        <is>
          <t/>
        </is>
      </c>
      <c r="P443" s="101">
        <f>HYPERLINK("https://my.pitchbook.com?c=109453-78", "View company online")</f>
      </c>
    </row>
    <row r="444">
      <c r="A444" s="25" t="inlineStr">
        <is>
          <t>98419-96</t>
        </is>
      </c>
      <c r="B444" s="26" t="inlineStr">
        <is>
          <t>Varinode</t>
        </is>
      </c>
      <c r="C444" s="27" t="inlineStr">
        <is>
          <t/>
        </is>
      </c>
      <c r="D444" s="28" t="inlineStr">
        <is>
          <t/>
        </is>
      </c>
      <c r="E444" s="29" t="inlineStr">
        <is>
          <t/>
        </is>
      </c>
      <c r="F444" s="30" t="inlineStr">
        <is>
          <t/>
        </is>
      </c>
      <c r="G444" s="31" t="inlineStr">
        <is>
          <t/>
        </is>
      </c>
      <c r="H444" s="32" t="inlineStr">
        <is>
          <t/>
        </is>
      </c>
      <c r="I444" s="33" t="inlineStr">
        <is>
          <t/>
        </is>
      </c>
      <c r="J444" s="34" t="inlineStr">
        <is>
          <t/>
        </is>
      </c>
      <c r="K444" s="35" t="inlineStr">
        <is>
          <t>Privately Held (backing)</t>
        </is>
      </c>
      <c r="L444" s="36" t="inlineStr">
        <is>
          <t>Accelerator/Incubator Backed</t>
        </is>
      </c>
      <c r="M444" s="37" t="n">
        <v>41870.0</v>
      </c>
      <c r="N444" s="38" t="inlineStr">
        <is>
          <t>Accelerator/Incubator</t>
        </is>
      </c>
      <c r="O444" s="39" t="inlineStr">
        <is>
          <t/>
        </is>
      </c>
      <c r="P444" s="102">
        <f>HYPERLINK("https://my.pitchbook.com?c=98419-96", "View company online")</f>
      </c>
    </row>
    <row r="445">
      <c r="A445" s="9" t="inlineStr">
        <is>
          <t>119565-82</t>
        </is>
      </c>
      <c r="B445" s="10" t="inlineStr">
        <is>
          <t>VapeXhale</t>
        </is>
      </c>
      <c r="C445" s="11" t="inlineStr">
        <is>
          <t/>
        </is>
      </c>
      <c r="D445" s="12" t="inlineStr">
        <is>
          <t/>
        </is>
      </c>
      <c r="E445" s="13" t="inlineStr">
        <is>
          <t/>
        </is>
      </c>
      <c r="F445" s="14" t="inlineStr">
        <is>
          <t/>
        </is>
      </c>
      <c r="G445" s="15" t="inlineStr">
        <is>
          <t/>
        </is>
      </c>
      <c r="H445" s="16" t="inlineStr">
        <is>
          <t/>
        </is>
      </c>
      <c r="I445" s="17" t="inlineStr">
        <is>
          <t/>
        </is>
      </c>
      <c r="J445" s="18" t="inlineStr">
        <is>
          <t/>
        </is>
      </c>
      <c r="K445" s="19" t="inlineStr">
        <is>
          <t>Privately Held (backing)</t>
        </is>
      </c>
      <c r="L445" s="20" t="inlineStr">
        <is>
          <t>Accelerator/Incubator Backed</t>
        </is>
      </c>
      <c r="M445" s="21" t="n">
        <v>42041.0</v>
      </c>
      <c r="N445" s="22" t="inlineStr">
        <is>
          <t>Accelerator/Incubator</t>
        </is>
      </c>
      <c r="O445" s="23" t="inlineStr">
        <is>
          <t/>
        </is>
      </c>
      <c r="P445" s="101">
        <f>HYPERLINK("https://my.pitchbook.com?c=119565-82", "View company online")</f>
      </c>
    </row>
    <row r="446">
      <c r="A446" s="25" t="inlineStr">
        <is>
          <t>102895-39</t>
        </is>
      </c>
      <c r="B446" s="26" t="inlineStr">
        <is>
          <t>Vantage.TV</t>
        </is>
      </c>
      <c r="C446" s="27" t="inlineStr">
        <is>
          <t/>
        </is>
      </c>
      <c r="D446" s="28" t="inlineStr">
        <is>
          <t/>
        </is>
      </c>
      <c r="E446" s="29" t="inlineStr">
        <is>
          <t/>
        </is>
      </c>
      <c r="F446" s="30" t="inlineStr">
        <is>
          <t/>
        </is>
      </c>
      <c r="G446" s="31" t="inlineStr">
        <is>
          <t/>
        </is>
      </c>
      <c r="H446" s="32" t="inlineStr">
        <is>
          <t/>
        </is>
      </c>
      <c r="I446" s="33" t="inlineStr">
        <is>
          <t/>
        </is>
      </c>
      <c r="J446" s="34" t="inlineStr">
        <is>
          <t/>
        </is>
      </c>
      <c r="K446" s="35" t="inlineStr">
        <is>
          <t>Privately Held (backing)</t>
        </is>
      </c>
      <c r="L446" s="36" t="inlineStr">
        <is>
          <t>Accelerator/Incubator Backed</t>
        </is>
      </c>
      <c r="M446" s="37" t="n">
        <v>42034.0</v>
      </c>
      <c r="N446" s="38" t="inlineStr">
        <is>
          <t>Accelerator/Incubator</t>
        </is>
      </c>
      <c r="O446" s="39" t="n">
        <v>0.1</v>
      </c>
      <c r="P446" s="102">
        <f>HYPERLINK("https://my.pitchbook.com?c=102895-39", "View company online")</f>
      </c>
    </row>
    <row r="447">
      <c r="A447" s="9" t="inlineStr">
        <is>
          <t>122183-38</t>
        </is>
      </c>
      <c r="B447" s="10" t="inlineStr">
        <is>
          <t>Vantage Point Group Holding Company</t>
        </is>
      </c>
      <c r="C447" s="11" t="inlineStr">
        <is>
          <t/>
        </is>
      </c>
      <c r="D447" s="12" t="inlineStr">
        <is>
          <t/>
        </is>
      </c>
      <c r="E447" s="13" t="inlineStr">
        <is>
          <t/>
        </is>
      </c>
      <c r="F447" s="14" t="inlineStr">
        <is>
          <t/>
        </is>
      </c>
      <c r="G447" s="15" t="inlineStr">
        <is>
          <t/>
        </is>
      </c>
      <c r="H447" s="16" t="inlineStr">
        <is>
          <t/>
        </is>
      </c>
      <c r="I447" s="17" t="inlineStr">
        <is>
          <t/>
        </is>
      </c>
      <c r="J447" s="18" t="inlineStr">
        <is>
          <t/>
        </is>
      </c>
      <c r="K447" s="19" t="inlineStr">
        <is>
          <t>Privately Held (backing)</t>
        </is>
      </c>
      <c r="L447" s="20" t="inlineStr">
        <is>
          <t>Angel-Backed</t>
        </is>
      </c>
      <c r="M447" s="21" t="n">
        <v>42230.0</v>
      </c>
      <c r="N447" s="22" t="inlineStr">
        <is>
          <t>Angel (individual)</t>
        </is>
      </c>
      <c r="O447" s="23" t="n">
        <v>1.0</v>
      </c>
      <c r="P447" s="101">
        <f>HYPERLINK("https://my.pitchbook.com?c=122183-38", "View company online")</f>
      </c>
    </row>
    <row r="448">
      <c r="A448" s="25" t="inlineStr">
        <is>
          <t>109937-71</t>
        </is>
      </c>
      <c r="B448" s="26" t="inlineStr">
        <is>
          <t>Vantage Partners (Executive Search)</t>
        </is>
      </c>
      <c r="C448" s="27" t="inlineStr">
        <is>
          <t/>
        </is>
      </c>
      <c r="D448" s="28" t="inlineStr">
        <is>
          <t/>
        </is>
      </c>
      <c r="E448" s="29" t="inlineStr">
        <is>
          <t/>
        </is>
      </c>
      <c r="F448" s="30" t="inlineStr">
        <is>
          <t/>
        </is>
      </c>
      <c r="G448" s="31" t="inlineStr">
        <is>
          <t/>
        </is>
      </c>
      <c r="H448" s="32" t="inlineStr">
        <is>
          <t/>
        </is>
      </c>
      <c r="I448" s="33" t="inlineStr">
        <is>
          <t/>
        </is>
      </c>
      <c r="J448" s="34" t="inlineStr">
        <is>
          <t/>
        </is>
      </c>
      <c r="K448" s="35" t="inlineStr">
        <is>
          <t>Privately Held (backing)</t>
        </is>
      </c>
      <c r="L448" s="36" t="inlineStr">
        <is>
          <t>Accelerator/Incubator Backed</t>
        </is>
      </c>
      <c r="M448" s="37" t="inlineStr">
        <is>
          <t/>
        </is>
      </c>
      <c r="N448" s="38" t="inlineStr">
        <is>
          <t>Accelerator/Incubator</t>
        </is>
      </c>
      <c r="O448" s="39" t="inlineStr">
        <is>
          <t/>
        </is>
      </c>
      <c r="P448" s="102">
        <f>HYPERLINK("https://my.pitchbook.com?c=109937-71", "View company online")</f>
      </c>
    </row>
    <row r="449">
      <c r="A449" s="9" t="inlineStr">
        <is>
          <t>110541-07</t>
        </is>
      </c>
      <c r="B449" s="10" t="inlineStr">
        <is>
          <t>Vanguard Therapeutics</t>
        </is>
      </c>
      <c r="C449" s="11" t="inlineStr">
        <is>
          <t/>
        </is>
      </c>
      <c r="D449" s="12" t="inlineStr">
        <is>
          <t/>
        </is>
      </c>
      <c r="E449" s="13" t="inlineStr">
        <is>
          <t/>
        </is>
      </c>
      <c r="F449" s="14" t="inlineStr">
        <is>
          <t/>
        </is>
      </c>
      <c r="G449" s="15" t="inlineStr">
        <is>
          <t/>
        </is>
      </c>
      <c r="H449" s="16" t="inlineStr">
        <is>
          <t/>
        </is>
      </c>
      <c r="I449" s="17" t="inlineStr">
        <is>
          <t/>
        </is>
      </c>
      <c r="J449" s="18" t="inlineStr">
        <is>
          <t/>
        </is>
      </c>
      <c r="K449" s="19" t="inlineStr">
        <is>
          <t>Privately Held (backing)</t>
        </is>
      </c>
      <c r="L449" s="20" t="inlineStr">
        <is>
          <t>Accelerator/Incubator Backed</t>
        </is>
      </c>
      <c r="M449" s="21" t="n">
        <v>42005.0</v>
      </c>
      <c r="N449" s="22" t="inlineStr">
        <is>
          <t>Accelerator/Incubator</t>
        </is>
      </c>
      <c r="O449" s="23" t="inlineStr">
        <is>
          <t/>
        </is>
      </c>
      <c r="P449" s="101">
        <f>HYPERLINK("https://my.pitchbook.com?c=110541-07", "View company online")</f>
      </c>
    </row>
    <row r="450">
      <c r="A450" s="25" t="inlineStr">
        <is>
          <t>126492-13</t>
        </is>
      </c>
      <c r="B450" s="26" t="inlineStr">
        <is>
          <t>Vanadis</t>
        </is>
      </c>
      <c r="C450" s="27" t="inlineStr">
        <is>
          <t/>
        </is>
      </c>
      <c r="D450" s="28" t="inlineStr">
        <is>
          <t/>
        </is>
      </c>
      <c r="E450" s="29" t="inlineStr">
        <is>
          <t/>
        </is>
      </c>
      <c r="F450" s="30" t="inlineStr">
        <is>
          <t/>
        </is>
      </c>
      <c r="G450" s="31" t="inlineStr">
        <is>
          <t/>
        </is>
      </c>
      <c r="H450" s="32" t="inlineStr">
        <is>
          <t/>
        </is>
      </c>
      <c r="I450" s="33" t="inlineStr">
        <is>
          <t/>
        </is>
      </c>
      <c r="J450" s="34" t="inlineStr">
        <is>
          <t/>
        </is>
      </c>
      <c r="K450" s="35" t="inlineStr">
        <is>
          <t>Privately Held (backing)</t>
        </is>
      </c>
      <c r="L450" s="36" t="inlineStr">
        <is>
          <t>Accelerator/Incubator Backed</t>
        </is>
      </c>
      <c r="M450" s="37" t="n">
        <v>42300.0</v>
      </c>
      <c r="N450" s="38" t="inlineStr">
        <is>
          <t>Accelerator/Incubator</t>
        </is>
      </c>
      <c r="O450" s="39" t="inlineStr">
        <is>
          <t/>
        </is>
      </c>
      <c r="P450" s="102">
        <f>HYPERLINK("https://my.pitchbook.com?c=126492-13", "View company online")</f>
      </c>
    </row>
    <row r="451">
      <c r="A451" s="9" t="inlineStr">
        <is>
          <t>170939-62</t>
        </is>
      </c>
      <c r="B451" s="10" t="inlineStr">
        <is>
          <t>Vampr</t>
        </is>
      </c>
      <c r="C451" s="11" t="inlineStr">
        <is>
          <t/>
        </is>
      </c>
      <c r="D451" s="12" t="inlineStr">
        <is>
          <t/>
        </is>
      </c>
      <c r="E451" s="13" t="inlineStr">
        <is>
          <t/>
        </is>
      </c>
      <c r="F451" s="14" t="inlineStr">
        <is>
          <t/>
        </is>
      </c>
      <c r="G451" s="15" t="inlineStr">
        <is>
          <t/>
        </is>
      </c>
      <c r="H451" s="16" t="inlineStr">
        <is>
          <t/>
        </is>
      </c>
      <c r="I451" s="17" t="inlineStr">
        <is>
          <t/>
        </is>
      </c>
      <c r="J451" s="18" t="inlineStr">
        <is>
          <t/>
        </is>
      </c>
      <c r="K451" s="19" t="inlineStr">
        <is>
          <t>Privately Held (backing)</t>
        </is>
      </c>
      <c r="L451" s="20" t="inlineStr">
        <is>
          <t>Angel-Backed</t>
        </is>
      </c>
      <c r="M451" s="21" t="inlineStr">
        <is>
          <t/>
        </is>
      </c>
      <c r="N451" s="22" t="inlineStr">
        <is>
          <t>Seed Round</t>
        </is>
      </c>
      <c r="O451" s="23" t="inlineStr">
        <is>
          <t/>
        </is>
      </c>
      <c r="P451" s="101">
        <f>HYPERLINK("https://my.pitchbook.com?c=170939-62", "View company online")</f>
      </c>
    </row>
    <row r="452">
      <c r="A452" s="25" t="inlineStr">
        <is>
          <t>120986-47</t>
        </is>
      </c>
      <c r="B452" s="26" t="inlineStr">
        <is>
          <t>Vama</t>
        </is>
      </c>
      <c r="C452" s="27" t="inlineStr">
        <is>
          <t/>
        </is>
      </c>
      <c r="D452" s="28" t="inlineStr">
        <is>
          <t/>
        </is>
      </c>
      <c r="E452" s="29" t="inlineStr">
        <is>
          <t/>
        </is>
      </c>
      <c r="F452" s="30" t="inlineStr">
        <is>
          <t/>
        </is>
      </c>
      <c r="G452" s="31" t="inlineStr">
        <is>
          <t/>
        </is>
      </c>
      <c r="H452" s="32" t="inlineStr">
        <is>
          <t/>
        </is>
      </c>
      <c r="I452" s="33" t="inlineStr">
        <is>
          <t/>
        </is>
      </c>
      <c r="J452" s="34" t="inlineStr">
        <is>
          <t/>
        </is>
      </c>
      <c r="K452" s="35" t="inlineStr">
        <is>
          <t>Privately Held (backing)</t>
        </is>
      </c>
      <c r="L452" s="36" t="inlineStr">
        <is>
          <t>Angel-Backed</t>
        </is>
      </c>
      <c r="M452" s="37" t="n">
        <v>42217.0</v>
      </c>
      <c r="N452" s="38" t="inlineStr">
        <is>
          <t>Angel (individual)</t>
        </is>
      </c>
      <c r="O452" s="39" t="n">
        <v>1.44</v>
      </c>
      <c r="P452" s="102">
        <f>HYPERLINK("https://my.pitchbook.com?c=120986-47", "View company online")</f>
      </c>
    </row>
    <row r="453">
      <c r="A453" s="9" t="inlineStr">
        <is>
          <t>176580-64</t>
        </is>
      </c>
      <c r="B453" s="10" t="inlineStr">
        <is>
          <t>Value This Now</t>
        </is>
      </c>
      <c r="C453" s="77">
        <f>HYPERLINK("https://my.pitchbook.com?rrp=176580-64&amp;type=c", "This Company's information is not available to download. Need this Company? Request availability")</f>
      </c>
      <c r="D453" s="12" t="inlineStr">
        <is>
          <t/>
        </is>
      </c>
      <c r="E453" s="13" t="inlineStr">
        <is>
          <t/>
        </is>
      </c>
      <c r="F453" s="14" t="inlineStr">
        <is>
          <t/>
        </is>
      </c>
      <c r="G453" s="15" t="inlineStr">
        <is>
          <t/>
        </is>
      </c>
      <c r="H453" s="16" t="inlineStr">
        <is>
          <t/>
        </is>
      </c>
      <c r="I453" s="17" t="inlineStr">
        <is>
          <t/>
        </is>
      </c>
      <c r="J453" s="18" t="inlineStr">
        <is>
          <t/>
        </is>
      </c>
      <c r="K453" s="19" t="inlineStr">
        <is>
          <t/>
        </is>
      </c>
      <c r="L453" s="20" t="inlineStr">
        <is>
          <t/>
        </is>
      </c>
      <c r="M453" s="21" t="inlineStr">
        <is>
          <t/>
        </is>
      </c>
      <c r="N453" s="22" t="inlineStr">
        <is>
          <t/>
        </is>
      </c>
      <c r="O453" s="23" t="inlineStr">
        <is>
          <t/>
        </is>
      </c>
      <c r="P453" s="24" t="inlineStr">
        <is>
          <t/>
        </is>
      </c>
    </row>
    <row r="454">
      <c r="A454" s="25" t="inlineStr">
        <is>
          <t>127665-10</t>
        </is>
      </c>
      <c r="B454" s="26" t="inlineStr">
        <is>
          <t>Vali Nanomedical</t>
        </is>
      </c>
      <c r="C454" s="27" t="inlineStr">
        <is>
          <t/>
        </is>
      </c>
      <c r="D454" s="28" t="inlineStr">
        <is>
          <t/>
        </is>
      </c>
      <c r="E454" s="29" t="inlineStr">
        <is>
          <t/>
        </is>
      </c>
      <c r="F454" s="30" t="inlineStr">
        <is>
          <t/>
        </is>
      </c>
      <c r="G454" s="31" t="inlineStr">
        <is>
          <t/>
        </is>
      </c>
      <c r="H454" s="32" t="inlineStr">
        <is>
          <t/>
        </is>
      </c>
      <c r="I454" s="33" t="inlineStr">
        <is>
          <t/>
        </is>
      </c>
      <c r="J454" s="34" t="inlineStr">
        <is>
          <t/>
        </is>
      </c>
      <c r="K454" s="35" t="inlineStr">
        <is>
          <t>Privately Held (backing)</t>
        </is>
      </c>
      <c r="L454" s="36" t="inlineStr">
        <is>
          <t>Accelerator/Incubator Backed</t>
        </is>
      </c>
      <c r="M454" s="37" t="n">
        <v>42278.0</v>
      </c>
      <c r="N454" s="38" t="inlineStr">
        <is>
          <t>Accelerator/Incubator</t>
        </is>
      </c>
      <c r="O454" s="39" t="n">
        <v>0.25</v>
      </c>
      <c r="P454" s="102">
        <f>HYPERLINK("https://my.pitchbook.com?c=127665-10", "View company online")</f>
      </c>
    </row>
    <row r="455">
      <c r="A455" s="9" t="inlineStr">
        <is>
          <t>109718-29</t>
        </is>
      </c>
      <c r="B455" s="10" t="inlineStr">
        <is>
          <t>Valencia Technologies</t>
        </is>
      </c>
      <c r="C455" s="11" t="inlineStr">
        <is>
          <t/>
        </is>
      </c>
      <c r="D455" s="12" t="inlineStr">
        <is>
          <t/>
        </is>
      </c>
      <c r="E455" s="13" t="inlineStr">
        <is>
          <t>FY 2012</t>
        </is>
      </c>
      <c r="F455" s="14" t="inlineStr">
        <is>
          <t/>
        </is>
      </c>
      <c r="G455" s="15" t="inlineStr">
        <is>
          <t/>
        </is>
      </c>
      <c r="H455" s="16" t="inlineStr">
        <is>
          <t/>
        </is>
      </c>
      <c r="I455" s="17" t="n">
        <v>-0.71</v>
      </c>
      <c r="J455" s="18" t="inlineStr">
        <is>
          <t/>
        </is>
      </c>
      <c r="K455" s="19" t="inlineStr">
        <is>
          <t>Privately Held (backing)</t>
        </is>
      </c>
      <c r="L455" s="20" t="inlineStr">
        <is>
          <t>Angel-Backed</t>
        </is>
      </c>
      <c r="M455" s="21" t="n">
        <v>42824.0</v>
      </c>
      <c r="N455" s="22" t="inlineStr">
        <is>
          <t>Angel (individual)</t>
        </is>
      </c>
      <c r="O455" s="23" t="n">
        <v>1.9</v>
      </c>
      <c r="P455" s="101">
        <f>HYPERLINK("https://my.pitchbook.com?c=109718-29", "View company online")</f>
      </c>
    </row>
    <row r="456">
      <c r="A456" s="25" t="inlineStr">
        <is>
          <t>110811-97</t>
        </is>
      </c>
      <c r="B456" s="26" t="inlineStr">
        <is>
          <t>Valcrest Pharmaceuticals</t>
        </is>
      </c>
      <c r="C456" s="27" t="inlineStr">
        <is>
          <t/>
        </is>
      </c>
      <c r="D456" s="28" t="inlineStr">
        <is>
          <t/>
        </is>
      </c>
      <c r="E456" s="29" t="inlineStr">
        <is>
          <t/>
        </is>
      </c>
      <c r="F456" s="30" t="inlineStr">
        <is>
          <t/>
        </is>
      </c>
      <c r="G456" s="31" t="inlineStr">
        <is>
          <t/>
        </is>
      </c>
      <c r="H456" s="32" t="inlineStr">
        <is>
          <t/>
        </is>
      </c>
      <c r="I456" s="33" t="inlineStr">
        <is>
          <t/>
        </is>
      </c>
      <c r="J456" s="34" t="inlineStr">
        <is>
          <t/>
        </is>
      </c>
      <c r="K456" s="35" t="inlineStr">
        <is>
          <t>Privately Held (backing)</t>
        </is>
      </c>
      <c r="L456" s="36" t="inlineStr">
        <is>
          <t>Angel-Backed</t>
        </is>
      </c>
      <c r="M456" s="37" t="n">
        <v>42090.0</v>
      </c>
      <c r="N456" s="38" t="inlineStr">
        <is>
          <t>Angel (individual)</t>
        </is>
      </c>
      <c r="O456" s="39" t="n">
        <v>0.05</v>
      </c>
      <c r="P456" s="102">
        <f>HYPERLINK("https://my.pitchbook.com?c=110811-97", "View company online")</f>
      </c>
    </row>
    <row r="457">
      <c r="A457" s="9" t="inlineStr">
        <is>
          <t>65556-37</t>
        </is>
      </c>
      <c r="B457" s="10" t="inlineStr">
        <is>
          <t>Vakast</t>
        </is>
      </c>
      <c r="C457" s="11" t="inlineStr">
        <is>
          <t/>
        </is>
      </c>
      <c r="D457" s="12" t="inlineStr">
        <is>
          <t/>
        </is>
      </c>
      <c r="E457" s="13" t="inlineStr">
        <is>
          <t/>
        </is>
      </c>
      <c r="F457" s="14" t="inlineStr">
        <is>
          <t/>
        </is>
      </c>
      <c r="G457" s="15" t="inlineStr">
        <is>
          <t/>
        </is>
      </c>
      <c r="H457" s="16" t="inlineStr">
        <is>
          <t/>
        </is>
      </c>
      <c r="I457" s="17" t="inlineStr">
        <is>
          <t/>
        </is>
      </c>
      <c r="J457" s="18" t="inlineStr">
        <is>
          <t/>
        </is>
      </c>
      <c r="K457" s="19" t="inlineStr">
        <is>
          <t>Privately Held (backing)</t>
        </is>
      </c>
      <c r="L457" s="20" t="inlineStr">
        <is>
          <t>Angel-Backed</t>
        </is>
      </c>
      <c r="M457" s="21" t="n">
        <v>41851.0</v>
      </c>
      <c r="N457" s="22" t="inlineStr">
        <is>
          <t>Seed Round</t>
        </is>
      </c>
      <c r="O457" s="23" t="n">
        <v>1.3</v>
      </c>
      <c r="P457" s="101">
        <f>HYPERLINK("https://my.pitchbook.com?c=65556-37", "View company online")</f>
      </c>
    </row>
    <row r="458">
      <c r="A458" s="25" t="inlineStr">
        <is>
          <t>178763-32</t>
        </is>
      </c>
      <c r="B458" s="26" t="inlineStr">
        <is>
          <t>Vacayo</t>
        </is>
      </c>
      <c r="C458" s="27" t="inlineStr">
        <is>
          <t/>
        </is>
      </c>
      <c r="D458" s="28" t="inlineStr">
        <is>
          <t/>
        </is>
      </c>
      <c r="E458" s="29" t="inlineStr">
        <is>
          <t/>
        </is>
      </c>
      <c r="F458" s="30" t="inlineStr">
        <is>
          <t/>
        </is>
      </c>
      <c r="G458" s="31" t="inlineStr">
        <is>
          <t/>
        </is>
      </c>
      <c r="H458" s="32" t="inlineStr">
        <is>
          <t/>
        </is>
      </c>
      <c r="I458" s="33" t="inlineStr">
        <is>
          <t/>
        </is>
      </c>
      <c r="J458" s="34" t="inlineStr">
        <is>
          <t/>
        </is>
      </c>
      <c r="K458" s="35" t="inlineStr">
        <is>
          <t>Privately Held (backing)</t>
        </is>
      </c>
      <c r="L458" s="36" t="inlineStr">
        <is>
          <t>Accelerator/Incubator Backed</t>
        </is>
      </c>
      <c r="M458" s="37" t="n">
        <v>42842.0</v>
      </c>
      <c r="N458" s="38" t="inlineStr">
        <is>
          <t>Accelerator/Incubator</t>
        </is>
      </c>
      <c r="O458" s="39" t="n">
        <v>0.15</v>
      </c>
      <c r="P458" s="102">
        <f>HYPERLINK("https://my.pitchbook.com?c=178763-32", "View company online")</f>
      </c>
    </row>
    <row r="459">
      <c r="A459" s="9" t="inlineStr">
        <is>
          <t>171351-46</t>
        </is>
      </c>
      <c r="B459" s="10" t="inlineStr">
        <is>
          <t>V&amp;R Energy Systems Research</t>
        </is>
      </c>
      <c r="C459" s="77">
        <f>HYPERLINK("https://my.pitchbook.com?rrp=171351-46&amp;type=c", "This Company's information is not available to download. Need this Company? Request availability")</f>
      </c>
      <c r="D459" s="12" t="inlineStr">
        <is>
          <t/>
        </is>
      </c>
      <c r="E459" s="13" t="inlineStr">
        <is>
          <t/>
        </is>
      </c>
      <c r="F459" s="14" t="inlineStr">
        <is>
          <t/>
        </is>
      </c>
      <c r="G459" s="15" t="inlineStr">
        <is>
          <t/>
        </is>
      </c>
      <c r="H459" s="16" t="inlineStr">
        <is>
          <t/>
        </is>
      </c>
      <c r="I459" s="17" t="inlineStr">
        <is>
          <t/>
        </is>
      </c>
      <c r="J459" s="18" t="inlineStr">
        <is>
          <t/>
        </is>
      </c>
      <c r="K459" s="19" t="inlineStr">
        <is>
          <t/>
        </is>
      </c>
      <c r="L459" s="20" t="inlineStr">
        <is>
          <t/>
        </is>
      </c>
      <c r="M459" s="21" t="inlineStr">
        <is>
          <t/>
        </is>
      </c>
      <c r="N459" s="22" t="inlineStr">
        <is>
          <t/>
        </is>
      </c>
      <c r="O459" s="23" t="inlineStr">
        <is>
          <t/>
        </is>
      </c>
      <c r="P459" s="24" t="inlineStr">
        <is>
          <t/>
        </is>
      </c>
    </row>
    <row r="460">
      <c r="A460" s="25" t="inlineStr">
        <is>
          <t>153718-48</t>
        </is>
      </c>
      <c r="B460" s="26" t="inlineStr">
        <is>
          <t>UXTesting</t>
        </is>
      </c>
      <c r="C460" s="27" t="inlineStr">
        <is>
          <t/>
        </is>
      </c>
      <c r="D460" s="28" t="inlineStr">
        <is>
          <t/>
        </is>
      </c>
      <c r="E460" s="29" t="inlineStr">
        <is>
          <t/>
        </is>
      </c>
      <c r="F460" s="30" t="inlineStr">
        <is>
          <t/>
        </is>
      </c>
      <c r="G460" s="31" t="inlineStr">
        <is>
          <t/>
        </is>
      </c>
      <c r="H460" s="32" t="inlineStr">
        <is>
          <t/>
        </is>
      </c>
      <c r="I460" s="33" t="inlineStr">
        <is>
          <t/>
        </is>
      </c>
      <c r="J460" s="34" t="inlineStr">
        <is>
          <t/>
        </is>
      </c>
      <c r="K460" s="35" t="inlineStr">
        <is>
          <t>Privately Held (backing)</t>
        </is>
      </c>
      <c r="L460" s="36" t="inlineStr">
        <is>
          <t>Accelerator/Incubator Backed</t>
        </is>
      </c>
      <c r="M460" s="37" t="n">
        <v>42412.0</v>
      </c>
      <c r="N460" s="38" t="inlineStr">
        <is>
          <t>Accelerator/Incubator</t>
        </is>
      </c>
      <c r="O460" s="39" t="inlineStr">
        <is>
          <t/>
        </is>
      </c>
      <c r="P460" s="102">
        <f>HYPERLINK("https://my.pitchbook.com?c=153718-48", "View company online")</f>
      </c>
    </row>
    <row r="461">
      <c r="A461" s="9" t="inlineStr">
        <is>
          <t>98514-82</t>
        </is>
      </c>
      <c r="B461" s="10" t="inlineStr">
        <is>
          <t>UXCam</t>
        </is>
      </c>
      <c r="C461" s="11" t="inlineStr">
        <is>
          <t/>
        </is>
      </c>
      <c r="D461" s="12" t="inlineStr">
        <is>
          <t/>
        </is>
      </c>
      <c r="E461" s="13" t="inlineStr">
        <is>
          <t/>
        </is>
      </c>
      <c r="F461" s="14" t="inlineStr">
        <is>
          <t/>
        </is>
      </c>
      <c r="G461" s="15" t="inlineStr">
        <is>
          <t/>
        </is>
      </c>
      <c r="H461" s="16" t="inlineStr">
        <is>
          <t/>
        </is>
      </c>
      <c r="I461" s="17" t="inlineStr">
        <is>
          <t/>
        </is>
      </c>
      <c r="J461" s="18" t="inlineStr">
        <is>
          <t/>
        </is>
      </c>
      <c r="K461" s="19" t="inlineStr">
        <is>
          <t>Privately Held (backing)</t>
        </is>
      </c>
      <c r="L461" s="20" t="inlineStr">
        <is>
          <t>Accelerator/Incubator Backed</t>
        </is>
      </c>
      <c r="M461" s="21" t="n">
        <v>42580.0</v>
      </c>
      <c r="N461" s="22" t="inlineStr">
        <is>
          <t>Accelerator/Incubator</t>
        </is>
      </c>
      <c r="O461" s="23" t="n">
        <v>0.04</v>
      </c>
      <c r="P461" s="101">
        <f>HYPERLINK("https://my.pitchbook.com?c=98514-82", "View company online")</f>
      </c>
    </row>
    <row r="462">
      <c r="A462" s="25" t="inlineStr">
        <is>
          <t>103298-68</t>
        </is>
      </c>
      <c r="B462" s="26" t="inlineStr">
        <is>
          <t>UVLrx Therapeutics</t>
        </is>
      </c>
      <c r="C462" s="27" t="inlineStr">
        <is>
          <t/>
        </is>
      </c>
      <c r="D462" s="28" t="inlineStr">
        <is>
          <t/>
        </is>
      </c>
      <c r="E462" s="29" t="inlineStr">
        <is>
          <t/>
        </is>
      </c>
      <c r="F462" s="30" t="inlineStr">
        <is>
          <t/>
        </is>
      </c>
      <c r="G462" s="31" t="inlineStr">
        <is>
          <t/>
        </is>
      </c>
      <c r="H462" s="32" t="inlineStr">
        <is>
          <t/>
        </is>
      </c>
      <c r="I462" s="33" t="inlineStr">
        <is>
          <t/>
        </is>
      </c>
      <c r="J462" s="34" t="inlineStr">
        <is>
          <t/>
        </is>
      </c>
      <c r="K462" s="35" t="inlineStr">
        <is>
          <t>Privately Held (backing)</t>
        </is>
      </c>
      <c r="L462" s="36" t="inlineStr">
        <is>
          <t>Angel-Backed</t>
        </is>
      </c>
      <c r="M462" s="37" t="n">
        <v>42677.0</v>
      </c>
      <c r="N462" s="38" t="inlineStr">
        <is>
          <t>Angel (individual)</t>
        </is>
      </c>
      <c r="O462" s="39" t="n">
        <v>0.21</v>
      </c>
      <c r="P462" s="102">
        <f>HYPERLINK("https://my.pitchbook.com?c=103298-68", "View company online")</f>
      </c>
    </row>
    <row r="463">
      <c r="A463" s="9" t="inlineStr">
        <is>
          <t>99747-73</t>
        </is>
      </c>
      <c r="B463" s="10" t="inlineStr">
        <is>
          <t>UVA Mobile</t>
        </is>
      </c>
      <c r="C463" s="11" t="inlineStr">
        <is>
          <t/>
        </is>
      </c>
      <c r="D463" s="12" t="inlineStr">
        <is>
          <t/>
        </is>
      </c>
      <c r="E463" s="13" t="inlineStr">
        <is>
          <t/>
        </is>
      </c>
      <c r="F463" s="14" t="inlineStr">
        <is>
          <t/>
        </is>
      </c>
      <c r="G463" s="15" t="inlineStr">
        <is>
          <t/>
        </is>
      </c>
      <c r="H463" s="16" t="inlineStr">
        <is>
          <t/>
        </is>
      </c>
      <c r="I463" s="17" t="inlineStr">
        <is>
          <t/>
        </is>
      </c>
      <c r="J463" s="18" t="inlineStr">
        <is>
          <t/>
        </is>
      </c>
      <c r="K463" s="19" t="inlineStr">
        <is>
          <t>Privately Held (backing)</t>
        </is>
      </c>
      <c r="L463" s="20" t="inlineStr">
        <is>
          <t>Accelerator/Incubator Backed</t>
        </is>
      </c>
      <c r="M463" s="21" t="n">
        <v>42341.0</v>
      </c>
      <c r="N463" s="22" t="inlineStr">
        <is>
          <t>Merger/Acquisition</t>
        </is>
      </c>
      <c r="O463" s="23" t="inlineStr">
        <is>
          <t/>
        </is>
      </c>
      <c r="P463" s="101">
        <f>HYPERLINK("https://my.pitchbook.com?c=99747-73", "View company online")</f>
      </c>
    </row>
    <row r="464">
      <c r="A464" s="25" t="inlineStr">
        <is>
          <t>164355-13</t>
        </is>
      </c>
      <c r="B464" s="26" t="inlineStr">
        <is>
          <t>UtilityScore</t>
        </is>
      </c>
      <c r="C464" s="27" t="inlineStr">
        <is>
          <t/>
        </is>
      </c>
      <c r="D464" s="28" t="inlineStr">
        <is>
          <t/>
        </is>
      </c>
      <c r="E464" s="29" t="inlineStr">
        <is>
          <t/>
        </is>
      </c>
      <c r="F464" s="30" t="inlineStr">
        <is>
          <t/>
        </is>
      </c>
      <c r="G464" s="31" t="inlineStr">
        <is>
          <t/>
        </is>
      </c>
      <c r="H464" s="32" t="inlineStr">
        <is>
          <t/>
        </is>
      </c>
      <c r="I464" s="33" t="inlineStr">
        <is>
          <t/>
        </is>
      </c>
      <c r="J464" s="34" t="inlineStr">
        <is>
          <t/>
        </is>
      </c>
      <c r="K464" s="35" t="inlineStr">
        <is>
          <t>Privately Held (backing)</t>
        </is>
      </c>
      <c r="L464" s="36" t="inlineStr">
        <is>
          <t>Accelerator/Incubator Backed</t>
        </is>
      </c>
      <c r="M464" s="37" t="n">
        <v>42605.0</v>
      </c>
      <c r="N464" s="38" t="inlineStr">
        <is>
          <t>Accelerator/Incubator</t>
        </is>
      </c>
      <c r="O464" s="39" t="n">
        <v>0.12</v>
      </c>
      <c r="P464" s="102">
        <f>HYPERLINK("https://my.pitchbook.com?c=164355-13", "View company online")</f>
      </c>
    </row>
    <row r="465">
      <c r="A465" s="9" t="inlineStr">
        <is>
          <t>140295-88</t>
        </is>
      </c>
      <c r="B465" s="10" t="inlineStr">
        <is>
          <t>Utelogy</t>
        </is>
      </c>
      <c r="C465" s="11" t="inlineStr">
        <is>
          <t/>
        </is>
      </c>
      <c r="D465" s="12" t="inlineStr">
        <is>
          <t/>
        </is>
      </c>
      <c r="E465" s="13" t="inlineStr">
        <is>
          <t/>
        </is>
      </c>
      <c r="F465" s="14" t="inlineStr">
        <is>
          <t/>
        </is>
      </c>
      <c r="G465" s="15" t="inlineStr">
        <is>
          <t/>
        </is>
      </c>
      <c r="H465" s="16" t="inlineStr">
        <is>
          <t/>
        </is>
      </c>
      <c r="I465" s="17" t="inlineStr">
        <is>
          <t/>
        </is>
      </c>
      <c r="J465" s="18" t="inlineStr">
        <is>
          <t/>
        </is>
      </c>
      <c r="K465" s="19" t="inlineStr">
        <is>
          <t>Privately Held (backing)</t>
        </is>
      </c>
      <c r="L465" s="20" t="inlineStr">
        <is>
          <t>Angel-Backed</t>
        </is>
      </c>
      <c r="M465" s="21" t="n">
        <v>42662.0</v>
      </c>
      <c r="N465" s="22" t="inlineStr">
        <is>
          <t>Angel (individual)</t>
        </is>
      </c>
      <c r="O465" s="23" t="n">
        <v>0.75</v>
      </c>
      <c r="P465" s="101">
        <f>HYPERLINK("https://my.pitchbook.com?c=140295-88", "View company online")</f>
      </c>
    </row>
    <row r="466">
      <c r="A466" s="25" t="inlineStr">
        <is>
          <t>59185-54</t>
        </is>
      </c>
      <c r="B466" s="26" t="inlineStr">
        <is>
          <t>ustyme</t>
        </is>
      </c>
      <c r="C466" s="27" t="inlineStr">
        <is>
          <t/>
        </is>
      </c>
      <c r="D466" s="28" t="inlineStr">
        <is>
          <t/>
        </is>
      </c>
      <c r="E466" s="29" t="inlineStr">
        <is>
          <t/>
        </is>
      </c>
      <c r="F466" s="30" t="inlineStr">
        <is>
          <t/>
        </is>
      </c>
      <c r="G466" s="31" t="inlineStr">
        <is>
          <t/>
        </is>
      </c>
      <c r="H466" s="32" t="inlineStr">
        <is>
          <t/>
        </is>
      </c>
      <c r="I466" s="33" t="inlineStr">
        <is>
          <t/>
        </is>
      </c>
      <c r="J466" s="34" t="inlineStr">
        <is>
          <t/>
        </is>
      </c>
      <c r="K466" s="35" t="inlineStr">
        <is>
          <t>Privately Held (backing)</t>
        </is>
      </c>
      <c r="L466" s="36" t="inlineStr">
        <is>
          <t>Angel-Backed</t>
        </is>
      </c>
      <c r="M466" s="37" t="n">
        <v>41542.0</v>
      </c>
      <c r="N466" s="38" t="inlineStr">
        <is>
          <t>Angel (individual)</t>
        </is>
      </c>
      <c r="O466" s="39" t="n">
        <v>2.0</v>
      </c>
      <c r="P466" s="102">
        <f>HYPERLINK("https://my.pitchbook.com?c=59185-54", "View company online")</f>
      </c>
    </row>
    <row r="467">
      <c r="A467" s="9" t="inlineStr">
        <is>
          <t>168680-80</t>
        </is>
      </c>
      <c r="B467" s="10" t="inlineStr">
        <is>
          <t>UserGems</t>
        </is>
      </c>
      <c r="C467" s="11" t="inlineStr">
        <is>
          <t/>
        </is>
      </c>
      <c r="D467" s="12" t="inlineStr">
        <is>
          <t/>
        </is>
      </c>
      <c r="E467" s="13" t="inlineStr">
        <is>
          <t/>
        </is>
      </c>
      <c r="F467" s="14" t="inlineStr">
        <is>
          <t/>
        </is>
      </c>
      <c r="G467" s="15" t="inlineStr">
        <is>
          <t/>
        </is>
      </c>
      <c r="H467" s="16" t="inlineStr">
        <is>
          <t/>
        </is>
      </c>
      <c r="I467" s="17" t="inlineStr">
        <is>
          <t/>
        </is>
      </c>
      <c r="J467" s="18" t="inlineStr">
        <is>
          <t/>
        </is>
      </c>
      <c r="K467" s="19" t="inlineStr">
        <is>
          <t>Privately Held (backing)</t>
        </is>
      </c>
      <c r="L467" s="20" t="inlineStr">
        <is>
          <t>Accelerator/Incubator Backed</t>
        </is>
      </c>
      <c r="M467" s="21" t="n">
        <v>42370.0</v>
      </c>
      <c r="N467" s="22" t="inlineStr">
        <is>
          <t>Seed Round</t>
        </is>
      </c>
      <c r="O467" s="23" t="inlineStr">
        <is>
          <t/>
        </is>
      </c>
      <c r="P467" s="101">
        <f>HYPERLINK("https://my.pitchbook.com?c=168680-80", "View company online")</f>
      </c>
    </row>
    <row r="468">
      <c r="A468" s="25" t="inlineStr">
        <is>
          <t>119173-96</t>
        </is>
      </c>
      <c r="B468" s="26" t="inlineStr">
        <is>
          <t>Used Cardboard Boxes</t>
        </is>
      </c>
      <c r="C468" s="27" t="inlineStr">
        <is>
          <t/>
        </is>
      </c>
      <c r="D468" s="28" t="inlineStr">
        <is>
          <t/>
        </is>
      </c>
      <c r="E468" s="29" t="inlineStr">
        <is>
          <t/>
        </is>
      </c>
      <c r="F468" s="30" t="inlineStr">
        <is>
          <t/>
        </is>
      </c>
      <c r="G468" s="31" t="inlineStr">
        <is>
          <t/>
        </is>
      </c>
      <c r="H468" s="32" t="inlineStr">
        <is>
          <t/>
        </is>
      </c>
      <c r="I468" s="33" t="inlineStr">
        <is>
          <t/>
        </is>
      </c>
      <c r="J468" s="34" t="inlineStr">
        <is>
          <t/>
        </is>
      </c>
      <c r="K468" s="35" t="inlineStr">
        <is>
          <t>Privately Held (backing)</t>
        </is>
      </c>
      <c r="L468" s="36" t="inlineStr">
        <is>
          <t>Accelerator/Incubator Backed</t>
        </is>
      </c>
      <c r="M468" s="37" t="n">
        <v>38954.0</v>
      </c>
      <c r="N468" s="38" t="inlineStr">
        <is>
          <t>Angel (individual)</t>
        </is>
      </c>
      <c r="O468" s="39" t="inlineStr">
        <is>
          <t/>
        </is>
      </c>
      <c r="P468" s="102">
        <f>HYPERLINK("https://my.pitchbook.com?c=119173-96", "View company online")</f>
      </c>
    </row>
    <row r="469">
      <c r="A469" s="9" t="inlineStr">
        <is>
          <t>102532-96</t>
        </is>
      </c>
      <c r="B469" s="10" t="inlineStr">
        <is>
          <t>USB Promos</t>
        </is>
      </c>
      <c r="C469" s="11" t="inlineStr">
        <is>
          <t/>
        </is>
      </c>
      <c r="D469" s="12" t="inlineStr">
        <is>
          <t/>
        </is>
      </c>
      <c r="E469" s="13" t="inlineStr">
        <is>
          <t/>
        </is>
      </c>
      <c r="F469" s="14" t="inlineStr">
        <is>
          <t/>
        </is>
      </c>
      <c r="G469" s="15" t="inlineStr">
        <is>
          <t/>
        </is>
      </c>
      <c r="H469" s="16" t="inlineStr">
        <is>
          <t/>
        </is>
      </c>
      <c r="I469" s="17" t="inlineStr">
        <is>
          <t/>
        </is>
      </c>
      <c r="J469" s="18" t="inlineStr">
        <is>
          <t/>
        </is>
      </c>
      <c r="K469" s="19" t="inlineStr">
        <is>
          <t>Privately Held (backing)</t>
        </is>
      </c>
      <c r="L469" s="20" t="inlineStr">
        <is>
          <t>Angel-Backed</t>
        </is>
      </c>
      <c r="M469" s="21" t="n">
        <v>41641.0</v>
      </c>
      <c r="N469" s="22" t="inlineStr">
        <is>
          <t>Angel (individual)</t>
        </is>
      </c>
      <c r="O469" s="23" t="n">
        <v>3.4</v>
      </c>
      <c r="P469" s="101">
        <f>HYPERLINK("https://my.pitchbook.com?c=102532-96", "View company online")</f>
      </c>
    </row>
    <row r="470">
      <c r="A470" s="25" t="inlineStr">
        <is>
          <t>113608-72</t>
        </is>
      </c>
      <c r="B470" s="26" t="inlineStr">
        <is>
          <t>US Methanol</t>
        </is>
      </c>
      <c r="C470" s="78">
        <f>HYPERLINK("https://my.pitchbook.com?rrp=113608-72&amp;type=c", "This Company's information is not available to download. Need this Company? Request availability")</f>
      </c>
      <c r="D470" s="28" t="inlineStr">
        <is>
          <t/>
        </is>
      </c>
      <c r="E470" s="29" t="inlineStr">
        <is>
          <t/>
        </is>
      </c>
      <c r="F470" s="30" t="inlineStr">
        <is>
          <t/>
        </is>
      </c>
      <c r="G470" s="31" t="inlineStr">
        <is>
          <t/>
        </is>
      </c>
      <c r="H470" s="32" t="inlineStr">
        <is>
          <t/>
        </is>
      </c>
      <c r="I470" s="33" t="inlineStr">
        <is>
          <t/>
        </is>
      </c>
      <c r="J470" s="34" t="inlineStr">
        <is>
          <t/>
        </is>
      </c>
      <c r="K470" s="35" t="inlineStr">
        <is>
          <t/>
        </is>
      </c>
      <c r="L470" s="36" t="inlineStr">
        <is>
          <t/>
        </is>
      </c>
      <c r="M470" s="37" t="inlineStr">
        <is>
          <t/>
        </is>
      </c>
      <c r="N470" s="38" t="inlineStr">
        <is>
          <t/>
        </is>
      </c>
      <c r="O470" s="39" t="inlineStr">
        <is>
          <t/>
        </is>
      </c>
      <c r="P470" s="40" t="inlineStr">
        <is>
          <t/>
        </is>
      </c>
    </row>
    <row r="471">
      <c r="A471" s="9" t="inlineStr">
        <is>
          <t>157485-16</t>
        </is>
      </c>
      <c r="B471" s="10" t="inlineStr">
        <is>
          <t>UrLife Media</t>
        </is>
      </c>
      <c r="C471" s="11" t="inlineStr">
        <is>
          <t/>
        </is>
      </c>
      <c r="D471" s="12" t="inlineStr">
        <is>
          <t/>
        </is>
      </c>
      <c r="E471" s="13" t="inlineStr">
        <is>
          <t/>
        </is>
      </c>
      <c r="F471" s="14" t="inlineStr">
        <is>
          <t/>
        </is>
      </c>
      <c r="G471" s="15" t="inlineStr">
        <is>
          <t/>
        </is>
      </c>
      <c r="H471" s="16" t="inlineStr">
        <is>
          <t/>
        </is>
      </c>
      <c r="I471" s="17" t="inlineStr">
        <is>
          <t/>
        </is>
      </c>
      <c r="J471" s="18" t="inlineStr">
        <is>
          <t/>
        </is>
      </c>
      <c r="K471" s="19" t="inlineStr">
        <is>
          <t>Privately Held (backing)</t>
        </is>
      </c>
      <c r="L471" s="20" t="inlineStr">
        <is>
          <t>Angel-Backed</t>
        </is>
      </c>
      <c r="M471" s="21" t="n">
        <v>42474.0</v>
      </c>
      <c r="N471" s="22" t="inlineStr">
        <is>
          <t>Convertible Debt</t>
        </is>
      </c>
      <c r="O471" s="23" t="n">
        <v>0.14</v>
      </c>
      <c r="P471" s="101">
        <f>HYPERLINK("https://my.pitchbook.com?c=157485-16", "View company online")</f>
      </c>
    </row>
    <row r="472">
      <c r="A472" s="25" t="inlineStr">
        <is>
          <t>115449-76</t>
        </is>
      </c>
      <c r="B472" s="26" t="inlineStr">
        <is>
          <t>UrbnEarth</t>
        </is>
      </c>
      <c r="C472" s="27" t="inlineStr">
        <is>
          <t/>
        </is>
      </c>
      <c r="D472" s="28" t="inlineStr">
        <is>
          <t/>
        </is>
      </c>
      <c r="E472" s="29" t="inlineStr">
        <is>
          <t/>
        </is>
      </c>
      <c r="F472" s="30" t="inlineStr">
        <is>
          <t/>
        </is>
      </c>
      <c r="G472" s="31" t="inlineStr">
        <is>
          <t/>
        </is>
      </c>
      <c r="H472" s="32" t="inlineStr">
        <is>
          <t/>
        </is>
      </c>
      <c r="I472" s="33" t="inlineStr">
        <is>
          <t/>
        </is>
      </c>
      <c r="J472" s="34" t="inlineStr">
        <is>
          <t/>
        </is>
      </c>
      <c r="K472" s="35" t="inlineStr">
        <is>
          <t>Privately Held (backing)</t>
        </is>
      </c>
      <c r="L472" s="36" t="inlineStr">
        <is>
          <t>Accelerator/Incubator Backed</t>
        </is>
      </c>
      <c r="M472" s="37" t="n">
        <v>42080.0</v>
      </c>
      <c r="N472" s="38" t="inlineStr">
        <is>
          <t>Accelerator/Incubator</t>
        </is>
      </c>
      <c r="O472" s="39" t="inlineStr">
        <is>
          <t/>
        </is>
      </c>
      <c r="P472" s="102">
        <f>HYPERLINK("https://my.pitchbook.com?c=115449-76", "View company online")</f>
      </c>
    </row>
    <row r="473">
      <c r="A473" s="9" t="inlineStr">
        <is>
          <t>172355-77</t>
        </is>
      </c>
      <c r="B473" s="10" t="inlineStr">
        <is>
          <t>UrbanEngineer</t>
        </is>
      </c>
      <c r="C473" s="77">
        <f>HYPERLINK("https://my.pitchbook.com?rrp=172355-77&amp;type=c", "This Company's information is not available to download. Need this Company? Request availability")</f>
      </c>
      <c r="D473" s="12" t="inlineStr">
        <is>
          <t/>
        </is>
      </c>
      <c r="E473" s="13" t="inlineStr">
        <is>
          <t/>
        </is>
      </c>
      <c r="F473" s="14" t="inlineStr">
        <is>
          <t/>
        </is>
      </c>
      <c r="G473" s="15" t="inlineStr">
        <is>
          <t/>
        </is>
      </c>
      <c r="H473" s="16" t="inlineStr">
        <is>
          <t/>
        </is>
      </c>
      <c r="I473" s="17" t="inlineStr">
        <is>
          <t/>
        </is>
      </c>
      <c r="J473" s="18" t="inlineStr">
        <is>
          <t/>
        </is>
      </c>
      <c r="K473" s="19" t="inlineStr">
        <is>
          <t/>
        </is>
      </c>
      <c r="L473" s="20" t="inlineStr">
        <is>
          <t/>
        </is>
      </c>
      <c r="M473" s="21" t="inlineStr">
        <is>
          <t/>
        </is>
      </c>
      <c r="N473" s="22" t="inlineStr">
        <is>
          <t/>
        </is>
      </c>
      <c r="O473" s="23" t="inlineStr">
        <is>
          <t/>
        </is>
      </c>
      <c r="P473" s="24" t="inlineStr">
        <is>
          <t/>
        </is>
      </c>
    </row>
    <row r="474">
      <c r="A474" s="25" t="inlineStr">
        <is>
          <t>56799-10</t>
        </is>
      </c>
      <c r="B474" s="26" t="inlineStr">
        <is>
          <t>UQ Life</t>
        </is>
      </c>
      <c r="C474" s="27" t="inlineStr">
        <is>
          <t/>
        </is>
      </c>
      <c r="D474" s="28" t="inlineStr">
        <is>
          <t/>
        </is>
      </c>
      <c r="E474" s="29" t="inlineStr">
        <is>
          <t/>
        </is>
      </c>
      <c r="F474" s="30" t="inlineStr">
        <is>
          <t/>
        </is>
      </c>
      <c r="G474" s="31" t="inlineStr">
        <is>
          <t/>
        </is>
      </c>
      <c r="H474" s="32" t="inlineStr">
        <is>
          <t/>
        </is>
      </c>
      <c r="I474" s="33" t="inlineStr">
        <is>
          <t/>
        </is>
      </c>
      <c r="J474" s="34" t="inlineStr">
        <is>
          <t/>
        </is>
      </c>
      <c r="K474" s="35" t="inlineStr">
        <is>
          <t>Privately Held (backing)</t>
        </is>
      </c>
      <c r="L474" s="36" t="inlineStr">
        <is>
          <t>Angel-Backed</t>
        </is>
      </c>
      <c r="M474" s="37" t="n">
        <v>41394.0</v>
      </c>
      <c r="N474" s="38" t="inlineStr">
        <is>
          <t>Seed Round</t>
        </is>
      </c>
      <c r="O474" s="39" t="n">
        <v>1.4</v>
      </c>
      <c r="P474" s="102">
        <f>HYPERLINK("https://my.pitchbook.com?c=56799-10", "View company online")</f>
      </c>
    </row>
    <row r="475">
      <c r="A475" s="9" t="inlineStr">
        <is>
          <t>180604-81</t>
        </is>
      </c>
      <c r="B475" s="10" t="inlineStr">
        <is>
          <t>Upwell Real Estate</t>
        </is>
      </c>
      <c r="C475" s="11" t="inlineStr">
        <is>
          <t/>
        </is>
      </c>
      <c r="D475" s="12" t="inlineStr">
        <is>
          <t/>
        </is>
      </c>
      <c r="E475" s="13" t="inlineStr">
        <is>
          <t/>
        </is>
      </c>
      <c r="F475" s="14" t="inlineStr">
        <is>
          <t/>
        </is>
      </c>
      <c r="G475" s="15" t="inlineStr">
        <is>
          <t/>
        </is>
      </c>
      <c r="H475" s="16" t="inlineStr">
        <is>
          <t/>
        </is>
      </c>
      <c r="I475" s="17" t="inlineStr">
        <is>
          <t/>
        </is>
      </c>
      <c r="J475" s="18" t="inlineStr">
        <is>
          <t/>
        </is>
      </c>
      <c r="K475" s="19" t="inlineStr">
        <is>
          <t>Privately Held (backing)</t>
        </is>
      </c>
      <c r="L475" s="20" t="inlineStr">
        <is>
          <t>Angel-Backed</t>
        </is>
      </c>
      <c r="M475" s="21" t="inlineStr">
        <is>
          <t/>
        </is>
      </c>
      <c r="N475" s="22" t="inlineStr">
        <is>
          <t>Angel (individual)</t>
        </is>
      </c>
      <c r="O475" s="23" t="inlineStr">
        <is>
          <t/>
        </is>
      </c>
      <c r="P475" s="101">
        <f>HYPERLINK("https://my.pitchbook.com?c=180604-81", "View company online")</f>
      </c>
    </row>
    <row r="476">
      <c r="A476" s="25" t="inlineStr">
        <is>
          <t>148657-42</t>
        </is>
      </c>
      <c r="B476" s="26" t="inlineStr">
        <is>
          <t>Upward Automation</t>
        </is>
      </c>
      <c r="C476" s="27" t="inlineStr">
        <is>
          <t/>
        </is>
      </c>
      <c r="D476" s="28" t="inlineStr">
        <is>
          <t/>
        </is>
      </c>
      <c r="E476" s="29" t="inlineStr">
        <is>
          <t/>
        </is>
      </c>
      <c r="F476" s="30" t="inlineStr">
        <is>
          <t/>
        </is>
      </c>
      <c r="G476" s="31" t="inlineStr">
        <is>
          <t/>
        </is>
      </c>
      <c r="H476" s="32" t="inlineStr">
        <is>
          <t/>
        </is>
      </c>
      <c r="I476" s="33" t="inlineStr">
        <is>
          <t/>
        </is>
      </c>
      <c r="J476" s="34" t="inlineStr">
        <is>
          <t/>
        </is>
      </c>
      <c r="K476" s="35" t="inlineStr">
        <is>
          <t>Privately Held (backing)</t>
        </is>
      </c>
      <c r="L476" s="36" t="inlineStr">
        <is>
          <t>Accelerator/Incubator Backed</t>
        </is>
      </c>
      <c r="M476" s="37" t="n">
        <v>41898.0</v>
      </c>
      <c r="N476" s="38" t="inlineStr">
        <is>
          <t>Accelerator/Incubator</t>
        </is>
      </c>
      <c r="O476" s="39" t="n">
        <v>0.01</v>
      </c>
      <c r="P476" s="102">
        <f>HYPERLINK("https://my.pitchbook.com?c=148657-42", "View company online")</f>
      </c>
    </row>
    <row r="477">
      <c r="A477" s="9" t="inlineStr">
        <is>
          <t>154273-60</t>
        </is>
      </c>
      <c r="B477" s="10" t="inlineStr">
        <is>
          <t>Uptown Temecula Auto Spa</t>
        </is>
      </c>
      <c r="C477" s="11" t="inlineStr">
        <is>
          <t/>
        </is>
      </c>
      <c r="D477" s="12" t="inlineStr">
        <is>
          <t/>
        </is>
      </c>
      <c r="E477" s="13" t="inlineStr">
        <is>
          <t/>
        </is>
      </c>
      <c r="F477" s="14" t="inlineStr">
        <is>
          <t/>
        </is>
      </c>
      <c r="G477" s="15" t="inlineStr">
        <is>
          <t/>
        </is>
      </c>
      <c r="H477" s="16" t="inlineStr">
        <is>
          <t/>
        </is>
      </c>
      <c r="I477" s="17" t="inlineStr">
        <is>
          <t/>
        </is>
      </c>
      <c r="J477" s="18" t="inlineStr">
        <is>
          <t/>
        </is>
      </c>
      <c r="K477" s="19" t="inlineStr">
        <is>
          <t>Privately Held (backing)</t>
        </is>
      </c>
      <c r="L477" s="20" t="inlineStr">
        <is>
          <t>Angel-Backed</t>
        </is>
      </c>
      <c r="M477" s="21" t="n">
        <v>42419.0</v>
      </c>
      <c r="N477" s="22" t="inlineStr">
        <is>
          <t>Angel (individual)</t>
        </is>
      </c>
      <c r="O477" s="23" t="n">
        <v>0.3</v>
      </c>
      <c r="P477" s="101">
        <f>HYPERLINK("https://my.pitchbook.com?c=154273-60", "View company online")</f>
      </c>
    </row>
    <row r="478">
      <c r="A478" s="25" t="inlineStr">
        <is>
          <t>56810-71</t>
        </is>
      </c>
      <c r="B478" s="26" t="inlineStr">
        <is>
          <t>Uptoke</t>
        </is>
      </c>
      <c r="C478" s="27" t="inlineStr">
        <is>
          <t/>
        </is>
      </c>
      <c r="D478" s="28" t="inlineStr">
        <is>
          <t/>
        </is>
      </c>
      <c r="E478" s="29" t="inlineStr">
        <is>
          <t/>
        </is>
      </c>
      <c r="F478" s="30" t="inlineStr">
        <is>
          <t/>
        </is>
      </c>
      <c r="G478" s="31" t="inlineStr">
        <is>
          <t/>
        </is>
      </c>
      <c r="H478" s="32" t="inlineStr">
        <is>
          <t/>
        </is>
      </c>
      <c r="I478" s="33" t="inlineStr">
        <is>
          <t/>
        </is>
      </c>
      <c r="J478" s="34" t="inlineStr">
        <is>
          <t/>
        </is>
      </c>
      <c r="K478" s="35" t="inlineStr">
        <is>
          <t>Privately Held (backing)</t>
        </is>
      </c>
      <c r="L478" s="36" t="inlineStr">
        <is>
          <t>Angel-Backed</t>
        </is>
      </c>
      <c r="M478" s="37" t="n">
        <v>41396.0</v>
      </c>
      <c r="N478" s="38" t="inlineStr">
        <is>
          <t>Angel (individual)</t>
        </is>
      </c>
      <c r="O478" s="39" t="n">
        <v>1.0</v>
      </c>
      <c r="P478" s="102">
        <f>HYPERLINK("https://my.pitchbook.com?c=56810-71", "View company online")</f>
      </c>
    </row>
    <row r="479">
      <c r="A479" s="9" t="inlineStr">
        <is>
          <t>102857-59</t>
        </is>
      </c>
      <c r="B479" s="10" t="inlineStr">
        <is>
          <t>Upshift</t>
        </is>
      </c>
      <c r="C479" s="11" t="inlineStr">
        <is>
          <t/>
        </is>
      </c>
      <c r="D479" s="12" t="inlineStr">
        <is>
          <t/>
        </is>
      </c>
      <c r="E479" s="13" t="inlineStr">
        <is>
          <t/>
        </is>
      </c>
      <c r="F479" s="14" t="inlineStr">
        <is>
          <t/>
        </is>
      </c>
      <c r="G479" s="15" t="inlineStr">
        <is>
          <t/>
        </is>
      </c>
      <c r="H479" s="16" t="inlineStr">
        <is>
          <t/>
        </is>
      </c>
      <c r="I479" s="17" t="inlineStr">
        <is>
          <t/>
        </is>
      </c>
      <c r="J479" s="18" t="inlineStr">
        <is>
          <t/>
        </is>
      </c>
      <c r="K479" s="19" t="inlineStr">
        <is>
          <t>Privately Held (backing)</t>
        </is>
      </c>
      <c r="L479" s="20" t="inlineStr">
        <is>
          <t>Accelerator/Incubator Backed</t>
        </is>
      </c>
      <c r="M479" s="21" t="n">
        <v>41652.0</v>
      </c>
      <c r="N479" s="22" t="inlineStr">
        <is>
          <t>Accelerator/Incubator</t>
        </is>
      </c>
      <c r="O479" s="23" t="inlineStr">
        <is>
          <t/>
        </is>
      </c>
      <c r="P479" s="101">
        <f>HYPERLINK("https://my.pitchbook.com?c=102857-59", "View company online")</f>
      </c>
    </row>
    <row r="480">
      <c r="A480" s="25" t="inlineStr">
        <is>
          <t>104439-70</t>
        </is>
      </c>
      <c r="B480" s="26" t="inlineStr">
        <is>
          <t>UpNest</t>
        </is>
      </c>
      <c r="C480" s="27" t="inlineStr">
        <is>
          <t/>
        </is>
      </c>
      <c r="D480" s="28" t="inlineStr">
        <is>
          <t/>
        </is>
      </c>
      <c r="E480" s="29" t="inlineStr">
        <is>
          <t/>
        </is>
      </c>
      <c r="F480" s="30" t="inlineStr">
        <is>
          <t/>
        </is>
      </c>
      <c r="G480" s="31" t="inlineStr">
        <is>
          <t/>
        </is>
      </c>
      <c r="H480" s="32" t="inlineStr">
        <is>
          <t/>
        </is>
      </c>
      <c r="I480" s="33" t="inlineStr">
        <is>
          <t/>
        </is>
      </c>
      <c r="J480" s="34" t="inlineStr">
        <is>
          <t/>
        </is>
      </c>
      <c r="K480" s="35" t="inlineStr">
        <is>
          <t>Privately Held (backing)</t>
        </is>
      </c>
      <c r="L480" s="36" t="inlineStr">
        <is>
          <t>Angel-Backed</t>
        </is>
      </c>
      <c r="M480" s="37" t="n">
        <v>41945.0</v>
      </c>
      <c r="N480" s="38" t="inlineStr">
        <is>
          <t>Seed Round</t>
        </is>
      </c>
      <c r="O480" s="39" t="n">
        <v>2.8</v>
      </c>
      <c r="P480" s="102">
        <f>HYPERLINK("https://my.pitchbook.com?c=104439-70", "View company online")</f>
      </c>
    </row>
    <row r="481">
      <c r="A481" s="9" t="inlineStr">
        <is>
          <t>98513-83</t>
        </is>
      </c>
      <c r="B481" s="10" t="inlineStr">
        <is>
          <t>Uplette</t>
        </is>
      </c>
      <c r="C481" s="11" t="inlineStr">
        <is>
          <t/>
        </is>
      </c>
      <c r="D481" s="12" t="inlineStr">
        <is>
          <t/>
        </is>
      </c>
      <c r="E481" s="13" t="inlineStr">
        <is>
          <t/>
        </is>
      </c>
      <c r="F481" s="14" t="inlineStr">
        <is>
          <t/>
        </is>
      </c>
      <c r="G481" s="15" t="inlineStr">
        <is>
          <t/>
        </is>
      </c>
      <c r="H481" s="16" t="inlineStr">
        <is>
          <t/>
        </is>
      </c>
      <c r="I481" s="17" t="inlineStr">
        <is>
          <t/>
        </is>
      </c>
      <c r="J481" s="18" t="inlineStr">
        <is>
          <t/>
        </is>
      </c>
      <c r="K481" s="19" t="inlineStr">
        <is>
          <t>Privately Held (backing)</t>
        </is>
      </c>
      <c r="L481" s="20" t="inlineStr">
        <is>
          <t>Accelerator/Incubator Backed</t>
        </is>
      </c>
      <c r="M481" s="21" t="n">
        <v>41933.0</v>
      </c>
      <c r="N481" s="22" t="inlineStr">
        <is>
          <t>Accelerator/Incubator</t>
        </is>
      </c>
      <c r="O481" s="23" t="inlineStr">
        <is>
          <t/>
        </is>
      </c>
      <c r="P481" s="101">
        <f>HYPERLINK("https://my.pitchbook.com?c=98513-83", "View company online")</f>
      </c>
    </row>
    <row r="482">
      <c r="A482" s="25" t="inlineStr">
        <is>
          <t>169033-78</t>
        </is>
      </c>
      <c r="B482" s="26" t="inlineStr">
        <is>
          <t>UpiQ (Mortgage Lenders)</t>
        </is>
      </c>
      <c r="C482" s="27" t="inlineStr">
        <is>
          <t/>
        </is>
      </c>
      <c r="D482" s="28" t="inlineStr">
        <is>
          <t/>
        </is>
      </c>
      <c r="E482" s="29" t="inlineStr">
        <is>
          <t/>
        </is>
      </c>
      <c r="F482" s="30" t="inlineStr">
        <is>
          <t/>
        </is>
      </c>
      <c r="G482" s="31" t="inlineStr">
        <is>
          <t/>
        </is>
      </c>
      <c r="H482" s="32" t="inlineStr">
        <is>
          <t/>
        </is>
      </c>
      <c r="I482" s="33" t="inlineStr">
        <is>
          <t/>
        </is>
      </c>
      <c r="J482" s="34" t="inlineStr">
        <is>
          <t/>
        </is>
      </c>
      <c r="K482" s="35" t="inlineStr">
        <is>
          <t>Privately Held (backing)</t>
        </is>
      </c>
      <c r="L482" s="36" t="inlineStr">
        <is>
          <t>Accelerator/Incubator Backed</t>
        </is>
      </c>
      <c r="M482" s="37" t="inlineStr">
        <is>
          <t/>
        </is>
      </c>
      <c r="N482" s="38" t="inlineStr">
        <is>
          <t>Accelerator/Incubator</t>
        </is>
      </c>
      <c r="O482" s="39" t="inlineStr">
        <is>
          <t/>
        </is>
      </c>
      <c r="P482" s="102">
        <f>HYPERLINK("https://my.pitchbook.com?c=169033-78", "View company online")</f>
      </c>
    </row>
    <row r="483">
      <c r="A483" s="9" t="inlineStr">
        <is>
          <t>100358-56</t>
        </is>
      </c>
      <c r="B483" s="10" t="inlineStr">
        <is>
          <t>Uphold</t>
        </is>
      </c>
      <c r="C483" s="11" t="inlineStr">
        <is>
          <t/>
        </is>
      </c>
      <c r="D483" s="12" t="inlineStr">
        <is>
          <t/>
        </is>
      </c>
      <c r="E483" s="13" t="inlineStr">
        <is>
          <t>FY 2011</t>
        </is>
      </c>
      <c r="F483" s="14" t="inlineStr">
        <is>
          <t/>
        </is>
      </c>
      <c r="G483" s="15" t="inlineStr">
        <is>
          <t/>
        </is>
      </c>
      <c r="H483" s="16" t="inlineStr">
        <is>
          <t/>
        </is>
      </c>
      <c r="I483" s="17" t="inlineStr">
        <is>
          <t/>
        </is>
      </c>
      <c r="J483" s="18" t="inlineStr">
        <is>
          <t/>
        </is>
      </c>
      <c r="K483" s="19" t="inlineStr">
        <is>
          <t>Privately Held (backing)</t>
        </is>
      </c>
      <c r="L483" s="20" t="inlineStr">
        <is>
          <t>Angel-Backed</t>
        </is>
      </c>
      <c r="M483" s="21" t="n">
        <v>42390.0</v>
      </c>
      <c r="N483" s="22" t="inlineStr">
        <is>
          <t>Angel (individual)</t>
        </is>
      </c>
      <c r="O483" s="23" t="n">
        <v>5.0</v>
      </c>
      <c r="P483" s="101">
        <f>HYPERLINK("https://my.pitchbook.com?c=100358-56", "View company online")</f>
      </c>
    </row>
    <row r="484">
      <c r="A484" s="25" t="inlineStr">
        <is>
          <t>171905-05</t>
        </is>
      </c>
      <c r="B484" s="26" t="inlineStr">
        <is>
          <t>Uphere.ai</t>
        </is>
      </c>
      <c r="C484" s="78">
        <f>HYPERLINK("https://my.pitchbook.com?rrp=171905-05&amp;type=c", "This Company's information is not available to download. Need this Company? Request availability")</f>
      </c>
      <c r="D484" s="28" t="inlineStr">
        <is>
          <t/>
        </is>
      </c>
      <c r="E484" s="29" t="inlineStr">
        <is>
          <t/>
        </is>
      </c>
      <c r="F484" s="30" t="inlineStr">
        <is>
          <t/>
        </is>
      </c>
      <c r="G484" s="31" t="inlineStr">
        <is>
          <t/>
        </is>
      </c>
      <c r="H484" s="32" t="inlineStr">
        <is>
          <t/>
        </is>
      </c>
      <c r="I484" s="33" t="inlineStr">
        <is>
          <t/>
        </is>
      </c>
      <c r="J484" s="34" t="inlineStr">
        <is>
          <t/>
        </is>
      </c>
      <c r="K484" s="35" t="inlineStr">
        <is>
          <t/>
        </is>
      </c>
      <c r="L484" s="36" t="inlineStr">
        <is>
          <t/>
        </is>
      </c>
      <c r="M484" s="37" t="inlineStr">
        <is>
          <t/>
        </is>
      </c>
      <c r="N484" s="38" t="inlineStr">
        <is>
          <t/>
        </is>
      </c>
      <c r="O484" s="39" t="inlineStr">
        <is>
          <t/>
        </is>
      </c>
      <c r="P484" s="40" t="inlineStr">
        <is>
          <t/>
        </is>
      </c>
    </row>
    <row r="485">
      <c r="A485" s="9" t="inlineStr">
        <is>
          <t>168025-87</t>
        </is>
      </c>
      <c r="B485" s="10" t="inlineStr">
        <is>
          <t>Upgraded Technologies</t>
        </is>
      </c>
      <c r="C485" s="11" t="inlineStr">
        <is>
          <t/>
        </is>
      </c>
      <c r="D485" s="12" t="inlineStr">
        <is>
          <t/>
        </is>
      </c>
      <c r="E485" s="13" t="inlineStr">
        <is>
          <t/>
        </is>
      </c>
      <c r="F485" s="14" t="inlineStr">
        <is>
          <t/>
        </is>
      </c>
      <c r="G485" s="15" t="inlineStr">
        <is>
          <t/>
        </is>
      </c>
      <c r="H485" s="16" t="inlineStr">
        <is>
          <t/>
        </is>
      </c>
      <c r="I485" s="17" t="inlineStr">
        <is>
          <t/>
        </is>
      </c>
      <c r="J485" s="18" t="inlineStr">
        <is>
          <t/>
        </is>
      </c>
      <c r="K485" s="19" t="inlineStr">
        <is>
          <t>Privately Held (backing)</t>
        </is>
      </c>
      <c r="L485" s="20" t="inlineStr">
        <is>
          <t>Accelerator/Incubator Backed</t>
        </is>
      </c>
      <c r="M485" s="21" t="n">
        <v>42625.0</v>
      </c>
      <c r="N485" s="22" t="inlineStr">
        <is>
          <t>Seed Round</t>
        </is>
      </c>
      <c r="O485" s="23" t="inlineStr">
        <is>
          <t/>
        </is>
      </c>
      <c r="P485" s="101">
        <f>HYPERLINK("https://my.pitchbook.com?c=168025-87", "View company online")</f>
      </c>
    </row>
    <row r="486">
      <c r="A486" s="25" t="inlineStr">
        <is>
          <t>111652-30</t>
        </is>
      </c>
      <c r="B486" s="26" t="inlineStr">
        <is>
          <t>Upfizz Media Network</t>
        </is>
      </c>
      <c r="C486" s="27" t="inlineStr">
        <is>
          <t/>
        </is>
      </c>
      <c r="D486" s="28" t="inlineStr">
        <is>
          <t/>
        </is>
      </c>
      <c r="E486" s="29" t="inlineStr">
        <is>
          <t/>
        </is>
      </c>
      <c r="F486" s="30" t="inlineStr">
        <is>
          <t/>
        </is>
      </c>
      <c r="G486" s="31" t="inlineStr">
        <is>
          <t/>
        </is>
      </c>
      <c r="H486" s="32" t="inlineStr">
        <is>
          <t/>
        </is>
      </c>
      <c r="I486" s="33" t="inlineStr">
        <is>
          <t/>
        </is>
      </c>
      <c r="J486" s="34" t="inlineStr">
        <is>
          <t/>
        </is>
      </c>
      <c r="K486" s="35" t="inlineStr">
        <is>
          <t>Privately Held (backing)</t>
        </is>
      </c>
      <c r="L486" s="36" t="inlineStr">
        <is>
          <t>Accelerator/Incubator Backed</t>
        </is>
      </c>
      <c r="M486" s="37" t="inlineStr">
        <is>
          <t/>
        </is>
      </c>
      <c r="N486" s="38" t="inlineStr">
        <is>
          <t>Accelerator/Incubator</t>
        </is>
      </c>
      <c r="O486" s="39" t="inlineStr">
        <is>
          <t/>
        </is>
      </c>
      <c r="P486" s="102">
        <f>HYPERLINK("https://my.pitchbook.com?c=111652-30", "View company online")</f>
      </c>
    </row>
    <row r="487">
      <c r="A487" s="9" t="inlineStr">
        <is>
          <t>108883-99</t>
        </is>
      </c>
      <c r="B487" s="10" t="inlineStr">
        <is>
          <t>Updatemi</t>
        </is>
      </c>
      <c r="C487" s="11" t="inlineStr">
        <is>
          <t/>
        </is>
      </c>
      <c r="D487" s="12" t="inlineStr">
        <is>
          <t/>
        </is>
      </c>
      <c r="E487" s="13" t="inlineStr">
        <is>
          <t/>
        </is>
      </c>
      <c r="F487" s="14" t="inlineStr">
        <is>
          <t/>
        </is>
      </c>
      <c r="G487" s="15" t="inlineStr">
        <is>
          <t/>
        </is>
      </c>
      <c r="H487" s="16" t="inlineStr">
        <is>
          <t/>
        </is>
      </c>
      <c r="I487" s="17" t="inlineStr">
        <is>
          <t/>
        </is>
      </c>
      <c r="J487" s="18" t="inlineStr">
        <is>
          <t/>
        </is>
      </c>
      <c r="K487" s="19" t="inlineStr">
        <is>
          <t>Privately Held (backing)</t>
        </is>
      </c>
      <c r="L487" s="20" t="inlineStr">
        <is>
          <t>Angel-Backed</t>
        </is>
      </c>
      <c r="M487" s="21" t="n">
        <v>42186.0</v>
      </c>
      <c r="N487" s="22" t="inlineStr">
        <is>
          <t>Seed Round</t>
        </is>
      </c>
      <c r="O487" s="23" t="n">
        <v>0.94</v>
      </c>
      <c r="P487" s="101">
        <f>HYPERLINK("https://my.pitchbook.com?c=108883-99", "View company online")</f>
      </c>
    </row>
    <row r="488">
      <c r="A488" s="25" t="inlineStr">
        <is>
          <t>177202-63</t>
        </is>
      </c>
      <c r="B488" s="26" t="inlineStr">
        <is>
          <t>UpCurrent</t>
        </is>
      </c>
      <c r="C488" s="78">
        <f>HYPERLINK("https://my.pitchbook.com?rrp=177202-63&amp;type=c", "This Company's information is not available to download. Need this Company? Request availability")</f>
      </c>
      <c r="D488" s="28" t="inlineStr">
        <is>
          <t/>
        </is>
      </c>
      <c r="E488" s="29" t="inlineStr">
        <is>
          <t/>
        </is>
      </c>
      <c r="F488" s="30" t="inlineStr">
        <is>
          <t/>
        </is>
      </c>
      <c r="G488" s="31" t="inlineStr">
        <is>
          <t/>
        </is>
      </c>
      <c r="H488" s="32" t="inlineStr">
        <is>
          <t/>
        </is>
      </c>
      <c r="I488" s="33" t="inlineStr">
        <is>
          <t/>
        </is>
      </c>
      <c r="J488" s="34" t="inlineStr">
        <is>
          <t/>
        </is>
      </c>
      <c r="K488" s="35" t="inlineStr">
        <is>
          <t/>
        </is>
      </c>
      <c r="L488" s="36" t="inlineStr">
        <is>
          <t/>
        </is>
      </c>
      <c r="M488" s="37" t="inlineStr">
        <is>
          <t/>
        </is>
      </c>
      <c r="N488" s="38" t="inlineStr">
        <is>
          <t/>
        </is>
      </c>
      <c r="O488" s="39" t="inlineStr">
        <is>
          <t/>
        </is>
      </c>
      <c r="P488" s="40" t="inlineStr">
        <is>
          <t/>
        </is>
      </c>
    </row>
    <row r="489">
      <c r="A489" s="9" t="inlineStr">
        <is>
          <t>117428-32</t>
        </is>
      </c>
      <c r="B489" s="10" t="inlineStr">
        <is>
          <t>Upcomer</t>
        </is>
      </c>
      <c r="C489" s="77">
        <f>HYPERLINK("https://my.pitchbook.com?rrp=117428-32&amp;type=c", "This Company's information is not available to download. Need this Company? Request availability")</f>
      </c>
      <c r="D489" s="12" t="inlineStr">
        <is>
          <t/>
        </is>
      </c>
      <c r="E489" s="13" t="inlineStr">
        <is>
          <t/>
        </is>
      </c>
      <c r="F489" s="14" t="inlineStr">
        <is>
          <t/>
        </is>
      </c>
      <c r="G489" s="15" t="inlineStr">
        <is>
          <t/>
        </is>
      </c>
      <c r="H489" s="16" t="inlineStr">
        <is>
          <t/>
        </is>
      </c>
      <c r="I489" s="17" t="inlineStr">
        <is>
          <t/>
        </is>
      </c>
      <c r="J489" s="18" t="inlineStr">
        <is>
          <t/>
        </is>
      </c>
      <c r="K489" s="19" t="inlineStr">
        <is>
          <t/>
        </is>
      </c>
      <c r="L489" s="20" t="inlineStr">
        <is>
          <t/>
        </is>
      </c>
      <c r="M489" s="21" t="inlineStr">
        <is>
          <t/>
        </is>
      </c>
      <c r="N489" s="22" t="inlineStr">
        <is>
          <t/>
        </is>
      </c>
      <c r="O489" s="23" t="inlineStr">
        <is>
          <t/>
        </is>
      </c>
      <c r="P489" s="24" t="inlineStr">
        <is>
          <t/>
        </is>
      </c>
    </row>
    <row r="490">
      <c r="A490" s="25" t="inlineStr">
        <is>
          <t>168680-62</t>
        </is>
      </c>
      <c r="B490" s="26" t="inlineStr">
        <is>
          <t>Upcall</t>
        </is>
      </c>
      <c r="C490" s="27" t="inlineStr">
        <is>
          <t/>
        </is>
      </c>
      <c r="D490" s="28" t="inlineStr">
        <is>
          <t/>
        </is>
      </c>
      <c r="E490" s="29" t="inlineStr">
        <is>
          <t/>
        </is>
      </c>
      <c r="F490" s="30" t="inlineStr">
        <is>
          <t/>
        </is>
      </c>
      <c r="G490" s="31" t="inlineStr">
        <is>
          <t/>
        </is>
      </c>
      <c r="H490" s="32" t="inlineStr">
        <is>
          <t/>
        </is>
      </c>
      <c r="I490" s="33" t="inlineStr">
        <is>
          <t/>
        </is>
      </c>
      <c r="J490" s="34" t="inlineStr">
        <is>
          <t/>
        </is>
      </c>
      <c r="K490" s="35" t="inlineStr">
        <is>
          <t>Privately Held (backing)</t>
        </is>
      </c>
      <c r="L490" s="36" t="inlineStr">
        <is>
          <t>Accelerator/Incubator Backed</t>
        </is>
      </c>
      <c r="M490" s="37" t="n">
        <v>42370.0</v>
      </c>
      <c r="N490" s="38" t="inlineStr">
        <is>
          <t>Accelerator/Incubator</t>
        </is>
      </c>
      <c r="O490" s="39" t="n">
        <v>0.12</v>
      </c>
      <c r="P490" s="102">
        <f>HYPERLINK("https://my.pitchbook.com?c=168680-62", "View company online")</f>
      </c>
    </row>
    <row r="491">
      <c r="A491" s="9" t="inlineStr">
        <is>
          <t>172614-61</t>
        </is>
      </c>
      <c r="B491" s="10" t="inlineStr">
        <is>
          <t>Up Sonder</t>
        </is>
      </c>
      <c r="C491" s="11" t="inlineStr">
        <is>
          <t/>
        </is>
      </c>
      <c r="D491" s="12" t="inlineStr">
        <is>
          <t/>
        </is>
      </c>
      <c r="E491" s="13" t="inlineStr">
        <is>
          <t/>
        </is>
      </c>
      <c r="F491" s="14" t="inlineStr">
        <is>
          <t/>
        </is>
      </c>
      <c r="G491" s="15" t="inlineStr">
        <is>
          <t/>
        </is>
      </c>
      <c r="H491" s="16" t="inlineStr">
        <is>
          <t/>
        </is>
      </c>
      <c r="I491" s="17" t="inlineStr">
        <is>
          <t/>
        </is>
      </c>
      <c r="J491" s="18" t="inlineStr">
        <is>
          <t/>
        </is>
      </c>
      <c r="K491" s="19" t="inlineStr">
        <is>
          <t>Privately Held (backing)</t>
        </is>
      </c>
      <c r="L491" s="20" t="inlineStr">
        <is>
          <t>Angel-Backed</t>
        </is>
      </c>
      <c r="M491" s="21" t="n">
        <v>42724.0</v>
      </c>
      <c r="N491" s="22" t="inlineStr">
        <is>
          <t>Grant</t>
        </is>
      </c>
      <c r="O491" s="23" t="n">
        <v>0.1</v>
      </c>
      <c r="P491" s="101">
        <f>HYPERLINK("https://my.pitchbook.com?c=172614-61", "View company online")</f>
      </c>
    </row>
    <row r="492">
      <c r="A492" s="25" t="inlineStr">
        <is>
          <t>155323-99</t>
        </is>
      </c>
      <c r="B492" s="26" t="inlineStr">
        <is>
          <t>Up All Night</t>
        </is>
      </c>
      <c r="C492" s="27" t="inlineStr">
        <is>
          <t/>
        </is>
      </c>
      <c r="D492" s="28" t="inlineStr">
        <is>
          <t/>
        </is>
      </c>
      <c r="E492" s="29" t="inlineStr">
        <is>
          <t/>
        </is>
      </c>
      <c r="F492" s="30" t="inlineStr">
        <is>
          <t/>
        </is>
      </c>
      <c r="G492" s="31" t="inlineStr">
        <is>
          <t/>
        </is>
      </c>
      <c r="H492" s="32" t="inlineStr">
        <is>
          <t/>
        </is>
      </c>
      <c r="I492" s="33" t="inlineStr">
        <is>
          <t/>
        </is>
      </c>
      <c r="J492" s="34" t="inlineStr">
        <is>
          <t/>
        </is>
      </c>
      <c r="K492" s="35" t="inlineStr">
        <is>
          <t>Privately Held (backing)</t>
        </is>
      </c>
      <c r="L492" s="36" t="inlineStr">
        <is>
          <t>Accelerator/Incubator Backed</t>
        </is>
      </c>
      <c r="M492" s="37" t="n">
        <v>42583.0</v>
      </c>
      <c r="N492" s="38" t="inlineStr">
        <is>
          <t>Accelerator/Incubator</t>
        </is>
      </c>
      <c r="O492" s="39" t="n">
        <v>0.13</v>
      </c>
      <c r="P492" s="102">
        <f>HYPERLINK("https://my.pitchbook.com?c=155323-99", "View company online")</f>
      </c>
    </row>
    <row r="493">
      <c r="A493" s="9" t="inlineStr">
        <is>
          <t>127245-88</t>
        </is>
      </c>
      <c r="B493" s="10" t="inlineStr">
        <is>
          <t>Up (Mixmat)</t>
        </is>
      </c>
      <c r="C493" s="11" t="inlineStr">
        <is>
          <t/>
        </is>
      </c>
      <c r="D493" s="12" t="inlineStr">
        <is>
          <t/>
        </is>
      </c>
      <c r="E493" s="13" t="inlineStr">
        <is>
          <t/>
        </is>
      </c>
      <c r="F493" s="14" t="inlineStr">
        <is>
          <t/>
        </is>
      </c>
      <c r="G493" s="15" t="inlineStr">
        <is>
          <t/>
        </is>
      </c>
      <c r="H493" s="16" t="inlineStr">
        <is>
          <t/>
        </is>
      </c>
      <c r="I493" s="17" t="inlineStr">
        <is>
          <t/>
        </is>
      </c>
      <c r="J493" s="18" t="inlineStr">
        <is>
          <t/>
        </is>
      </c>
      <c r="K493" s="19" t="inlineStr">
        <is>
          <t>Privately Held (backing)</t>
        </is>
      </c>
      <c r="L493" s="20" t="inlineStr">
        <is>
          <t>Accelerator/Incubator Backed</t>
        </is>
      </c>
      <c r="M493" s="21" t="inlineStr">
        <is>
          <t/>
        </is>
      </c>
      <c r="N493" s="22" t="inlineStr">
        <is>
          <t>Accelerator/Incubator</t>
        </is>
      </c>
      <c r="O493" s="23" t="inlineStr">
        <is>
          <t/>
        </is>
      </c>
      <c r="P493" s="101">
        <f>HYPERLINK("https://my.pitchbook.com?c=127245-88", "View company online")</f>
      </c>
    </row>
    <row r="494">
      <c r="A494" s="25" t="inlineStr">
        <is>
          <t>162289-99</t>
        </is>
      </c>
      <c r="B494" s="26" t="inlineStr">
        <is>
          <t>UNUM (Instagram application)</t>
        </is>
      </c>
      <c r="C494" s="27" t="inlineStr">
        <is>
          <t/>
        </is>
      </c>
      <c r="D494" s="28" t="inlineStr">
        <is>
          <t/>
        </is>
      </c>
      <c r="E494" s="29" t="inlineStr">
        <is>
          <t/>
        </is>
      </c>
      <c r="F494" s="30" t="inlineStr">
        <is>
          <t/>
        </is>
      </c>
      <c r="G494" s="31" t="inlineStr">
        <is>
          <t/>
        </is>
      </c>
      <c r="H494" s="32" t="inlineStr">
        <is>
          <t/>
        </is>
      </c>
      <c r="I494" s="33" t="inlineStr">
        <is>
          <t/>
        </is>
      </c>
      <c r="J494" s="34" t="inlineStr">
        <is>
          <t/>
        </is>
      </c>
      <c r="K494" s="35" t="inlineStr">
        <is>
          <t>Privately Held (backing)</t>
        </is>
      </c>
      <c r="L494" s="36" t="inlineStr">
        <is>
          <t>Accelerator/Incubator Backed</t>
        </is>
      </c>
      <c r="M494" s="37" t="n">
        <v>42522.0</v>
      </c>
      <c r="N494" s="38" t="inlineStr">
        <is>
          <t>Accelerator/Incubator</t>
        </is>
      </c>
      <c r="O494" s="39" t="n">
        <v>0.03</v>
      </c>
      <c r="P494" s="102">
        <f>HYPERLINK("https://my.pitchbook.com?c=162289-99", "View company online")</f>
      </c>
    </row>
    <row r="495">
      <c r="A495" s="9" t="inlineStr">
        <is>
          <t>160964-65</t>
        </is>
      </c>
      <c r="B495" s="10" t="inlineStr">
        <is>
          <t>UnStock</t>
        </is>
      </c>
      <c r="C495" s="11" t="inlineStr">
        <is>
          <t/>
        </is>
      </c>
      <c r="D495" s="12" t="inlineStr">
        <is>
          <t/>
        </is>
      </c>
      <c r="E495" s="13" t="inlineStr">
        <is>
          <t/>
        </is>
      </c>
      <c r="F495" s="14" t="inlineStr">
        <is>
          <t/>
        </is>
      </c>
      <c r="G495" s="15" t="inlineStr">
        <is>
          <t/>
        </is>
      </c>
      <c r="H495" s="16" t="inlineStr">
        <is>
          <t/>
        </is>
      </c>
      <c r="I495" s="17" t="inlineStr">
        <is>
          <t/>
        </is>
      </c>
      <c r="J495" s="18" t="inlineStr">
        <is>
          <t/>
        </is>
      </c>
      <c r="K495" s="19" t="inlineStr">
        <is>
          <t>Privately Held (backing)</t>
        </is>
      </c>
      <c r="L495" s="20" t="inlineStr">
        <is>
          <t>Accelerator/Incubator Backed</t>
        </is>
      </c>
      <c r="M495" s="21" t="n">
        <v>42530.0</v>
      </c>
      <c r="N495" s="22" t="inlineStr">
        <is>
          <t>Accelerator/Incubator</t>
        </is>
      </c>
      <c r="O495" s="23" t="n">
        <v>0.06</v>
      </c>
      <c r="P495" s="101">
        <f>HYPERLINK("https://my.pitchbook.com?c=160964-65", "View company online")</f>
      </c>
    </row>
    <row r="496">
      <c r="A496" s="25" t="inlineStr">
        <is>
          <t>113458-69</t>
        </is>
      </c>
      <c r="B496" s="26" t="inlineStr">
        <is>
          <t>Unlicensed Chimp Technologies</t>
        </is>
      </c>
      <c r="C496" s="27" t="inlineStr">
        <is>
          <t/>
        </is>
      </c>
      <c r="D496" s="28" t="inlineStr">
        <is>
          <t/>
        </is>
      </c>
      <c r="E496" s="29" t="inlineStr">
        <is>
          <t/>
        </is>
      </c>
      <c r="F496" s="30" t="inlineStr">
        <is>
          <t/>
        </is>
      </c>
      <c r="G496" s="31" t="inlineStr">
        <is>
          <t/>
        </is>
      </c>
      <c r="H496" s="32" t="inlineStr">
        <is>
          <t/>
        </is>
      </c>
      <c r="I496" s="33" t="inlineStr">
        <is>
          <t/>
        </is>
      </c>
      <c r="J496" s="34" t="inlineStr">
        <is>
          <t/>
        </is>
      </c>
      <c r="K496" s="35" t="inlineStr">
        <is>
          <t>Privately Held (backing)</t>
        </is>
      </c>
      <c r="L496" s="36" t="inlineStr">
        <is>
          <t>Angel-Backed</t>
        </is>
      </c>
      <c r="M496" s="37" t="n">
        <v>42156.0</v>
      </c>
      <c r="N496" s="38" t="inlineStr">
        <is>
          <t>Convertible Debt</t>
        </is>
      </c>
      <c r="O496" s="39" t="n">
        <v>0.18</v>
      </c>
      <c r="P496" s="102">
        <f>HYPERLINK("https://my.pitchbook.com?c=113458-69", "View company online")</f>
      </c>
    </row>
    <row r="497">
      <c r="A497" s="9" t="inlineStr">
        <is>
          <t>60186-25</t>
        </is>
      </c>
      <c r="B497" s="10" t="inlineStr">
        <is>
          <t>Unleashed Software</t>
        </is>
      </c>
      <c r="C497" s="11" t="inlineStr">
        <is>
          <t/>
        </is>
      </c>
      <c r="D497" s="12" t="inlineStr">
        <is>
          <t/>
        </is>
      </c>
      <c r="E497" s="13" t="inlineStr">
        <is>
          <t/>
        </is>
      </c>
      <c r="F497" s="14" t="inlineStr">
        <is>
          <t/>
        </is>
      </c>
      <c r="G497" s="15" t="inlineStr">
        <is>
          <t/>
        </is>
      </c>
      <c r="H497" s="16" t="inlineStr">
        <is>
          <t/>
        </is>
      </c>
      <c r="I497" s="17" t="inlineStr">
        <is>
          <t/>
        </is>
      </c>
      <c r="J497" s="18" t="inlineStr">
        <is>
          <t/>
        </is>
      </c>
      <c r="K497" s="19" t="inlineStr">
        <is>
          <t>Privately Held (backing)</t>
        </is>
      </c>
      <c r="L497" s="20" t="inlineStr">
        <is>
          <t>Angel-Backed</t>
        </is>
      </c>
      <c r="M497" s="21" t="n">
        <v>42559.0</v>
      </c>
      <c r="N497" s="22" t="inlineStr">
        <is>
          <t>Angel (individual)</t>
        </is>
      </c>
      <c r="O497" s="23" t="n">
        <v>3.0</v>
      </c>
      <c r="P497" s="101">
        <f>HYPERLINK("https://my.pitchbook.com?c=60186-25", "View company online")</f>
      </c>
    </row>
    <row r="498">
      <c r="A498" s="25" t="inlineStr">
        <is>
          <t>58279-06</t>
        </is>
      </c>
      <c r="B498" s="26" t="inlineStr">
        <is>
          <t>Univfy</t>
        </is>
      </c>
      <c r="C498" s="27" t="inlineStr">
        <is>
          <t/>
        </is>
      </c>
      <c r="D498" s="28" t="inlineStr">
        <is>
          <t/>
        </is>
      </c>
      <c r="E498" s="29" t="inlineStr">
        <is>
          <t/>
        </is>
      </c>
      <c r="F498" s="30" t="inlineStr">
        <is>
          <t/>
        </is>
      </c>
      <c r="G498" s="31" t="inlineStr">
        <is>
          <t/>
        </is>
      </c>
      <c r="H498" s="32" t="inlineStr">
        <is>
          <t/>
        </is>
      </c>
      <c r="I498" s="33" t="inlineStr">
        <is>
          <t/>
        </is>
      </c>
      <c r="J498" s="34" t="inlineStr">
        <is>
          <t/>
        </is>
      </c>
      <c r="K498" s="35" t="inlineStr">
        <is>
          <t>Privately Held (backing)</t>
        </is>
      </c>
      <c r="L498" s="36" t="inlineStr">
        <is>
          <t>Angel-Backed</t>
        </is>
      </c>
      <c r="M498" s="37" t="n">
        <v>42471.0</v>
      </c>
      <c r="N498" s="38" t="inlineStr">
        <is>
          <t>Convertible Debt</t>
        </is>
      </c>
      <c r="O498" s="39" t="n">
        <v>3.8</v>
      </c>
      <c r="P498" s="102">
        <f>HYPERLINK("https://my.pitchbook.com?c=58279-06", "View company online")</f>
      </c>
    </row>
    <row r="499">
      <c r="A499" s="9" t="inlineStr">
        <is>
          <t>103282-84</t>
        </is>
      </c>
      <c r="B499" s="10" t="inlineStr">
        <is>
          <t>UnitesUs</t>
        </is>
      </c>
      <c r="C499" s="77">
        <f>HYPERLINK("https://my.pitchbook.com?rrp=103282-84&amp;type=c", "This Company's information is not available to download. Need this Company? Request availability")</f>
      </c>
      <c r="D499" s="12" t="inlineStr">
        <is>
          <t/>
        </is>
      </c>
      <c r="E499" s="13" t="inlineStr">
        <is>
          <t/>
        </is>
      </c>
      <c r="F499" s="14" t="inlineStr">
        <is>
          <t/>
        </is>
      </c>
      <c r="G499" s="15" t="inlineStr">
        <is>
          <t/>
        </is>
      </c>
      <c r="H499" s="16" t="inlineStr">
        <is>
          <t/>
        </is>
      </c>
      <c r="I499" s="17" t="inlineStr">
        <is>
          <t/>
        </is>
      </c>
      <c r="J499" s="18" t="inlineStr">
        <is>
          <t/>
        </is>
      </c>
      <c r="K499" s="19" t="inlineStr">
        <is>
          <t/>
        </is>
      </c>
      <c r="L499" s="20" t="inlineStr">
        <is>
          <t/>
        </is>
      </c>
      <c r="M499" s="21" t="inlineStr">
        <is>
          <t/>
        </is>
      </c>
      <c r="N499" s="22" t="inlineStr">
        <is>
          <t/>
        </is>
      </c>
      <c r="O499" s="23" t="inlineStr">
        <is>
          <t/>
        </is>
      </c>
      <c r="P499" s="24" t="inlineStr">
        <is>
          <t/>
        </is>
      </c>
    </row>
    <row r="500">
      <c r="A500" s="25" t="inlineStr">
        <is>
          <t>57177-55</t>
        </is>
      </c>
      <c r="B500" s="26" t="inlineStr">
        <is>
          <t>United Talent Agency</t>
        </is>
      </c>
      <c r="C500" s="27" t="inlineStr">
        <is>
          <t/>
        </is>
      </c>
      <c r="D500" s="28" t="inlineStr">
        <is>
          <t/>
        </is>
      </c>
      <c r="E500" s="29" t="inlineStr">
        <is>
          <t/>
        </is>
      </c>
      <c r="F500" s="30" t="inlineStr">
        <is>
          <t/>
        </is>
      </c>
      <c r="G500" s="31" t="inlineStr">
        <is>
          <t/>
        </is>
      </c>
      <c r="H500" s="32" t="inlineStr">
        <is>
          <t/>
        </is>
      </c>
      <c r="I500" s="33" t="inlineStr">
        <is>
          <t/>
        </is>
      </c>
      <c r="J500" s="34" t="inlineStr">
        <is>
          <t/>
        </is>
      </c>
      <c r="K500" s="35" t="inlineStr">
        <is>
          <t>Privately Held (backing)</t>
        </is>
      </c>
      <c r="L500" s="36" t="inlineStr">
        <is>
          <t>Angel-Backed</t>
        </is>
      </c>
      <c r="M500" s="37" t="n">
        <v>42236.0</v>
      </c>
      <c r="N500" s="38" t="inlineStr">
        <is>
          <t>Angel (individual)</t>
        </is>
      </c>
      <c r="O500" s="39" t="inlineStr">
        <is>
          <t/>
        </is>
      </c>
      <c r="P500" s="102">
        <f>HYPERLINK("https://my.pitchbook.com?c=57177-55", "View company online")</f>
      </c>
    </row>
    <row r="501">
      <c r="A501" s="9" t="inlineStr">
        <is>
          <t>155818-45</t>
        </is>
      </c>
      <c r="B501" s="10" t="inlineStr">
        <is>
          <t>Unite Genomics</t>
        </is>
      </c>
      <c r="C501" s="11" t="inlineStr">
        <is>
          <t/>
        </is>
      </c>
      <c r="D501" s="12" t="inlineStr">
        <is>
          <t/>
        </is>
      </c>
      <c r="E501" s="13" t="inlineStr">
        <is>
          <t/>
        </is>
      </c>
      <c r="F501" s="14" t="inlineStr">
        <is>
          <t/>
        </is>
      </c>
      <c r="G501" s="15" t="inlineStr">
        <is>
          <t/>
        </is>
      </c>
      <c r="H501" s="16" t="inlineStr">
        <is>
          <t/>
        </is>
      </c>
      <c r="I501" s="17" t="inlineStr">
        <is>
          <t/>
        </is>
      </c>
      <c r="J501" s="18" t="inlineStr">
        <is>
          <t/>
        </is>
      </c>
      <c r="K501" s="19" t="inlineStr">
        <is>
          <t>Privately Held (backing)</t>
        </is>
      </c>
      <c r="L501" s="20" t="inlineStr">
        <is>
          <t>Accelerator/Incubator Backed</t>
        </is>
      </c>
      <c r="M501" s="21" t="n">
        <v>42178.0</v>
      </c>
      <c r="N501" s="22" t="inlineStr">
        <is>
          <t>Accelerator/Incubator</t>
        </is>
      </c>
      <c r="O501" s="23" t="n">
        <v>0.01</v>
      </c>
      <c r="P501" s="101">
        <f>HYPERLINK("https://my.pitchbook.com?c=155818-45", "View company online")</f>
      </c>
    </row>
    <row r="502">
      <c r="A502" s="25" t="inlineStr">
        <is>
          <t>163077-22</t>
        </is>
      </c>
      <c r="B502" s="26" t="inlineStr">
        <is>
          <t>UniquID</t>
        </is>
      </c>
      <c r="C502" s="27" t="inlineStr">
        <is>
          <t/>
        </is>
      </c>
      <c r="D502" s="28" t="inlineStr">
        <is>
          <t/>
        </is>
      </c>
      <c r="E502" s="29" t="inlineStr">
        <is>
          <t/>
        </is>
      </c>
      <c r="F502" s="30" t="inlineStr">
        <is>
          <t/>
        </is>
      </c>
      <c r="G502" s="31" t="inlineStr">
        <is>
          <t/>
        </is>
      </c>
      <c r="H502" s="32" t="inlineStr">
        <is>
          <t/>
        </is>
      </c>
      <c r="I502" s="33" t="inlineStr">
        <is>
          <t/>
        </is>
      </c>
      <c r="J502" s="34" t="inlineStr">
        <is>
          <t/>
        </is>
      </c>
      <c r="K502" s="35" t="inlineStr">
        <is>
          <t>Privately Held (backing)</t>
        </is>
      </c>
      <c r="L502" s="36" t="inlineStr">
        <is>
          <t>Accelerator/Incubator Backed</t>
        </is>
      </c>
      <c r="M502" s="37" t="n">
        <v>42467.0</v>
      </c>
      <c r="N502" s="38" t="inlineStr">
        <is>
          <t>Accelerator/Incubator</t>
        </is>
      </c>
      <c r="O502" s="39" t="n">
        <v>0.05</v>
      </c>
      <c r="P502" s="102">
        <f>HYPERLINK("https://my.pitchbook.com?c=163077-22", "View company online")</f>
      </c>
    </row>
    <row r="503">
      <c r="A503" s="9" t="inlineStr">
        <is>
          <t>180406-09</t>
        </is>
      </c>
      <c r="B503" s="10" t="inlineStr">
        <is>
          <t>Unique.ai</t>
        </is>
      </c>
      <c r="C503" s="77">
        <f>HYPERLINK("https://my.pitchbook.com?rrp=180406-09&amp;type=c", "This Company's information is not available to download. Need this Company? Request availability")</f>
      </c>
      <c r="D503" s="12" t="inlineStr">
        <is>
          <t/>
        </is>
      </c>
      <c r="E503" s="13" t="inlineStr">
        <is>
          <t/>
        </is>
      </c>
      <c r="F503" s="14" t="inlineStr">
        <is>
          <t/>
        </is>
      </c>
      <c r="G503" s="15" t="inlineStr">
        <is>
          <t/>
        </is>
      </c>
      <c r="H503" s="16" t="inlineStr">
        <is>
          <t/>
        </is>
      </c>
      <c r="I503" s="17" t="inlineStr">
        <is>
          <t/>
        </is>
      </c>
      <c r="J503" s="18" t="inlineStr">
        <is>
          <t/>
        </is>
      </c>
      <c r="K503" s="19" t="inlineStr">
        <is>
          <t/>
        </is>
      </c>
      <c r="L503" s="20" t="inlineStr">
        <is>
          <t/>
        </is>
      </c>
      <c r="M503" s="21" t="inlineStr">
        <is>
          <t/>
        </is>
      </c>
      <c r="N503" s="22" t="inlineStr">
        <is>
          <t/>
        </is>
      </c>
      <c r="O503" s="23" t="inlineStr">
        <is>
          <t/>
        </is>
      </c>
      <c r="P503" s="24" t="inlineStr">
        <is>
          <t/>
        </is>
      </c>
    </row>
    <row r="504">
      <c r="A504" s="25" t="inlineStr">
        <is>
          <t>117708-13</t>
        </is>
      </c>
      <c r="B504" s="26" t="inlineStr">
        <is>
          <t>Unimersiv</t>
        </is>
      </c>
      <c r="C504" s="27" t="inlineStr">
        <is>
          <t/>
        </is>
      </c>
      <c r="D504" s="28" t="inlineStr">
        <is>
          <t/>
        </is>
      </c>
      <c r="E504" s="29" t="inlineStr">
        <is>
          <t/>
        </is>
      </c>
      <c r="F504" s="30" t="inlineStr">
        <is>
          <t/>
        </is>
      </c>
      <c r="G504" s="31" t="inlineStr">
        <is>
          <t/>
        </is>
      </c>
      <c r="H504" s="32" t="inlineStr">
        <is>
          <t/>
        </is>
      </c>
      <c r="I504" s="33" t="inlineStr">
        <is>
          <t/>
        </is>
      </c>
      <c r="J504" s="34" t="inlineStr">
        <is>
          <t/>
        </is>
      </c>
      <c r="K504" s="35" t="inlineStr">
        <is>
          <t>Privately Held (backing)</t>
        </is>
      </c>
      <c r="L504" s="36" t="inlineStr">
        <is>
          <t>Accelerator/Incubator Backed</t>
        </is>
      </c>
      <c r="M504" s="37" t="n">
        <v>42292.0</v>
      </c>
      <c r="N504" s="38" t="inlineStr">
        <is>
          <t>Accelerator/Incubator</t>
        </is>
      </c>
      <c r="O504" s="39" t="n">
        <v>0.02</v>
      </c>
      <c r="P504" s="102">
        <f>HYPERLINK("https://my.pitchbook.com?c=117708-13", "View company online")</f>
      </c>
    </row>
    <row r="505">
      <c r="A505" s="9" t="inlineStr">
        <is>
          <t>119945-98</t>
        </is>
      </c>
      <c r="B505" s="10" t="inlineStr">
        <is>
          <t>UnifyID</t>
        </is>
      </c>
      <c r="C505" s="11" t="inlineStr">
        <is>
          <t/>
        </is>
      </c>
      <c r="D505" s="12" t="inlineStr">
        <is>
          <t/>
        </is>
      </c>
      <c r="E505" s="13" t="inlineStr">
        <is>
          <t/>
        </is>
      </c>
      <c r="F505" s="14" t="inlineStr">
        <is>
          <t/>
        </is>
      </c>
      <c r="G505" s="15" t="inlineStr">
        <is>
          <t/>
        </is>
      </c>
      <c r="H505" s="16" t="inlineStr">
        <is>
          <t/>
        </is>
      </c>
      <c r="I505" s="17" t="inlineStr">
        <is>
          <t/>
        </is>
      </c>
      <c r="J505" s="18" t="inlineStr">
        <is>
          <t/>
        </is>
      </c>
      <c r="K505" s="19" t="inlineStr">
        <is>
          <t>Privately Held (backing)</t>
        </is>
      </c>
      <c r="L505" s="20" t="inlineStr">
        <is>
          <t>Accelerator/Incubator Backed</t>
        </is>
      </c>
      <c r="M505" s="21" t="inlineStr">
        <is>
          <t/>
        </is>
      </c>
      <c r="N505" s="22" t="inlineStr">
        <is>
          <t>Accelerator/Incubator</t>
        </is>
      </c>
      <c r="O505" s="23" t="inlineStr">
        <is>
          <t/>
        </is>
      </c>
      <c r="P505" s="101">
        <f>HYPERLINK("https://my.pitchbook.com?c=119945-98", "View company online")</f>
      </c>
    </row>
    <row r="506">
      <c r="A506" s="25" t="inlineStr">
        <is>
          <t>104747-32</t>
        </is>
      </c>
      <c r="B506" s="26" t="inlineStr">
        <is>
          <t>Unified People</t>
        </is>
      </c>
      <c r="C506" s="27" t="inlineStr">
        <is>
          <t/>
        </is>
      </c>
      <c r="D506" s="28" t="inlineStr">
        <is>
          <t/>
        </is>
      </c>
      <c r="E506" s="29" t="inlineStr">
        <is>
          <t/>
        </is>
      </c>
      <c r="F506" s="30" t="inlineStr">
        <is>
          <t/>
        </is>
      </c>
      <c r="G506" s="31" t="inlineStr">
        <is>
          <t/>
        </is>
      </c>
      <c r="H506" s="32" t="inlineStr">
        <is>
          <t/>
        </is>
      </c>
      <c r="I506" s="33" t="inlineStr">
        <is>
          <t/>
        </is>
      </c>
      <c r="J506" s="34" t="inlineStr">
        <is>
          <t/>
        </is>
      </c>
      <c r="K506" s="35" t="inlineStr">
        <is>
          <t>Privately Held (backing)</t>
        </is>
      </c>
      <c r="L506" s="36" t="inlineStr">
        <is>
          <t>Angel-Backed</t>
        </is>
      </c>
      <c r="M506" s="37" t="n">
        <v>39814.0</v>
      </c>
      <c r="N506" s="38" t="inlineStr">
        <is>
          <t>Angel (individual)</t>
        </is>
      </c>
      <c r="O506" s="39" t="inlineStr">
        <is>
          <t/>
        </is>
      </c>
      <c r="P506" s="102">
        <f>HYPERLINK("https://my.pitchbook.com?c=104747-32", "View company online")</f>
      </c>
    </row>
    <row r="507">
      <c r="A507" s="9" t="inlineStr">
        <is>
          <t>89285-23</t>
        </is>
      </c>
      <c r="B507" s="10" t="inlineStr">
        <is>
          <t>Unified Color</t>
        </is>
      </c>
      <c r="C507" s="77">
        <f>HYPERLINK("https://my.pitchbook.com?rrp=89285-23&amp;type=c", "This Company's information is not available to download. Need this Company? Request availability")</f>
      </c>
      <c r="D507" s="12" t="inlineStr">
        <is>
          <t/>
        </is>
      </c>
      <c r="E507" s="13" t="inlineStr">
        <is>
          <t/>
        </is>
      </c>
      <c r="F507" s="14" t="inlineStr">
        <is>
          <t/>
        </is>
      </c>
      <c r="G507" s="15" t="inlineStr">
        <is>
          <t/>
        </is>
      </c>
      <c r="H507" s="16" t="inlineStr">
        <is>
          <t/>
        </is>
      </c>
      <c r="I507" s="17" t="inlineStr">
        <is>
          <t/>
        </is>
      </c>
      <c r="J507" s="18" t="inlineStr">
        <is>
          <t/>
        </is>
      </c>
      <c r="K507" s="19" t="inlineStr">
        <is>
          <t/>
        </is>
      </c>
      <c r="L507" s="20" t="inlineStr">
        <is>
          <t/>
        </is>
      </c>
      <c r="M507" s="21" t="inlineStr">
        <is>
          <t/>
        </is>
      </c>
      <c r="N507" s="22" t="inlineStr">
        <is>
          <t/>
        </is>
      </c>
      <c r="O507" s="23" t="inlineStr">
        <is>
          <t/>
        </is>
      </c>
      <c r="P507" s="24" t="inlineStr">
        <is>
          <t/>
        </is>
      </c>
    </row>
    <row r="508">
      <c r="A508" s="25" t="inlineStr">
        <is>
          <t>89284-69</t>
        </is>
      </c>
      <c r="B508" s="26" t="inlineStr">
        <is>
          <t>Unfold</t>
        </is>
      </c>
      <c r="C508" s="27" t="inlineStr">
        <is>
          <t/>
        </is>
      </c>
      <c r="D508" s="28" t="inlineStr">
        <is>
          <t/>
        </is>
      </c>
      <c r="E508" s="29" t="inlineStr">
        <is>
          <t/>
        </is>
      </c>
      <c r="F508" s="30" t="inlineStr">
        <is>
          <t/>
        </is>
      </c>
      <c r="G508" s="31" t="inlineStr">
        <is>
          <t/>
        </is>
      </c>
      <c r="H508" s="32" t="inlineStr">
        <is>
          <t/>
        </is>
      </c>
      <c r="I508" s="33" t="inlineStr">
        <is>
          <t/>
        </is>
      </c>
      <c r="J508" s="34" t="inlineStr">
        <is>
          <t/>
        </is>
      </c>
      <c r="K508" s="35" t="inlineStr">
        <is>
          <t>Privately Held (backing)</t>
        </is>
      </c>
      <c r="L508" s="36" t="inlineStr">
        <is>
          <t>Accelerator/Incubator Backed</t>
        </is>
      </c>
      <c r="M508" s="37" t="n">
        <v>41548.0</v>
      </c>
      <c r="N508" s="38" t="inlineStr">
        <is>
          <t>Seed Round</t>
        </is>
      </c>
      <c r="O508" s="39" t="n">
        <v>0.32</v>
      </c>
      <c r="P508" s="102">
        <f>HYPERLINK("https://my.pitchbook.com?c=89284-69", "View company online")</f>
      </c>
    </row>
    <row r="509">
      <c r="A509" s="9" t="inlineStr">
        <is>
          <t>181042-12</t>
        </is>
      </c>
      <c r="B509" s="10" t="inlineStr">
        <is>
          <t>Undisputed Boxing</t>
        </is>
      </c>
      <c r="C509" s="11" t="inlineStr">
        <is>
          <t/>
        </is>
      </c>
      <c r="D509" s="12" t="inlineStr">
        <is>
          <t/>
        </is>
      </c>
      <c r="E509" s="13" t="inlineStr">
        <is>
          <t/>
        </is>
      </c>
      <c r="F509" s="14" t="inlineStr">
        <is>
          <t/>
        </is>
      </c>
      <c r="G509" s="15" t="inlineStr">
        <is>
          <t/>
        </is>
      </c>
      <c r="H509" s="16" t="inlineStr">
        <is>
          <t/>
        </is>
      </c>
      <c r="I509" s="17" t="inlineStr">
        <is>
          <t/>
        </is>
      </c>
      <c r="J509" s="18" t="inlineStr">
        <is>
          <t/>
        </is>
      </c>
      <c r="K509" s="19" t="inlineStr">
        <is>
          <t>Privately Held (backing)</t>
        </is>
      </c>
      <c r="L509" s="20" t="inlineStr">
        <is>
          <t>Angel-Backed</t>
        </is>
      </c>
      <c r="M509" s="21" t="n">
        <v>42871.0</v>
      </c>
      <c r="N509" s="22" t="inlineStr">
        <is>
          <t>Angel (individual)</t>
        </is>
      </c>
      <c r="O509" s="23" t="n">
        <v>1.0</v>
      </c>
      <c r="P509" s="101">
        <f>HYPERLINK("https://my.pitchbook.com?c=181042-12", "View company online")</f>
      </c>
    </row>
    <row r="510">
      <c r="A510" s="25" t="inlineStr">
        <is>
          <t>178572-97</t>
        </is>
      </c>
      <c r="B510" s="26" t="inlineStr">
        <is>
          <t>Understand.ai</t>
        </is>
      </c>
      <c r="C510" s="27" t="inlineStr">
        <is>
          <t/>
        </is>
      </c>
      <c r="D510" s="28" t="inlineStr">
        <is>
          <t/>
        </is>
      </c>
      <c r="E510" s="29" t="inlineStr">
        <is>
          <t/>
        </is>
      </c>
      <c r="F510" s="30" t="inlineStr">
        <is>
          <t/>
        </is>
      </c>
      <c r="G510" s="31" t="inlineStr">
        <is>
          <t/>
        </is>
      </c>
      <c r="H510" s="32" t="inlineStr">
        <is>
          <t/>
        </is>
      </c>
      <c r="I510" s="33" t="inlineStr">
        <is>
          <t/>
        </is>
      </c>
      <c r="J510" s="34" t="inlineStr">
        <is>
          <t/>
        </is>
      </c>
      <c r="K510" s="35" t="inlineStr">
        <is>
          <t>Privately Held (backing)</t>
        </is>
      </c>
      <c r="L510" s="36" t="inlineStr">
        <is>
          <t>Accelerator/Incubator Backed</t>
        </is>
      </c>
      <c r="M510" s="37" t="n">
        <v>42826.0</v>
      </c>
      <c r="N510" s="38" t="inlineStr">
        <is>
          <t>Accelerator/Incubator</t>
        </is>
      </c>
      <c r="O510" s="39" t="inlineStr">
        <is>
          <t/>
        </is>
      </c>
      <c r="P510" s="102">
        <f>HYPERLINK("https://my.pitchbook.com?c=178572-97", "View company online")</f>
      </c>
    </row>
    <row r="511">
      <c r="A511" s="9" t="inlineStr">
        <is>
          <t>104746-78</t>
        </is>
      </c>
      <c r="B511" s="10" t="inlineStr">
        <is>
          <t>Undercurrent Educational Information Systems</t>
        </is>
      </c>
      <c r="C511" s="11" t="inlineStr">
        <is>
          <t/>
        </is>
      </c>
      <c r="D511" s="12" t="inlineStr">
        <is>
          <t/>
        </is>
      </c>
      <c r="E511" s="13" t="inlineStr">
        <is>
          <t/>
        </is>
      </c>
      <c r="F511" s="14" t="inlineStr">
        <is>
          <t/>
        </is>
      </c>
      <c r="G511" s="15" t="inlineStr">
        <is>
          <t/>
        </is>
      </c>
      <c r="H511" s="16" t="inlineStr">
        <is>
          <t/>
        </is>
      </c>
      <c r="I511" s="17" t="inlineStr">
        <is>
          <t/>
        </is>
      </c>
      <c r="J511" s="18" t="inlineStr">
        <is>
          <t/>
        </is>
      </c>
      <c r="K511" s="19" t="inlineStr">
        <is>
          <t>Privately Held (backing)</t>
        </is>
      </c>
      <c r="L511" s="20" t="inlineStr">
        <is>
          <t>Angel-Backed</t>
        </is>
      </c>
      <c r="M511" s="21" t="n">
        <v>41744.0</v>
      </c>
      <c r="N511" s="22" t="inlineStr">
        <is>
          <t>Angel (individual)</t>
        </is>
      </c>
      <c r="O511" s="23" t="n">
        <v>0.23</v>
      </c>
      <c r="P511" s="101">
        <f>HYPERLINK("https://my.pitchbook.com?c=104746-78", "View company online")</f>
      </c>
    </row>
    <row r="512">
      <c r="A512" s="25" t="inlineStr">
        <is>
          <t>103263-31</t>
        </is>
      </c>
      <c r="B512" s="26" t="inlineStr">
        <is>
          <t>Under 100</t>
        </is>
      </c>
      <c r="C512" s="27" t="inlineStr">
        <is>
          <t/>
        </is>
      </c>
      <c r="D512" s="28" t="inlineStr">
        <is>
          <t/>
        </is>
      </c>
      <c r="E512" s="29" t="inlineStr">
        <is>
          <t/>
        </is>
      </c>
      <c r="F512" s="30" t="inlineStr">
        <is>
          <t/>
        </is>
      </c>
      <c r="G512" s="31" t="inlineStr">
        <is>
          <t/>
        </is>
      </c>
      <c r="H512" s="32" t="inlineStr">
        <is>
          <t/>
        </is>
      </c>
      <c r="I512" s="33" t="inlineStr">
        <is>
          <t/>
        </is>
      </c>
      <c r="J512" s="34" t="inlineStr">
        <is>
          <t/>
        </is>
      </c>
      <c r="K512" s="35" t="inlineStr">
        <is>
          <t>Privately Held (backing)</t>
        </is>
      </c>
      <c r="L512" s="36" t="inlineStr">
        <is>
          <t>Angel-Backed</t>
        </is>
      </c>
      <c r="M512" s="37" t="n">
        <v>41751.0</v>
      </c>
      <c r="N512" s="38" t="inlineStr">
        <is>
          <t>Seed Round</t>
        </is>
      </c>
      <c r="O512" s="39" t="n">
        <v>0.05</v>
      </c>
      <c r="P512" s="102">
        <f>HYPERLINK("https://my.pitchbook.com?c=103263-31", "View company online")</f>
      </c>
    </row>
    <row r="513">
      <c r="A513" s="9" t="inlineStr">
        <is>
          <t>173656-54</t>
        </is>
      </c>
      <c r="B513" s="10" t="inlineStr">
        <is>
          <t>Unboundly</t>
        </is>
      </c>
      <c r="C513" s="77">
        <f>HYPERLINK("https://my.pitchbook.com?rrp=173656-54&amp;type=c", "This Company's information is not available to download. Need this Company? Request availability")</f>
      </c>
      <c r="D513" s="12" t="inlineStr">
        <is>
          <t/>
        </is>
      </c>
      <c r="E513" s="13" t="inlineStr">
        <is>
          <t/>
        </is>
      </c>
      <c r="F513" s="14" t="inlineStr">
        <is>
          <t/>
        </is>
      </c>
      <c r="G513" s="15" t="inlineStr">
        <is>
          <t/>
        </is>
      </c>
      <c r="H513" s="16" t="inlineStr">
        <is>
          <t/>
        </is>
      </c>
      <c r="I513" s="17" t="inlineStr">
        <is>
          <t/>
        </is>
      </c>
      <c r="J513" s="18" t="inlineStr">
        <is>
          <t/>
        </is>
      </c>
      <c r="K513" s="19" t="inlineStr">
        <is>
          <t/>
        </is>
      </c>
      <c r="L513" s="20" t="inlineStr">
        <is>
          <t/>
        </is>
      </c>
      <c r="M513" s="21" t="inlineStr">
        <is>
          <t/>
        </is>
      </c>
      <c r="N513" s="22" t="inlineStr">
        <is>
          <t/>
        </is>
      </c>
      <c r="O513" s="23" t="inlineStr">
        <is>
          <t/>
        </is>
      </c>
      <c r="P513" s="24" t="inlineStr">
        <is>
          <t/>
        </is>
      </c>
    </row>
    <row r="514">
      <c r="A514" s="25" t="inlineStr">
        <is>
          <t>118850-59</t>
        </is>
      </c>
      <c r="B514" s="26" t="inlineStr">
        <is>
          <t>UnBOOKed Appointments</t>
        </is>
      </c>
      <c r="C514" s="27" t="inlineStr">
        <is>
          <t/>
        </is>
      </c>
      <c r="D514" s="28" t="inlineStr">
        <is>
          <t/>
        </is>
      </c>
      <c r="E514" s="29" t="inlineStr">
        <is>
          <t/>
        </is>
      </c>
      <c r="F514" s="30" t="inlineStr">
        <is>
          <t/>
        </is>
      </c>
      <c r="G514" s="31" t="inlineStr">
        <is>
          <t/>
        </is>
      </c>
      <c r="H514" s="32" t="inlineStr">
        <is>
          <t/>
        </is>
      </c>
      <c r="I514" s="33" t="inlineStr">
        <is>
          <t/>
        </is>
      </c>
      <c r="J514" s="34" t="inlineStr">
        <is>
          <t/>
        </is>
      </c>
      <c r="K514" s="35" t="inlineStr">
        <is>
          <t>Privately Held (backing)</t>
        </is>
      </c>
      <c r="L514" s="36" t="inlineStr">
        <is>
          <t>Angel-Backed</t>
        </is>
      </c>
      <c r="M514" s="37" t="n">
        <v>42549.0</v>
      </c>
      <c r="N514" s="38" t="inlineStr">
        <is>
          <t>Angel (individual)</t>
        </is>
      </c>
      <c r="O514" s="39" t="n">
        <v>1.02</v>
      </c>
      <c r="P514" s="102">
        <f>HYPERLINK("https://my.pitchbook.com?c=118850-59", "View company online")</f>
      </c>
    </row>
    <row r="515">
      <c r="A515" s="9" t="inlineStr">
        <is>
          <t>91265-68</t>
        </is>
      </c>
      <c r="B515" s="10" t="inlineStr">
        <is>
          <t>uMix</t>
        </is>
      </c>
      <c r="C515" s="11" t="inlineStr">
        <is>
          <t/>
        </is>
      </c>
      <c r="D515" s="12" t="inlineStr">
        <is>
          <t/>
        </is>
      </c>
      <c r="E515" s="13" t="inlineStr">
        <is>
          <t/>
        </is>
      </c>
      <c r="F515" s="14" t="inlineStr">
        <is>
          <t/>
        </is>
      </c>
      <c r="G515" s="15" t="inlineStr">
        <is>
          <t/>
        </is>
      </c>
      <c r="H515" s="16" t="inlineStr">
        <is>
          <t/>
        </is>
      </c>
      <c r="I515" s="17" t="inlineStr">
        <is>
          <t/>
        </is>
      </c>
      <c r="J515" s="18" t="inlineStr">
        <is>
          <t/>
        </is>
      </c>
      <c r="K515" s="19" t="inlineStr">
        <is>
          <t>Privately Held (backing)</t>
        </is>
      </c>
      <c r="L515" s="20" t="inlineStr">
        <is>
          <t>Accelerator/Incubator Backed</t>
        </is>
      </c>
      <c r="M515" s="21" t="n">
        <v>41365.0</v>
      </c>
      <c r="N515" s="22" t="inlineStr">
        <is>
          <t>Accelerator/Incubator</t>
        </is>
      </c>
      <c r="O515" s="23" t="n">
        <v>0.13</v>
      </c>
      <c r="P515" s="101">
        <f>HYPERLINK("https://my.pitchbook.com?c=91265-68", "View company online")</f>
      </c>
    </row>
    <row r="516">
      <c r="A516" s="25" t="inlineStr">
        <is>
          <t>168483-34</t>
        </is>
      </c>
      <c r="B516" s="26" t="inlineStr">
        <is>
          <t>Umbo</t>
        </is>
      </c>
      <c r="C516" s="27" t="inlineStr">
        <is>
          <t/>
        </is>
      </c>
      <c r="D516" s="28" t="inlineStr">
        <is>
          <t/>
        </is>
      </c>
      <c r="E516" s="29" t="inlineStr">
        <is>
          <t/>
        </is>
      </c>
      <c r="F516" s="30" t="inlineStr">
        <is>
          <t/>
        </is>
      </c>
      <c r="G516" s="31" t="inlineStr">
        <is>
          <t/>
        </is>
      </c>
      <c r="H516" s="32" t="inlineStr">
        <is>
          <t/>
        </is>
      </c>
      <c r="I516" s="33" t="inlineStr">
        <is>
          <t/>
        </is>
      </c>
      <c r="J516" s="34" t="inlineStr">
        <is>
          <t/>
        </is>
      </c>
      <c r="K516" s="35" t="inlineStr">
        <is>
          <t>Privately Held (backing)</t>
        </is>
      </c>
      <c r="L516" s="36" t="inlineStr">
        <is>
          <t>Accelerator/Incubator Backed</t>
        </is>
      </c>
      <c r="M516" s="37" t="n">
        <v>42606.0</v>
      </c>
      <c r="N516" s="38" t="inlineStr">
        <is>
          <t>Angel (individual)</t>
        </is>
      </c>
      <c r="O516" s="39" t="n">
        <v>0.13</v>
      </c>
      <c r="P516" s="102">
        <f>HYPERLINK("https://my.pitchbook.com?c=168483-34", "View company online")</f>
      </c>
    </row>
    <row r="517">
      <c r="A517" s="9" t="inlineStr">
        <is>
          <t>113788-72</t>
        </is>
      </c>
      <c r="B517" s="10" t="inlineStr">
        <is>
          <t>Umbala</t>
        </is>
      </c>
      <c r="C517" s="11" t="inlineStr">
        <is>
          <t/>
        </is>
      </c>
      <c r="D517" s="12" t="inlineStr">
        <is>
          <t/>
        </is>
      </c>
      <c r="E517" s="13" t="inlineStr">
        <is>
          <t/>
        </is>
      </c>
      <c r="F517" s="14" t="inlineStr">
        <is>
          <t/>
        </is>
      </c>
      <c r="G517" s="15" t="inlineStr">
        <is>
          <t/>
        </is>
      </c>
      <c r="H517" s="16" t="inlineStr">
        <is>
          <t/>
        </is>
      </c>
      <c r="I517" s="17" t="inlineStr">
        <is>
          <t/>
        </is>
      </c>
      <c r="J517" s="18" t="inlineStr">
        <is>
          <t/>
        </is>
      </c>
      <c r="K517" s="19" t="inlineStr">
        <is>
          <t>Privately Held (backing)</t>
        </is>
      </c>
      <c r="L517" s="20" t="inlineStr">
        <is>
          <t>Accelerator/Incubator Backed</t>
        </is>
      </c>
      <c r="M517" s="21" t="n">
        <v>42277.0</v>
      </c>
      <c r="N517" s="22" t="inlineStr">
        <is>
          <t>Seed Round</t>
        </is>
      </c>
      <c r="O517" s="23" t="inlineStr">
        <is>
          <t/>
        </is>
      </c>
      <c r="P517" s="101">
        <f>HYPERLINK("https://my.pitchbook.com?c=113788-72", "View company online")</f>
      </c>
    </row>
    <row r="518">
      <c r="A518" s="25" t="inlineStr">
        <is>
          <t>117899-47</t>
        </is>
      </c>
      <c r="B518" s="26" t="inlineStr">
        <is>
          <t>Ulyngo</t>
        </is>
      </c>
      <c r="C518" s="78">
        <f>HYPERLINK("https://my.pitchbook.com?rrp=117899-47&amp;type=c", "This Company's information is not available to download. Need this Company? Request availability")</f>
      </c>
      <c r="D518" s="28" t="inlineStr">
        <is>
          <t/>
        </is>
      </c>
      <c r="E518" s="29" t="inlineStr">
        <is>
          <t/>
        </is>
      </c>
      <c r="F518" s="30" t="inlineStr">
        <is>
          <t/>
        </is>
      </c>
      <c r="G518" s="31" t="inlineStr">
        <is>
          <t/>
        </is>
      </c>
      <c r="H518" s="32" t="inlineStr">
        <is>
          <t/>
        </is>
      </c>
      <c r="I518" s="33" t="inlineStr">
        <is>
          <t/>
        </is>
      </c>
      <c r="J518" s="34" t="inlineStr">
        <is>
          <t/>
        </is>
      </c>
      <c r="K518" s="35" t="inlineStr">
        <is>
          <t/>
        </is>
      </c>
      <c r="L518" s="36" t="inlineStr">
        <is>
          <t/>
        </is>
      </c>
      <c r="M518" s="37" t="inlineStr">
        <is>
          <t/>
        </is>
      </c>
      <c r="N518" s="38" t="inlineStr">
        <is>
          <t/>
        </is>
      </c>
      <c r="O518" s="39" t="inlineStr">
        <is>
          <t/>
        </is>
      </c>
      <c r="P518" s="40" t="inlineStr">
        <is>
          <t/>
        </is>
      </c>
    </row>
    <row r="519">
      <c r="A519" s="9" t="inlineStr">
        <is>
          <t>160130-44</t>
        </is>
      </c>
      <c r="B519" s="10" t="inlineStr">
        <is>
          <t>Ultra Sport Products</t>
        </is>
      </c>
      <c r="C519" s="11" t="inlineStr">
        <is>
          <t/>
        </is>
      </c>
      <c r="D519" s="12" t="inlineStr">
        <is>
          <t/>
        </is>
      </c>
      <c r="E519" s="13" t="inlineStr">
        <is>
          <t/>
        </is>
      </c>
      <c r="F519" s="14" t="inlineStr">
        <is>
          <t/>
        </is>
      </c>
      <c r="G519" s="15" t="inlineStr">
        <is>
          <t/>
        </is>
      </c>
      <c r="H519" s="16" t="inlineStr">
        <is>
          <t/>
        </is>
      </c>
      <c r="I519" s="17" t="inlineStr">
        <is>
          <t/>
        </is>
      </c>
      <c r="J519" s="18" t="inlineStr">
        <is>
          <t/>
        </is>
      </c>
      <c r="K519" s="19" t="inlineStr">
        <is>
          <t>Privately Held (backing)</t>
        </is>
      </c>
      <c r="L519" s="20" t="inlineStr">
        <is>
          <t>Angel-Backed</t>
        </is>
      </c>
      <c r="M519" s="21" t="n">
        <v>42208.0</v>
      </c>
      <c r="N519" s="22" t="inlineStr">
        <is>
          <t>Convertible Debt</t>
        </is>
      </c>
      <c r="O519" s="23" t="n">
        <v>0.37</v>
      </c>
      <c r="P519" s="101">
        <f>HYPERLINK("https://my.pitchbook.com?c=160130-44", "View company online")</f>
      </c>
    </row>
    <row r="520">
      <c r="A520" s="25" t="inlineStr">
        <is>
          <t>162106-48</t>
        </is>
      </c>
      <c r="B520" s="26" t="inlineStr">
        <is>
          <t>Ultimate HD Golf</t>
        </is>
      </c>
      <c r="C520" s="27" t="inlineStr">
        <is>
          <t/>
        </is>
      </c>
      <c r="D520" s="28" t="inlineStr">
        <is>
          <t/>
        </is>
      </c>
      <c r="E520" s="29" t="inlineStr">
        <is>
          <t/>
        </is>
      </c>
      <c r="F520" s="30" t="inlineStr">
        <is>
          <t/>
        </is>
      </c>
      <c r="G520" s="31" t="inlineStr">
        <is>
          <t/>
        </is>
      </c>
      <c r="H520" s="32" t="inlineStr">
        <is>
          <t/>
        </is>
      </c>
      <c r="I520" s="33" t="inlineStr">
        <is>
          <t/>
        </is>
      </c>
      <c r="J520" s="34" t="inlineStr">
        <is>
          <t/>
        </is>
      </c>
      <c r="K520" s="35" t="inlineStr">
        <is>
          <t>Privately Held (backing)</t>
        </is>
      </c>
      <c r="L520" s="36" t="inlineStr">
        <is>
          <t>Angel-Backed</t>
        </is>
      </c>
      <c r="M520" s="37" t="n">
        <v>42552.0</v>
      </c>
      <c r="N520" s="38" t="inlineStr">
        <is>
          <t>Angel (individual)</t>
        </is>
      </c>
      <c r="O520" s="39" t="n">
        <v>0.65</v>
      </c>
      <c r="P520" s="102">
        <f>HYPERLINK("https://my.pitchbook.com?c=162106-48", "View company online")</f>
      </c>
    </row>
    <row r="521">
      <c r="A521" s="9" t="inlineStr">
        <is>
          <t>122245-57</t>
        </is>
      </c>
      <c r="B521" s="10" t="inlineStr">
        <is>
          <t>Ujoin</t>
        </is>
      </c>
      <c r="C521" s="11" t="inlineStr">
        <is>
          <t/>
        </is>
      </c>
      <c r="D521" s="12" t="inlineStr">
        <is>
          <t/>
        </is>
      </c>
      <c r="E521" s="13" t="inlineStr">
        <is>
          <t/>
        </is>
      </c>
      <c r="F521" s="14" t="inlineStr">
        <is>
          <t/>
        </is>
      </c>
      <c r="G521" s="15" t="inlineStr">
        <is>
          <t/>
        </is>
      </c>
      <c r="H521" s="16" t="inlineStr">
        <is>
          <t/>
        </is>
      </c>
      <c r="I521" s="17" t="inlineStr">
        <is>
          <t/>
        </is>
      </c>
      <c r="J521" s="18" t="inlineStr">
        <is>
          <t/>
        </is>
      </c>
      <c r="K521" s="19" t="inlineStr">
        <is>
          <t>Privately Held (backing)</t>
        </is>
      </c>
      <c r="L521" s="20" t="inlineStr">
        <is>
          <t>Accelerator/Incubator Backed</t>
        </is>
      </c>
      <c r="M521" s="21" t="n">
        <v>42069.0</v>
      </c>
      <c r="N521" s="22" t="inlineStr">
        <is>
          <t>Accelerator/Incubator</t>
        </is>
      </c>
      <c r="O521" s="23" t="n">
        <v>0.02</v>
      </c>
      <c r="P521" s="101">
        <f>HYPERLINK("https://my.pitchbook.com?c=122245-57", "View company online")</f>
      </c>
    </row>
    <row r="522">
      <c r="A522" s="25" t="inlineStr">
        <is>
          <t>119878-57</t>
        </is>
      </c>
      <c r="B522" s="26" t="inlineStr">
        <is>
          <t>Uila</t>
        </is>
      </c>
      <c r="C522" s="27" t="inlineStr">
        <is>
          <t/>
        </is>
      </c>
      <c r="D522" s="28" t="inlineStr">
        <is>
          <t/>
        </is>
      </c>
      <c r="E522" s="29" t="inlineStr">
        <is>
          <t/>
        </is>
      </c>
      <c r="F522" s="30" t="inlineStr">
        <is>
          <t/>
        </is>
      </c>
      <c r="G522" s="31" t="inlineStr">
        <is>
          <t/>
        </is>
      </c>
      <c r="H522" s="32" t="inlineStr">
        <is>
          <t/>
        </is>
      </c>
      <c r="I522" s="33" t="inlineStr">
        <is>
          <t/>
        </is>
      </c>
      <c r="J522" s="34" t="inlineStr">
        <is>
          <t/>
        </is>
      </c>
      <c r="K522" s="35" t="inlineStr">
        <is>
          <t>Privately Held (backing)</t>
        </is>
      </c>
      <c r="L522" s="36" t="inlineStr">
        <is>
          <t>Angel-Backed</t>
        </is>
      </c>
      <c r="M522" s="37" t="n">
        <v>41893.0</v>
      </c>
      <c r="N522" s="38" t="inlineStr">
        <is>
          <t>Angel (individual)</t>
        </is>
      </c>
      <c r="O522" s="39" t="inlineStr">
        <is>
          <t/>
        </is>
      </c>
      <c r="P522" s="102">
        <f>HYPERLINK("https://my.pitchbook.com?c=119878-57", "View company online")</f>
      </c>
    </row>
    <row r="523">
      <c r="A523" s="9" t="inlineStr">
        <is>
          <t>98514-01</t>
        </is>
      </c>
      <c r="B523" s="10" t="inlineStr">
        <is>
          <t>Uguru.me</t>
        </is>
      </c>
      <c r="C523" s="11" t="inlineStr">
        <is>
          <t/>
        </is>
      </c>
      <c r="D523" s="12" t="inlineStr">
        <is>
          <t/>
        </is>
      </c>
      <c r="E523" s="13" t="inlineStr">
        <is>
          <t/>
        </is>
      </c>
      <c r="F523" s="14" t="inlineStr">
        <is>
          <t/>
        </is>
      </c>
      <c r="G523" s="15" t="inlineStr">
        <is>
          <t/>
        </is>
      </c>
      <c r="H523" s="16" t="inlineStr">
        <is>
          <t/>
        </is>
      </c>
      <c r="I523" s="17" t="inlineStr">
        <is>
          <t/>
        </is>
      </c>
      <c r="J523" s="18" t="inlineStr">
        <is>
          <t/>
        </is>
      </c>
      <c r="K523" s="19" t="inlineStr">
        <is>
          <t>Privately Held (backing)</t>
        </is>
      </c>
      <c r="L523" s="20" t="inlineStr">
        <is>
          <t>Accelerator/Incubator Backed</t>
        </is>
      </c>
      <c r="M523" s="21" t="n">
        <v>41852.0</v>
      </c>
      <c r="N523" s="22" t="inlineStr">
        <is>
          <t>Accelerator/Incubator</t>
        </is>
      </c>
      <c r="O523" s="23" t="n">
        <v>0.1</v>
      </c>
      <c r="P523" s="101">
        <f>HYPERLINK("https://my.pitchbook.com?c=98514-01", "View company online")</f>
      </c>
    </row>
    <row r="524">
      <c r="A524" s="25" t="inlineStr">
        <is>
          <t>176918-77</t>
        </is>
      </c>
      <c r="B524" s="26" t="inlineStr">
        <is>
          <t>Ugly Duckling Los Angeles</t>
        </is>
      </c>
      <c r="C524" s="78">
        <f>HYPERLINK("https://my.pitchbook.com?rrp=176918-77&amp;type=c", "This Company's information is not available to download. Need this Company? Request availability")</f>
      </c>
      <c r="D524" s="28" t="inlineStr">
        <is>
          <t/>
        </is>
      </c>
      <c r="E524" s="29" t="inlineStr">
        <is>
          <t/>
        </is>
      </c>
      <c r="F524" s="30" t="inlineStr">
        <is>
          <t/>
        </is>
      </c>
      <c r="G524" s="31" t="inlineStr">
        <is>
          <t/>
        </is>
      </c>
      <c r="H524" s="32" t="inlineStr">
        <is>
          <t/>
        </is>
      </c>
      <c r="I524" s="33" t="inlineStr">
        <is>
          <t/>
        </is>
      </c>
      <c r="J524" s="34" t="inlineStr">
        <is>
          <t/>
        </is>
      </c>
      <c r="K524" s="35" t="inlineStr">
        <is>
          <t/>
        </is>
      </c>
      <c r="L524" s="36" t="inlineStr">
        <is>
          <t/>
        </is>
      </c>
      <c r="M524" s="37" t="inlineStr">
        <is>
          <t/>
        </is>
      </c>
      <c r="N524" s="38" t="inlineStr">
        <is>
          <t/>
        </is>
      </c>
      <c r="O524" s="39" t="inlineStr">
        <is>
          <t/>
        </is>
      </c>
      <c r="P524" s="40" t="inlineStr">
        <is>
          <t/>
        </is>
      </c>
    </row>
    <row r="525">
      <c r="A525" s="9" t="inlineStr">
        <is>
          <t>54011-17</t>
        </is>
      </c>
      <c r="B525" s="10" t="inlineStr">
        <is>
          <t>Ugallery</t>
        </is>
      </c>
      <c r="C525" s="11" t="inlineStr">
        <is>
          <t/>
        </is>
      </c>
      <c r="D525" s="12" t="inlineStr">
        <is>
          <t/>
        </is>
      </c>
      <c r="E525" s="13" t="inlineStr">
        <is>
          <t/>
        </is>
      </c>
      <c r="F525" s="14" t="inlineStr">
        <is>
          <t/>
        </is>
      </c>
      <c r="G525" s="15" t="inlineStr">
        <is>
          <t/>
        </is>
      </c>
      <c r="H525" s="16" t="inlineStr">
        <is>
          <t/>
        </is>
      </c>
      <c r="I525" s="17" t="inlineStr">
        <is>
          <t/>
        </is>
      </c>
      <c r="J525" s="18" t="inlineStr">
        <is>
          <t/>
        </is>
      </c>
      <c r="K525" s="19" t="inlineStr">
        <is>
          <t>Privately Held (backing)</t>
        </is>
      </c>
      <c r="L525" s="20" t="inlineStr">
        <is>
          <t>Angel-Backed</t>
        </is>
      </c>
      <c r="M525" s="21" t="n">
        <v>41883.0</v>
      </c>
      <c r="N525" s="22" t="inlineStr">
        <is>
          <t>Angel (individual)</t>
        </is>
      </c>
      <c r="O525" s="23" t="inlineStr">
        <is>
          <t/>
        </is>
      </c>
      <c r="P525" s="101">
        <f>HYPERLINK("https://my.pitchbook.com?c=54011-17", "View company online")</f>
      </c>
    </row>
    <row r="526">
      <c r="A526" s="25" t="inlineStr">
        <is>
          <t>101501-38</t>
        </is>
      </c>
      <c r="B526" s="26" t="inlineStr">
        <is>
          <t>UDesign</t>
        </is>
      </c>
      <c r="C526" s="27" t="inlineStr">
        <is>
          <t/>
        </is>
      </c>
      <c r="D526" s="28" t="inlineStr">
        <is>
          <t/>
        </is>
      </c>
      <c r="E526" s="29" t="inlineStr">
        <is>
          <t/>
        </is>
      </c>
      <c r="F526" s="30" t="inlineStr">
        <is>
          <t/>
        </is>
      </c>
      <c r="G526" s="31" t="inlineStr">
        <is>
          <t/>
        </is>
      </c>
      <c r="H526" s="32" t="inlineStr">
        <is>
          <t/>
        </is>
      </c>
      <c r="I526" s="33" t="inlineStr">
        <is>
          <t/>
        </is>
      </c>
      <c r="J526" s="34" t="inlineStr">
        <is>
          <t/>
        </is>
      </c>
      <c r="K526" s="35" t="inlineStr">
        <is>
          <t>Privately Held (backing)</t>
        </is>
      </c>
      <c r="L526" s="36" t="inlineStr">
        <is>
          <t>Accelerator/Incubator Backed</t>
        </is>
      </c>
      <c r="M526" s="37" t="inlineStr">
        <is>
          <t/>
        </is>
      </c>
      <c r="N526" s="38" t="inlineStr">
        <is>
          <t>Accelerator/Incubator</t>
        </is>
      </c>
      <c r="O526" s="39" t="inlineStr">
        <is>
          <t/>
        </is>
      </c>
      <c r="P526" s="102">
        <f>HYPERLINK("https://my.pitchbook.com?c=101501-38", "View company online")</f>
      </c>
    </row>
    <row r="527">
      <c r="A527" s="9" t="inlineStr">
        <is>
          <t>175911-67</t>
        </is>
      </c>
      <c r="B527" s="10" t="inlineStr">
        <is>
          <t>UCDplus</t>
        </is>
      </c>
      <c r="C527" s="77">
        <f>HYPERLINK("https://my.pitchbook.com?rrp=175911-67&amp;type=c", "This Company's information is not available to download. Need this Company? Request availability")</f>
      </c>
      <c r="D527" s="12" t="inlineStr">
        <is>
          <t/>
        </is>
      </c>
      <c r="E527" s="13" t="inlineStr">
        <is>
          <t/>
        </is>
      </c>
      <c r="F527" s="14" t="inlineStr">
        <is>
          <t/>
        </is>
      </c>
      <c r="G527" s="15" t="inlineStr">
        <is>
          <t/>
        </is>
      </c>
      <c r="H527" s="16" t="inlineStr">
        <is>
          <t/>
        </is>
      </c>
      <c r="I527" s="17" t="inlineStr">
        <is>
          <t/>
        </is>
      </c>
      <c r="J527" s="18" t="inlineStr">
        <is>
          <t/>
        </is>
      </c>
      <c r="K527" s="19" t="inlineStr">
        <is>
          <t/>
        </is>
      </c>
      <c r="L527" s="20" t="inlineStr">
        <is>
          <t/>
        </is>
      </c>
      <c r="M527" s="21" t="inlineStr">
        <is>
          <t/>
        </is>
      </c>
      <c r="N527" s="22" t="inlineStr">
        <is>
          <t/>
        </is>
      </c>
      <c r="O527" s="23" t="inlineStr">
        <is>
          <t/>
        </is>
      </c>
      <c r="P527" s="24" t="inlineStr">
        <is>
          <t/>
        </is>
      </c>
    </row>
    <row r="528">
      <c r="A528" s="25" t="inlineStr">
        <is>
          <t>126568-00</t>
        </is>
      </c>
      <c r="B528" s="26" t="inlineStr">
        <is>
          <t>Ubiquity University</t>
        </is>
      </c>
      <c r="C528" s="27" t="inlineStr">
        <is>
          <t/>
        </is>
      </c>
      <c r="D528" s="28" t="inlineStr">
        <is>
          <t/>
        </is>
      </c>
      <c r="E528" s="29" t="inlineStr">
        <is>
          <t/>
        </is>
      </c>
      <c r="F528" s="30" t="inlineStr">
        <is>
          <t/>
        </is>
      </c>
      <c r="G528" s="31" t="inlineStr">
        <is>
          <t/>
        </is>
      </c>
      <c r="H528" s="32" t="inlineStr">
        <is>
          <t/>
        </is>
      </c>
      <c r="I528" s="33" t="inlineStr">
        <is>
          <t/>
        </is>
      </c>
      <c r="J528" s="34" t="inlineStr">
        <is>
          <t/>
        </is>
      </c>
      <c r="K528" s="35" t="inlineStr">
        <is>
          <t>Privately Held (backing)</t>
        </is>
      </c>
      <c r="L528" s="36" t="inlineStr">
        <is>
          <t>Angel-Backed</t>
        </is>
      </c>
      <c r="M528" s="37" t="n">
        <v>41337.0</v>
      </c>
      <c r="N528" s="38" t="inlineStr">
        <is>
          <t>Angel (individual)</t>
        </is>
      </c>
      <c r="O528" s="39" t="n">
        <v>0.52</v>
      </c>
      <c r="P528" s="102">
        <f>HYPERLINK("https://my.pitchbook.com?c=126568-00", "View company online")</f>
      </c>
    </row>
    <row r="529">
      <c r="A529" s="9" t="inlineStr">
        <is>
          <t>118658-17</t>
        </is>
      </c>
      <c r="B529" s="10" t="inlineStr">
        <is>
          <t>Ubiquitome</t>
        </is>
      </c>
      <c r="C529" s="11" t="inlineStr">
        <is>
          <t/>
        </is>
      </c>
      <c r="D529" s="12" t="inlineStr">
        <is>
          <t/>
        </is>
      </c>
      <c r="E529" s="13" t="inlineStr">
        <is>
          <t/>
        </is>
      </c>
      <c r="F529" s="14" t="inlineStr">
        <is>
          <t/>
        </is>
      </c>
      <c r="G529" s="15" t="inlineStr">
        <is>
          <t/>
        </is>
      </c>
      <c r="H529" s="16" t="inlineStr">
        <is>
          <t/>
        </is>
      </c>
      <c r="I529" s="17" t="inlineStr">
        <is>
          <t/>
        </is>
      </c>
      <c r="J529" s="18" t="inlineStr">
        <is>
          <t/>
        </is>
      </c>
      <c r="K529" s="19" t="inlineStr">
        <is>
          <t>Privately Held (backing)</t>
        </is>
      </c>
      <c r="L529" s="20" t="inlineStr">
        <is>
          <t>Angel-Backed</t>
        </is>
      </c>
      <c r="M529" s="21" t="n">
        <v>42151.0</v>
      </c>
      <c r="N529" s="22" t="inlineStr">
        <is>
          <t>Angel (individual)</t>
        </is>
      </c>
      <c r="O529" s="23" t="inlineStr">
        <is>
          <t/>
        </is>
      </c>
      <c r="P529" s="101">
        <f>HYPERLINK("https://my.pitchbook.com?c=118658-17", "View company online")</f>
      </c>
    </row>
    <row r="530">
      <c r="A530" s="25" t="inlineStr">
        <is>
          <t>125629-57</t>
        </is>
      </c>
      <c r="B530" s="26" t="inlineStr">
        <is>
          <t>Ubicall</t>
        </is>
      </c>
      <c r="C530" s="27" t="inlineStr">
        <is>
          <t/>
        </is>
      </c>
      <c r="D530" s="28" t="inlineStr">
        <is>
          <t/>
        </is>
      </c>
      <c r="E530" s="29" t="inlineStr">
        <is>
          <t/>
        </is>
      </c>
      <c r="F530" s="30" t="inlineStr">
        <is>
          <t/>
        </is>
      </c>
      <c r="G530" s="31" t="inlineStr">
        <is>
          <t/>
        </is>
      </c>
      <c r="H530" s="32" t="inlineStr">
        <is>
          <t/>
        </is>
      </c>
      <c r="I530" s="33" t="inlineStr">
        <is>
          <t/>
        </is>
      </c>
      <c r="J530" s="34" t="inlineStr">
        <is>
          <t/>
        </is>
      </c>
      <c r="K530" s="35" t="inlineStr">
        <is>
          <t>Privately Held (backing)</t>
        </is>
      </c>
      <c r="L530" s="36" t="inlineStr">
        <is>
          <t>Accelerator/Incubator Backed</t>
        </is>
      </c>
      <c r="M530" s="37" t="n">
        <v>42390.0</v>
      </c>
      <c r="N530" s="38" t="inlineStr">
        <is>
          <t>Accelerator/Incubator</t>
        </is>
      </c>
      <c r="O530" s="39" t="n">
        <v>0.04</v>
      </c>
      <c r="P530" s="102">
        <f>HYPERLINK("https://my.pitchbook.com?c=125629-57", "View company online")</f>
      </c>
    </row>
    <row r="531">
      <c r="A531" s="9" t="inlineStr">
        <is>
          <t>87179-77</t>
        </is>
      </c>
      <c r="B531" s="10" t="inlineStr">
        <is>
          <t>Ubica</t>
        </is>
      </c>
      <c r="C531" s="11" t="inlineStr">
        <is>
          <t/>
        </is>
      </c>
      <c r="D531" s="12" t="inlineStr">
        <is>
          <t/>
        </is>
      </c>
      <c r="E531" s="13" t="inlineStr">
        <is>
          <t/>
        </is>
      </c>
      <c r="F531" s="14" t="inlineStr">
        <is>
          <t/>
        </is>
      </c>
      <c r="G531" s="15" t="inlineStr">
        <is>
          <t/>
        </is>
      </c>
      <c r="H531" s="16" t="inlineStr">
        <is>
          <t/>
        </is>
      </c>
      <c r="I531" s="17" t="inlineStr">
        <is>
          <t/>
        </is>
      </c>
      <c r="J531" s="18" t="inlineStr">
        <is>
          <t/>
        </is>
      </c>
      <c r="K531" s="19" t="inlineStr">
        <is>
          <t>Privately Held (backing)</t>
        </is>
      </c>
      <c r="L531" s="20" t="inlineStr">
        <is>
          <t>Accelerator/Incubator Backed</t>
        </is>
      </c>
      <c r="M531" s="21" t="n">
        <v>42153.0</v>
      </c>
      <c r="N531" s="22" t="inlineStr">
        <is>
          <t>Accelerator/Incubator</t>
        </is>
      </c>
      <c r="O531" s="23" t="inlineStr">
        <is>
          <t/>
        </is>
      </c>
      <c r="P531" s="101">
        <f>HYPERLINK("https://my.pitchbook.com?c=87179-77", "View company online")</f>
      </c>
    </row>
    <row r="532">
      <c r="A532" s="25" t="inlineStr">
        <is>
          <t>166102-66</t>
        </is>
      </c>
      <c r="B532" s="26" t="inlineStr">
        <is>
          <t>Ubby</t>
        </is>
      </c>
      <c r="C532" s="27" t="inlineStr">
        <is>
          <t/>
        </is>
      </c>
      <c r="D532" s="28" t="inlineStr">
        <is>
          <t/>
        </is>
      </c>
      <c r="E532" s="29" t="inlineStr">
        <is>
          <t/>
        </is>
      </c>
      <c r="F532" s="30" t="inlineStr">
        <is>
          <t/>
        </is>
      </c>
      <c r="G532" s="31" t="inlineStr">
        <is>
          <t/>
        </is>
      </c>
      <c r="H532" s="32" t="inlineStr">
        <is>
          <t/>
        </is>
      </c>
      <c r="I532" s="33" t="inlineStr">
        <is>
          <t/>
        </is>
      </c>
      <c r="J532" s="34" t="inlineStr">
        <is>
          <t/>
        </is>
      </c>
      <c r="K532" s="35" t="inlineStr">
        <is>
          <t>Privately Held (backing)</t>
        </is>
      </c>
      <c r="L532" s="36" t="inlineStr">
        <is>
          <t>Angel-Backed</t>
        </is>
      </c>
      <c r="M532" s="37" t="n">
        <v>42618.0</v>
      </c>
      <c r="N532" s="38" t="inlineStr">
        <is>
          <t>Seed Round</t>
        </is>
      </c>
      <c r="O532" s="39" t="inlineStr">
        <is>
          <t/>
        </is>
      </c>
      <c r="P532" s="102">
        <f>HYPERLINK("https://my.pitchbook.com?c=166102-66", "View company online")</f>
      </c>
    </row>
    <row r="533">
      <c r="A533" s="9" t="inlineStr">
        <is>
          <t>161977-15</t>
        </is>
      </c>
      <c r="B533" s="10" t="inlineStr">
        <is>
          <t>UAV-IQ Precision Agriculture</t>
        </is>
      </c>
      <c r="C533" s="11" t="inlineStr">
        <is>
          <t/>
        </is>
      </c>
      <c r="D533" s="12" t="inlineStr">
        <is>
          <t/>
        </is>
      </c>
      <c r="E533" s="13" t="inlineStr">
        <is>
          <t/>
        </is>
      </c>
      <c r="F533" s="14" t="inlineStr">
        <is>
          <t/>
        </is>
      </c>
      <c r="G533" s="15" t="inlineStr">
        <is>
          <t/>
        </is>
      </c>
      <c r="H533" s="16" t="inlineStr">
        <is>
          <t/>
        </is>
      </c>
      <c r="I533" s="17" t="inlineStr">
        <is>
          <t/>
        </is>
      </c>
      <c r="J533" s="18" t="inlineStr">
        <is>
          <t/>
        </is>
      </c>
      <c r="K533" s="19" t="inlineStr">
        <is>
          <t>Privately Held (backing)</t>
        </is>
      </c>
      <c r="L533" s="20" t="inlineStr">
        <is>
          <t>Accelerator/Incubator Backed</t>
        </is>
      </c>
      <c r="M533" s="21" t="n">
        <v>43009.0</v>
      </c>
      <c r="N533" s="22" t="inlineStr">
        <is>
          <t>Angel (individual)</t>
        </is>
      </c>
      <c r="O533" s="23" t="inlineStr">
        <is>
          <t/>
        </is>
      </c>
      <c r="P533" s="101">
        <f>HYPERLINK("https://my.pitchbook.com?c=161977-15", "View company online")</f>
      </c>
    </row>
    <row r="534">
      <c r="A534" s="25" t="inlineStr">
        <is>
          <t>148153-42</t>
        </is>
      </c>
      <c r="B534" s="26" t="inlineStr">
        <is>
          <t>UAV-IQ</t>
        </is>
      </c>
      <c r="C534" s="27" t="inlineStr">
        <is>
          <t/>
        </is>
      </c>
      <c r="D534" s="28" t="inlineStr">
        <is>
          <t/>
        </is>
      </c>
      <c r="E534" s="29" t="inlineStr">
        <is>
          <t/>
        </is>
      </c>
      <c r="F534" s="30" t="inlineStr">
        <is>
          <t/>
        </is>
      </c>
      <c r="G534" s="31" t="inlineStr">
        <is>
          <t/>
        </is>
      </c>
      <c r="H534" s="32" t="inlineStr">
        <is>
          <t/>
        </is>
      </c>
      <c r="I534" s="33" t="inlineStr">
        <is>
          <t/>
        </is>
      </c>
      <c r="J534" s="34" t="inlineStr">
        <is>
          <t/>
        </is>
      </c>
      <c r="K534" s="35" t="inlineStr">
        <is>
          <t>Privately Held (backing)</t>
        </is>
      </c>
      <c r="L534" s="36" t="inlineStr">
        <is>
          <t>Accelerator/Incubator Backed</t>
        </is>
      </c>
      <c r="M534" s="37" t="inlineStr">
        <is>
          <t/>
        </is>
      </c>
      <c r="N534" s="38" t="inlineStr">
        <is>
          <t>Accelerator/Incubator</t>
        </is>
      </c>
      <c r="O534" s="39" t="inlineStr">
        <is>
          <t/>
        </is>
      </c>
      <c r="P534" s="102">
        <f>HYPERLINK("https://my.pitchbook.com?c=148153-42", "View company online")</f>
      </c>
    </row>
    <row r="535">
      <c r="A535" s="9" t="inlineStr">
        <is>
          <t>95508-82</t>
        </is>
      </c>
      <c r="B535" s="10" t="inlineStr">
        <is>
          <t>Tytanium Ideas</t>
        </is>
      </c>
      <c r="C535" s="11" t="inlineStr">
        <is>
          <t/>
        </is>
      </c>
      <c r="D535" s="12" t="inlineStr">
        <is>
          <t/>
        </is>
      </c>
      <c r="E535" s="13" t="inlineStr">
        <is>
          <t/>
        </is>
      </c>
      <c r="F535" s="14" t="inlineStr">
        <is>
          <t/>
        </is>
      </c>
      <c r="G535" s="15" t="inlineStr">
        <is>
          <t/>
        </is>
      </c>
      <c r="H535" s="16" t="inlineStr">
        <is>
          <t/>
        </is>
      </c>
      <c r="I535" s="17" t="inlineStr">
        <is>
          <t/>
        </is>
      </c>
      <c r="J535" s="18" t="inlineStr">
        <is>
          <t/>
        </is>
      </c>
      <c r="K535" s="19" t="inlineStr">
        <is>
          <t>Privately Held (backing)</t>
        </is>
      </c>
      <c r="L535" s="20" t="inlineStr">
        <is>
          <t>Angel-Backed</t>
        </is>
      </c>
      <c r="M535" s="21" t="n">
        <v>40908.0</v>
      </c>
      <c r="N535" s="22" t="inlineStr">
        <is>
          <t>Seed Round</t>
        </is>
      </c>
      <c r="O535" s="23" t="n">
        <v>0.09</v>
      </c>
      <c r="P535" s="101">
        <f>HYPERLINK("https://my.pitchbook.com?c=95508-82", "View company online")</f>
      </c>
    </row>
    <row r="536">
      <c r="A536" s="25" t="inlineStr">
        <is>
          <t>95340-61</t>
        </is>
      </c>
      <c r="B536" s="26" t="inlineStr">
        <is>
          <t>Typo Innovations</t>
        </is>
      </c>
      <c r="C536" s="27" t="inlineStr">
        <is>
          <t/>
        </is>
      </c>
      <c r="D536" s="28" t="inlineStr">
        <is>
          <t/>
        </is>
      </c>
      <c r="E536" s="29" t="inlineStr">
        <is>
          <t/>
        </is>
      </c>
      <c r="F536" s="30" t="inlineStr">
        <is>
          <t/>
        </is>
      </c>
      <c r="G536" s="31" t="inlineStr">
        <is>
          <t/>
        </is>
      </c>
      <c r="H536" s="32" t="inlineStr">
        <is>
          <t/>
        </is>
      </c>
      <c r="I536" s="33" t="inlineStr">
        <is>
          <t/>
        </is>
      </c>
      <c r="J536" s="34" t="inlineStr">
        <is>
          <t/>
        </is>
      </c>
      <c r="K536" s="35" t="inlineStr">
        <is>
          <t>Privately Held (backing)</t>
        </is>
      </c>
      <c r="L536" s="36" t="inlineStr">
        <is>
          <t>Angel-Backed</t>
        </is>
      </c>
      <c r="M536" s="37" t="n">
        <v>41614.0</v>
      </c>
      <c r="N536" s="38" t="inlineStr">
        <is>
          <t>Seed Round</t>
        </is>
      </c>
      <c r="O536" s="39" t="n">
        <v>1.0</v>
      </c>
      <c r="P536" s="102">
        <f>HYPERLINK("https://my.pitchbook.com?c=95340-61", "View company online")</f>
      </c>
    </row>
    <row r="537">
      <c r="A537" s="9" t="inlineStr">
        <is>
          <t>113244-67</t>
        </is>
      </c>
      <c r="B537" s="10" t="inlineStr">
        <is>
          <t>Type A Machines</t>
        </is>
      </c>
      <c r="C537" s="11" t="inlineStr">
        <is>
          <t/>
        </is>
      </c>
      <c r="D537" s="12" t="inlineStr">
        <is>
          <t/>
        </is>
      </c>
      <c r="E537" s="13" t="inlineStr">
        <is>
          <t/>
        </is>
      </c>
      <c r="F537" s="14" t="inlineStr">
        <is>
          <t/>
        </is>
      </c>
      <c r="G537" s="15" t="inlineStr">
        <is>
          <t/>
        </is>
      </c>
      <c r="H537" s="16" t="inlineStr">
        <is>
          <t/>
        </is>
      </c>
      <c r="I537" s="17" t="inlineStr">
        <is>
          <t/>
        </is>
      </c>
      <c r="J537" s="18" t="inlineStr">
        <is>
          <t/>
        </is>
      </c>
      <c r="K537" s="19" t="inlineStr">
        <is>
          <t>Privately Held (backing)</t>
        </is>
      </c>
      <c r="L537" s="20" t="inlineStr">
        <is>
          <t>Accelerator/Incubator Backed</t>
        </is>
      </c>
      <c r="M537" s="21" t="n">
        <v>41922.0</v>
      </c>
      <c r="N537" s="22" t="inlineStr">
        <is>
          <t>Accelerator/Incubator</t>
        </is>
      </c>
      <c r="O537" s="23" t="inlineStr">
        <is>
          <t/>
        </is>
      </c>
      <c r="P537" s="101">
        <f>HYPERLINK("https://my.pitchbook.com?c=113244-67", "View company online")</f>
      </c>
    </row>
    <row r="538">
      <c r="A538" s="25" t="inlineStr">
        <is>
          <t>104437-09</t>
        </is>
      </c>
      <c r="B538" s="26" t="inlineStr">
        <is>
          <t>TYLT</t>
        </is>
      </c>
      <c r="C538" s="27" t="inlineStr">
        <is>
          <t/>
        </is>
      </c>
      <c r="D538" s="28" t="inlineStr">
        <is>
          <t/>
        </is>
      </c>
      <c r="E538" s="29" t="inlineStr">
        <is>
          <t/>
        </is>
      </c>
      <c r="F538" s="30" t="inlineStr">
        <is>
          <t/>
        </is>
      </c>
      <c r="G538" s="31" t="inlineStr">
        <is>
          <t/>
        </is>
      </c>
      <c r="H538" s="32" t="inlineStr">
        <is>
          <t/>
        </is>
      </c>
      <c r="I538" s="33" t="inlineStr">
        <is>
          <t/>
        </is>
      </c>
      <c r="J538" s="34" t="inlineStr">
        <is>
          <t/>
        </is>
      </c>
      <c r="K538" s="35" t="inlineStr">
        <is>
          <t>Privately Held (backing)</t>
        </is>
      </c>
      <c r="L538" s="36" t="inlineStr">
        <is>
          <t>Angel-Backed</t>
        </is>
      </c>
      <c r="M538" s="37" t="n">
        <v>42426.0</v>
      </c>
      <c r="N538" s="38" t="inlineStr">
        <is>
          <t>Product Crowdfunding</t>
        </is>
      </c>
      <c r="O538" s="39" t="n">
        <v>0.34</v>
      </c>
      <c r="P538" s="102">
        <f>HYPERLINK("https://my.pitchbook.com?c=104437-09", "View company online")</f>
      </c>
    </row>
    <row r="539">
      <c r="A539" s="9" t="inlineStr">
        <is>
          <t>172879-21</t>
        </is>
      </c>
      <c r="B539" s="10" t="inlineStr">
        <is>
          <t>TYDE</t>
        </is>
      </c>
      <c r="C539" s="77">
        <f>HYPERLINK("https://my.pitchbook.com?rrp=172879-21&amp;type=c", "This Company's information is not available to download. Need this Company? Request availability")</f>
      </c>
      <c r="D539" s="12" t="inlineStr">
        <is>
          <t/>
        </is>
      </c>
      <c r="E539" s="13" t="inlineStr">
        <is>
          <t/>
        </is>
      </c>
      <c r="F539" s="14" t="inlineStr">
        <is>
          <t/>
        </is>
      </c>
      <c r="G539" s="15" t="inlineStr">
        <is>
          <t/>
        </is>
      </c>
      <c r="H539" s="16" t="inlineStr">
        <is>
          <t/>
        </is>
      </c>
      <c r="I539" s="17" t="inlineStr">
        <is>
          <t/>
        </is>
      </c>
      <c r="J539" s="18" t="inlineStr">
        <is>
          <t/>
        </is>
      </c>
      <c r="K539" s="19" t="inlineStr">
        <is>
          <t/>
        </is>
      </c>
      <c r="L539" s="20" t="inlineStr">
        <is>
          <t/>
        </is>
      </c>
      <c r="M539" s="21" t="inlineStr">
        <is>
          <t/>
        </is>
      </c>
      <c r="N539" s="22" t="inlineStr">
        <is>
          <t/>
        </is>
      </c>
      <c r="O539" s="23" t="inlineStr">
        <is>
          <t/>
        </is>
      </c>
      <c r="P539" s="24" t="inlineStr">
        <is>
          <t/>
        </is>
      </c>
    </row>
    <row r="540">
      <c r="A540" s="25" t="inlineStr">
        <is>
          <t>174089-89</t>
        </is>
      </c>
      <c r="B540" s="26" t="inlineStr">
        <is>
          <t>TwoWayPay</t>
        </is>
      </c>
      <c r="C540" s="78">
        <f>HYPERLINK("https://my.pitchbook.com?rrp=174089-89&amp;type=c", "This Company's information is not available to download. Need this Company? Request availability")</f>
      </c>
      <c r="D540" s="28" t="inlineStr">
        <is>
          <t/>
        </is>
      </c>
      <c r="E540" s="29" t="inlineStr">
        <is>
          <t/>
        </is>
      </c>
      <c r="F540" s="30" t="inlineStr">
        <is>
          <t/>
        </is>
      </c>
      <c r="G540" s="31" t="inlineStr">
        <is>
          <t/>
        </is>
      </c>
      <c r="H540" s="32" t="inlineStr">
        <is>
          <t/>
        </is>
      </c>
      <c r="I540" s="33" t="inlineStr">
        <is>
          <t/>
        </is>
      </c>
      <c r="J540" s="34" t="inlineStr">
        <is>
          <t/>
        </is>
      </c>
      <c r="K540" s="35" t="inlineStr">
        <is>
          <t/>
        </is>
      </c>
      <c r="L540" s="36" t="inlineStr">
        <is>
          <t/>
        </is>
      </c>
      <c r="M540" s="37" t="inlineStr">
        <is>
          <t/>
        </is>
      </c>
      <c r="N540" s="38" t="inlineStr">
        <is>
          <t/>
        </is>
      </c>
      <c r="O540" s="39" t="inlineStr">
        <is>
          <t/>
        </is>
      </c>
      <c r="P540" s="40" t="inlineStr">
        <is>
          <t/>
        </is>
      </c>
    </row>
    <row r="541">
      <c r="A541" s="9" t="inlineStr">
        <is>
          <t>104206-15</t>
        </is>
      </c>
      <c r="B541" s="10" t="inlineStr">
        <is>
          <t>Twicketer</t>
        </is>
      </c>
      <c r="C541" s="11" t="inlineStr">
        <is>
          <t/>
        </is>
      </c>
      <c r="D541" s="12" t="inlineStr">
        <is>
          <t/>
        </is>
      </c>
      <c r="E541" s="13" t="inlineStr">
        <is>
          <t/>
        </is>
      </c>
      <c r="F541" s="14" t="inlineStr">
        <is>
          <t/>
        </is>
      </c>
      <c r="G541" s="15" t="inlineStr">
        <is>
          <t/>
        </is>
      </c>
      <c r="H541" s="16" t="inlineStr">
        <is>
          <t/>
        </is>
      </c>
      <c r="I541" s="17" t="inlineStr">
        <is>
          <t/>
        </is>
      </c>
      <c r="J541" s="18" t="inlineStr">
        <is>
          <t/>
        </is>
      </c>
      <c r="K541" s="19" t="inlineStr">
        <is>
          <t>Privately Held (backing)</t>
        </is>
      </c>
      <c r="L541" s="20" t="inlineStr">
        <is>
          <t>Accelerator/Incubator Backed</t>
        </is>
      </c>
      <c r="M541" s="21" t="n">
        <v>42050.0</v>
      </c>
      <c r="N541" s="22" t="inlineStr">
        <is>
          <t>Accelerator/Incubator</t>
        </is>
      </c>
      <c r="O541" s="23" t="inlineStr">
        <is>
          <t/>
        </is>
      </c>
      <c r="P541" s="101">
        <f>HYPERLINK("https://my.pitchbook.com?c=104206-15", "View company online")</f>
      </c>
    </row>
    <row r="542">
      <c r="A542" s="25" t="inlineStr">
        <is>
          <t>148659-40</t>
        </is>
      </c>
      <c r="B542" s="26" t="inlineStr">
        <is>
          <t>TwentySeven</t>
        </is>
      </c>
      <c r="C542" s="27" t="inlineStr">
        <is>
          <t/>
        </is>
      </c>
      <c r="D542" s="28" t="inlineStr">
        <is>
          <t/>
        </is>
      </c>
      <c r="E542" s="29" t="inlineStr">
        <is>
          <t/>
        </is>
      </c>
      <c r="F542" s="30" t="inlineStr">
        <is>
          <t/>
        </is>
      </c>
      <c r="G542" s="31" t="inlineStr">
        <is>
          <t/>
        </is>
      </c>
      <c r="H542" s="32" t="inlineStr">
        <is>
          <t/>
        </is>
      </c>
      <c r="I542" s="33" t="inlineStr">
        <is>
          <t/>
        </is>
      </c>
      <c r="J542" s="34" t="inlineStr">
        <is>
          <t/>
        </is>
      </c>
      <c r="K542" s="35" t="inlineStr">
        <is>
          <t>Privately Held (backing)</t>
        </is>
      </c>
      <c r="L542" s="36" t="inlineStr">
        <is>
          <t>Accelerator/Incubator Backed</t>
        </is>
      </c>
      <c r="M542" s="37" t="n">
        <v>42064.0</v>
      </c>
      <c r="N542" s="38" t="inlineStr">
        <is>
          <t>Accelerator/Incubator</t>
        </is>
      </c>
      <c r="O542" s="39" t="n">
        <v>0.01</v>
      </c>
      <c r="P542" s="102">
        <f>HYPERLINK("https://my.pitchbook.com?c=148659-40", "View company online")</f>
      </c>
    </row>
    <row r="543">
      <c r="A543" s="9" t="inlineStr">
        <is>
          <t>119986-30</t>
        </is>
      </c>
      <c r="B543" s="10" t="inlineStr">
        <is>
          <t>TVtibi</t>
        </is>
      </c>
      <c r="C543" s="77">
        <f>HYPERLINK("https://my.pitchbook.com?rrp=119986-30&amp;type=c", "This Company's information is not available to download. Need this Company? Request availability")</f>
      </c>
      <c r="D543" s="12" t="inlineStr">
        <is>
          <t/>
        </is>
      </c>
      <c r="E543" s="13" t="inlineStr">
        <is>
          <t/>
        </is>
      </c>
      <c r="F543" s="14" t="inlineStr">
        <is>
          <t/>
        </is>
      </c>
      <c r="G543" s="15" t="inlineStr">
        <is>
          <t/>
        </is>
      </c>
      <c r="H543" s="16" t="inlineStr">
        <is>
          <t/>
        </is>
      </c>
      <c r="I543" s="17" t="inlineStr">
        <is>
          <t/>
        </is>
      </c>
      <c r="J543" s="18" t="inlineStr">
        <is>
          <t/>
        </is>
      </c>
      <c r="K543" s="19" t="inlineStr">
        <is>
          <t/>
        </is>
      </c>
      <c r="L543" s="20" t="inlineStr">
        <is>
          <t/>
        </is>
      </c>
      <c r="M543" s="21" t="inlineStr">
        <is>
          <t/>
        </is>
      </c>
      <c r="N543" s="22" t="inlineStr">
        <is>
          <t/>
        </is>
      </c>
      <c r="O543" s="23" t="inlineStr">
        <is>
          <t/>
        </is>
      </c>
      <c r="P543" s="24" t="inlineStr">
        <is>
          <t/>
        </is>
      </c>
    </row>
    <row r="544">
      <c r="A544" s="25" t="inlineStr">
        <is>
          <t>95625-01</t>
        </is>
      </c>
      <c r="B544" s="26" t="inlineStr">
        <is>
          <t>TVPage</t>
        </is>
      </c>
      <c r="C544" s="27" t="inlineStr">
        <is>
          <t/>
        </is>
      </c>
      <c r="D544" s="28" t="inlineStr">
        <is>
          <t/>
        </is>
      </c>
      <c r="E544" s="29" t="inlineStr">
        <is>
          <t/>
        </is>
      </c>
      <c r="F544" s="30" t="inlineStr">
        <is>
          <t/>
        </is>
      </c>
      <c r="G544" s="31" t="inlineStr">
        <is>
          <t/>
        </is>
      </c>
      <c r="H544" s="32" t="inlineStr">
        <is>
          <t/>
        </is>
      </c>
      <c r="I544" s="33" t="inlineStr">
        <is>
          <t/>
        </is>
      </c>
      <c r="J544" s="34" t="inlineStr">
        <is>
          <t/>
        </is>
      </c>
      <c r="K544" s="35" t="inlineStr">
        <is>
          <t>Privately Held (backing)</t>
        </is>
      </c>
      <c r="L544" s="36" t="inlineStr">
        <is>
          <t>Angel-Backed</t>
        </is>
      </c>
      <c r="M544" s="37" t="n">
        <v>42816.0</v>
      </c>
      <c r="N544" s="38" t="inlineStr">
        <is>
          <t>Angel (individual)</t>
        </is>
      </c>
      <c r="O544" s="39" t="n">
        <v>3.0</v>
      </c>
      <c r="P544" s="102">
        <f>HYPERLINK("https://my.pitchbook.com?c=95625-01", "View company online")</f>
      </c>
    </row>
    <row r="545">
      <c r="A545" s="9" t="inlineStr">
        <is>
          <t>91243-81</t>
        </is>
      </c>
      <c r="B545" s="10" t="inlineStr">
        <is>
          <t>Tvoop</t>
        </is>
      </c>
      <c r="C545" s="11" t="inlineStr">
        <is>
          <t/>
        </is>
      </c>
      <c r="D545" s="12" t="inlineStr">
        <is>
          <t/>
        </is>
      </c>
      <c r="E545" s="13" t="inlineStr">
        <is>
          <t/>
        </is>
      </c>
      <c r="F545" s="14" t="inlineStr">
        <is>
          <t/>
        </is>
      </c>
      <c r="G545" s="15" t="inlineStr">
        <is>
          <t/>
        </is>
      </c>
      <c r="H545" s="16" t="inlineStr">
        <is>
          <t/>
        </is>
      </c>
      <c r="I545" s="17" t="inlineStr">
        <is>
          <t/>
        </is>
      </c>
      <c r="J545" s="18" t="inlineStr">
        <is>
          <t/>
        </is>
      </c>
      <c r="K545" s="19" t="inlineStr">
        <is>
          <t>Privately Held (backing)</t>
        </is>
      </c>
      <c r="L545" s="20" t="inlineStr">
        <is>
          <t>Angel-Backed</t>
        </is>
      </c>
      <c r="M545" s="21" t="n">
        <v>39814.0</v>
      </c>
      <c r="N545" s="22" t="inlineStr">
        <is>
          <t>Seed Round</t>
        </is>
      </c>
      <c r="O545" s="23" t="n">
        <v>0.3</v>
      </c>
      <c r="P545" s="101">
        <f>HYPERLINK("https://my.pitchbook.com?c=91243-81", "View company online")</f>
      </c>
    </row>
    <row r="546">
      <c r="A546" s="25" t="inlineStr">
        <is>
          <t>103392-91</t>
        </is>
      </c>
      <c r="B546" s="26" t="inlineStr">
        <is>
          <t>TVlize</t>
        </is>
      </c>
      <c r="C546" s="78">
        <f>HYPERLINK("https://my.pitchbook.com?rrp=103392-91&amp;type=c", "This Company's information is not available to download. Need this Company? Request availability")</f>
      </c>
      <c r="D546" s="28" t="inlineStr">
        <is>
          <t/>
        </is>
      </c>
      <c r="E546" s="29" t="inlineStr">
        <is>
          <t/>
        </is>
      </c>
      <c r="F546" s="30" t="inlineStr">
        <is>
          <t/>
        </is>
      </c>
      <c r="G546" s="31" t="inlineStr">
        <is>
          <t/>
        </is>
      </c>
      <c r="H546" s="32" t="inlineStr">
        <is>
          <t/>
        </is>
      </c>
      <c r="I546" s="33" t="inlineStr">
        <is>
          <t/>
        </is>
      </c>
      <c r="J546" s="34" t="inlineStr">
        <is>
          <t/>
        </is>
      </c>
      <c r="K546" s="35" t="inlineStr">
        <is>
          <t/>
        </is>
      </c>
      <c r="L546" s="36" t="inlineStr">
        <is>
          <t/>
        </is>
      </c>
      <c r="M546" s="37" t="inlineStr">
        <is>
          <t/>
        </is>
      </c>
      <c r="N546" s="38" t="inlineStr">
        <is>
          <t/>
        </is>
      </c>
      <c r="O546" s="39" t="inlineStr">
        <is>
          <t/>
        </is>
      </c>
      <c r="P546" s="40" t="inlineStr">
        <is>
          <t/>
        </is>
      </c>
    </row>
    <row r="547">
      <c r="A547" s="9" t="inlineStr">
        <is>
          <t>89272-54</t>
        </is>
      </c>
      <c r="B547" s="10" t="inlineStr">
        <is>
          <t>TV TubeX</t>
        </is>
      </c>
      <c r="C547" s="11" t="inlineStr">
        <is>
          <t/>
        </is>
      </c>
      <c r="D547" s="12" t="inlineStr">
        <is>
          <t/>
        </is>
      </c>
      <c r="E547" s="13" t="inlineStr">
        <is>
          <t/>
        </is>
      </c>
      <c r="F547" s="14" t="inlineStr">
        <is>
          <t/>
        </is>
      </c>
      <c r="G547" s="15" t="inlineStr">
        <is>
          <t/>
        </is>
      </c>
      <c r="H547" s="16" t="inlineStr">
        <is>
          <t/>
        </is>
      </c>
      <c r="I547" s="17" t="inlineStr">
        <is>
          <t/>
        </is>
      </c>
      <c r="J547" s="18" t="inlineStr">
        <is>
          <t/>
        </is>
      </c>
      <c r="K547" s="19" t="inlineStr">
        <is>
          <t>Privately Held (backing)</t>
        </is>
      </c>
      <c r="L547" s="20" t="inlineStr">
        <is>
          <t>Angel-Backed</t>
        </is>
      </c>
      <c r="M547" s="21" t="n">
        <v>38353.0</v>
      </c>
      <c r="N547" s="22" t="inlineStr">
        <is>
          <t>Seed Round</t>
        </is>
      </c>
      <c r="O547" s="23" t="n">
        <v>0.01</v>
      </c>
      <c r="P547" s="101">
        <f>HYPERLINK("https://my.pitchbook.com?c=89272-54", "View company online")</f>
      </c>
    </row>
    <row r="548">
      <c r="A548" s="25" t="inlineStr">
        <is>
          <t>117493-48</t>
        </is>
      </c>
      <c r="B548" s="26" t="inlineStr">
        <is>
          <t>TutorSync</t>
        </is>
      </c>
      <c r="C548" s="27" t="inlineStr">
        <is>
          <t/>
        </is>
      </c>
      <c r="D548" s="28" t="inlineStr">
        <is>
          <t/>
        </is>
      </c>
      <c r="E548" s="29" t="inlineStr">
        <is>
          <t/>
        </is>
      </c>
      <c r="F548" s="30" t="inlineStr">
        <is>
          <t/>
        </is>
      </c>
      <c r="G548" s="31" t="inlineStr">
        <is>
          <t/>
        </is>
      </c>
      <c r="H548" s="32" t="inlineStr">
        <is>
          <t/>
        </is>
      </c>
      <c r="I548" s="33" t="inlineStr">
        <is>
          <t/>
        </is>
      </c>
      <c r="J548" s="34" t="inlineStr">
        <is>
          <t/>
        </is>
      </c>
      <c r="K548" s="35" t="inlineStr">
        <is>
          <t>Privately Held (backing)</t>
        </is>
      </c>
      <c r="L548" s="36" t="inlineStr">
        <is>
          <t>Accelerator/Incubator Backed</t>
        </is>
      </c>
      <c r="M548" s="37" t="n">
        <v>42036.0</v>
      </c>
      <c r="N548" s="38" t="inlineStr">
        <is>
          <t>Angel (individual)</t>
        </is>
      </c>
      <c r="O548" s="39" t="inlineStr">
        <is>
          <t/>
        </is>
      </c>
      <c r="P548" s="102">
        <f>HYPERLINK("https://my.pitchbook.com?c=117493-48", "View company online")</f>
      </c>
    </row>
    <row r="549">
      <c r="A549" s="9" t="inlineStr">
        <is>
          <t>117809-20</t>
        </is>
      </c>
      <c r="B549" s="10" t="inlineStr">
        <is>
          <t>TutorMe.com</t>
        </is>
      </c>
      <c r="C549" s="77">
        <f>HYPERLINK("https://my.pitchbook.com?rrp=117809-20&amp;type=c", "This Company's information is not available to download. Need this Company? Request availability")</f>
      </c>
      <c r="D549" s="12" t="inlineStr">
        <is>
          <t/>
        </is>
      </c>
      <c r="E549" s="13" t="inlineStr">
        <is>
          <t/>
        </is>
      </c>
      <c r="F549" s="14" t="inlineStr">
        <is>
          <t/>
        </is>
      </c>
      <c r="G549" s="15" t="inlineStr">
        <is>
          <t/>
        </is>
      </c>
      <c r="H549" s="16" t="inlineStr">
        <is>
          <t/>
        </is>
      </c>
      <c r="I549" s="17" t="inlineStr">
        <is>
          <t/>
        </is>
      </c>
      <c r="J549" s="18" t="inlineStr">
        <is>
          <t/>
        </is>
      </c>
      <c r="K549" s="19" t="inlineStr">
        <is>
          <t/>
        </is>
      </c>
      <c r="L549" s="20" t="inlineStr">
        <is>
          <t/>
        </is>
      </c>
      <c r="M549" s="21" t="inlineStr">
        <is>
          <t/>
        </is>
      </c>
      <c r="N549" s="22" t="inlineStr">
        <is>
          <t/>
        </is>
      </c>
      <c r="O549" s="23" t="inlineStr">
        <is>
          <t/>
        </is>
      </c>
      <c r="P549" s="24" t="inlineStr">
        <is>
          <t/>
        </is>
      </c>
    </row>
    <row r="550">
      <c r="A550" s="25" t="inlineStr">
        <is>
          <t>119355-22</t>
        </is>
      </c>
      <c r="B550" s="26" t="inlineStr">
        <is>
          <t>TuSimple</t>
        </is>
      </c>
      <c r="C550" s="27" t="inlineStr">
        <is>
          <t/>
        </is>
      </c>
      <c r="D550" s="28" t="inlineStr">
        <is>
          <t/>
        </is>
      </c>
      <c r="E550" s="29" t="inlineStr">
        <is>
          <t/>
        </is>
      </c>
      <c r="F550" s="30" t="inlineStr">
        <is>
          <t/>
        </is>
      </c>
      <c r="G550" s="31" t="inlineStr">
        <is>
          <t/>
        </is>
      </c>
      <c r="H550" s="32" t="inlineStr">
        <is>
          <t/>
        </is>
      </c>
      <c r="I550" s="33" t="inlineStr">
        <is>
          <t/>
        </is>
      </c>
      <c r="J550" s="34" t="inlineStr">
        <is>
          <t/>
        </is>
      </c>
      <c r="K550" s="35" t="inlineStr">
        <is>
          <t>Privately Held (backing)</t>
        </is>
      </c>
      <c r="L550" s="36" t="inlineStr">
        <is>
          <t>Accelerator/Incubator Backed</t>
        </is>
      </c>
      <c r="M550" s="37" t="n">
        <v>42028.0</v>
      </c>
      <c r="N550" s="38" t="inlineStr">
        <is>
          <t>Accelerator/Incubator</t>
        </is>
      </c>
      <c r="O550" s="39" t="inlineStr">
        <is>
          <t/>
        </is>
      </c>
      <c r="P550" s="102">
        <f>HYPERLINK("https://my.pitchbook.com?c=119355-22", "View company online")</f>
      </c>
    </row>
    <row r="551">
      <c r="A551" s="9" t="inlineStr">
        <is>
          <t>174641-23</t>
        </is>
      </c>
      <c r="B551" s="10" t="inlineStr">
        <is>
          <t>Turtle Creek Apparel</t>
        </is>
      </c>
      <c r="C551" s="77">
        <f>HYPERLINK("https://my.pitchbook.com?rrp=174641-23&amp;type=c", "This Company's information is not available to download. Need this Company? Request availability")</f>
      </c>
      <c r="D551" s="12" t="inlineStr">
        <is>
          <t/>
        </is>
      </c>
      <c r="E551" s="13" t="inlineStr">
        <is>
          <t/>
        </is>
      </c>
      <c r="F551" s="14" t="inlineStr">
        <is>
          <t/>
        </is>
      </c>
      <c r="G551" s="15" t="inlineStr">
        <is>
          <t/>
        </is>
      </c>
      <c r="H551" s="16" t="inlineStr">
        <is>
          <t/>
        </is>
      </c>
      <c r="I551" s="17" t="inlineStr">
        <is>
          <t/>
        </is>
      </c>
      <c r="J551" s="18" t="inlineStr">
        <is>
          <t/>
        </is>
      </c>
      <c r="K551" s="19" t="inlineStr">
        <is>
          <t/>
        </is>
      </c>
      <c r="L551" s="20" t="inlineStr">
        <is>
          <t/>
        </is>
      </c>
      <c r="M551" s="21" t="inlineStr">
        <is>
          <t/>
        </is>
      </c>
      <c r="N551" s="22" t="inlineStr">
        <is>
          <t/>
        </is>
      </c>
      <c r="O551" s="23" t="inlineStr">
        <is>
          <t/>
        </is>
      </c>
      <c r="P551" s="24" t="inlineStr">
        <is>
          <t/>
        </is>
      </c>
    </row>
    <row r="552">
      <c r="A552" s="25" t="inlineStr">
        <is>
          <t>170730-91</t>
        </is>
      </c>
      <c r="B552" s="26" t="inlineStr">
        <is>
          <t>Turnoutt</t>
        </is>
      </c>
      <c r="C552" s="27" t="inlineStr">
        <is>
          <t/>
        </is>
      </c>
      <c r="D552" s="28" t="inlineStr">
        <is>
          <t/>
        </is>
      </c>
      <c r="E552" s="29" t="inlineStr">
        <is>
          <t/>
        </is>
      </c>
      <c r="F552" s="30" t="inlineStr">
        <is>
          <t/>
        </is>
      </c>
      <c r="G552" s="31" t="inlineStr">
        <is>
          <t/>
        </is>
      </c>
      <c r="H552" s="32" t="inlineStr">
        <is>
          <t/>
        </is>
      </c>
      <c r="I552" s="33" t="inlineStr">
        <is>
          <t/>
        </is>
      </c>
      <c r="J552" s="34" t="inlineStr">
        <is>
          <t/>
        </is>
      </c>
      <c r="K552" s="35" t="inlineStr">
        <is>
          <t>Privately Held (backing)</t>
        </is>
      </c>
      <c r="L552" s="36" t="inlineStr">
        <is>
          <t>Angel-Backed</t>
        </is>
      </c>
      <c r="M552" s="37" t="inlineStr">
        <is>
          <t/>
        </is>
      </c>
      <c r="N552" s="38" t="inlineStr">
        <is>
          <t>Angel (individual)</t>
        </is>
      </c>
      <c r="O552" s="39" t="n">
        <v>0.75</v>
      </c>
      <c r="P552" s="102">
        <f>HYPERLINK("https://my.pitchbook.com?c=170730-91", "View company online")</f>
      </c>
    </row>
    <row r="553">
      <c r="A553" s="9" t="inlineStr">
        <is>
          <t>148076-83</t>
        </is>
      </c>
      <c r="B553" s="10" t="inlineStr">
        <is>
          <t>Turing Technology</t>
        </is>
      </c>
      <c r="C553" s="11" t="inlineStr">
        <is>
          <t/>
        </is>
      </c>
      <c r="D553" s="12" t="inlineStr">
        <is>
          <t/>
        </is>
      </c>
      <c r="E553" s="13" t="inlineStr">
        <is>
          <t/>
        </is>
      </c>
      <c r="F553" s="14" t="inlineStr">
        <is>
          <t/>
        </is>
      </c>
      <c r="G553" s="15" t="inlineStr">
        <is>
          <t/>
        </is>
      </c>
      <c r="H553" s="16" t="inlineStr">
        <is>
          <t/>
        </is>
      </c>
      <c r="I553" s="17" t="inlineStr">
        <is>
          <t/>
        </is>
      </c>
      <c r="J553" s="18" t="inlineStr">
        <is>
          <t/>
        </is>
      </c>
      <c r="K553" s="19" t="inlineStr">
        <is>
          <t>Privately Held (backing)</t>
        </is>
      </c>
      <c r="L553" s="20" t="inlineStr">
        <is>
          <t>Angel-Backed</t>
        </is>
      </c>
      <c r="M553" s="21" t="n">
        <v>42118.0</v>
      </c>
      <c r="N553" s="22" t="inlineStr">
        <is>
          <t>Seed Round</t>
        </is>
      </c>
      <c r="O553" s="23" t="n">
        <v>0.36</v>
      </c>
      <c r="P553" s="101">
        <f>HYPERLINK("https://my.pitchbook.com?c=148076-83", "View company online")</f>
      </c>
    </row>
    <row r="554">
      <c r="A554" s="25" t="inlineStr">
        <is>
          <t>150959-80</t>
        </is>
      </c>
      <c r="B554" s="26" t="inlineStr">
        <is>
          <t>Tunesmap</t>
        </is>
      </c>
      <c r="C554" s="27" t="inlineStr">
        <is>
          <t/>
        </is>
      </c>
      <c r="D554" s="28" t="inlineStr">
        <is>
          <t/>
        </is>
      </c>
      <c r="E554" s="29" t="inlineStr">
        <is>
          <t/>
        </is>
      </c>
      <c r="F554" s="30" t="inlineStr">
        <is>
          <t/>
        </is>
      </c>
      <c r="G554" s="31" t="inlineStr">
        <is>
          <t/>
        </is>
      </c>
      <c r="H554" s="32" t="inlineStr">
        <is>
          <t/>
        </is>
      </c>
      <c r="I554" s="33" t="inlineStr">
        <is>
          <t/>
        </is>
      </c>
      <c r="J554" s="34" t="inlineStr">
        <is>
          <t/>
        </is>
      </c>
      <c r="K554" s="35" t="inlineStr">
        <is>
          <t>Privately Held (backing)</t>
        </is>
      </c>
      <c r="L554" s="36" t="inlineStr">
        <is>
          <t>Angel-Backed</t>
        </is>
      </c>
      <c r="M554" s="37" t="n">
        <v>42375.0</v>
      </c>
      <c r="N554" s="38" t="inlineStr">
        <is>
          <t>Angel (individual)</t>
        </is>
      </c>
      <c r="O554" s="39" t="n">
        <v>2.5</v>
      </c>
      <c r="P554" s="102">
        <f>HYPERLINK("https://my.pitchbook.com?c=150959-80", "View company online")</f>
      </c>
    </row>
    <row r="555">
      <c r="A555" s="9" t="inlineStr">
        <is>
          <t>176317-30</t>
        </is>
      </c>
      <c r="B555" s="10" t="inlineStr">
        <is>
          <t>TuMee</t>
        </is>
      </c>
      <c r="C555" s="77">
        <f>HYPERLINK("https://my.pitchbook.com?rrp=176317-30&amp;type=c", "This Company's information is not available to download. Need this Company? Request availability")</f>
      </c>
      <c r="D555" s="12" t="inlineStr">
        <is>
          <t/>
        </is>
      </c>
      <c r="E555" s="13" t="inlineStr">
        <is>
          <t/>
        </is>
      </c>
      <c r="F555" s="14" t="inlineStr">
        <is>
          <t/>
        </is>
      </c>
      <c r="G555" s="15" t="inlineStr">
        <is>
          <t/>
        </is>
      </c>
      <c r="H555" s="16" t="inlineStr">
        <is>
          <t/>
        </is>
      </c>
      <c r="I555" s="17" t="inlineStr">
        <is>
          <t/>
        </is>
      </c>
      <c r="J555" s="18" t="inlineStr">
        <is>
          <t/>
        </is>
      </c>
      <c r="K555" s="19" t="inlineStr">
        <is>
          <t/>
        </is>
      </c>
      <c r="L555" s="20" t="inlineStr">
        <is>
          <t/>
        </is>
      </c>
      <c r="M555" s="21" t="inlineStr">
        <is>
          <t/>
        </is>
      </c>
      <c r="N555" s="22" t="inlineStr">
        <is>
          <t/>
        </is>
      </c>
      <c r="O555" s="23" t="inlineStr">
        <is>
          <t/>
        </is>
      </c>
      <c r="P555" s="24" t="inlineStr">
        <is>
          <t/>
        </is>
      </c>
    </row>
    <row r="556">
      <c r="A556" s="25" t="inlineStr">
        <is>
          <t>161636-23</t>
        </is>
      </c>
      <c r="B556" s="26" t="inlineStr">
        <is>
          <t>Tueo Health</t>
        </is>
      </c>
      <c r="C556" s="27" t="inlineStr">
        <is>
          <t/>
        </is>
      </c>
      <c r="D556" s="28" t="inlineStr">
        <is>
          <t/>
        </is>
      </c>
      <c r="E556" s="29" t="inlineStr">
        <is>
          <t/>
        </is>
      </c>
      <c r="F556" s="30" t="inlineStr">
        <is>
          <t/>
        </is>
      </c>
      <c r="G556" s="31" t="inlineStr">
        <is>
          <t/>
        </is>
      </c>
      <c r="H556" s="32" t="inlineStr">
        <is>
          <t/>
        </is>
      </c>
      <c r="I556" s="33" t="inlineStr">
        <is>
          <t/>
        </is>
      </c>
      <c r="J556" s="34" t="inlineStr">
        <is>
          <t/>
        </is>
      </c>
      <c r="K556" s="35" t="inlineStr">
        <is>
          <t>Privately Held (backing)</t>
        </is>
      </c>
      <c r="L556" s="36" t="inlineStr">
        <is>
          <t>Accelerator/Incubator Backed</t>
        </is>
      </c>
      <c r="M556" s="37" t="n">
        <v>42795.0</v>
      </c>
      <c r="N556" s="38" t="inlineStr">
        <is>
          <t>Accelerator/Incubator</t>
        </is>
      </c>
      <c r="O556" s="39" t="inlineStr">
        <is>
          <t/>
        </is>
      </c>
      <c r="P556" s="102">
        <f>HYPERLINK("https://my.pitchbook.com?c=161636-23", "View company online")</f>
      </c>
    </row>
    <row r="557">
      <c r="A557" s="9" t="inlineStr">
        <is>
          <t>93119-32</t>
        </is>
      </c>
      <c r="B557" s="10" t="inlineStr">
        <is>
          <t>Tuebora</t>
        </is>
      </c>
      <c r="C557" s="11" t="inlineStr">
        <is>
          <t/>
        </is>
      </c>
      <c r="D557" s="12" t="inlineStr">
        <is>
          <t/>
        </is>
      </c>
      <c r="E557" s="13" t="inlineStr">
        <is>
          <t/>
        </is>
      </c>
      <c r="F557" s="14" t="inlineStr">
        <is>
          <t/>
        </is>
      </c>
      <c r="G557" s="15" t="inlineStr">
        <is>
          <t/>
        </is>
      </c>
      <c r="H557" s="16" t="inlineStr">
        <is>
          <t/>
        </is>
      </c>
      <c r="I557" s="17" t="inlineStr">
        <is>
          <t/>
        </is>
      </c>
      <c r="J557" s="18" t="inlineStr">
        <is>
          <t/>
        </is>
      </c>
      <c r="K557" s="19" t="inlineStr">
        <is>
          <t>Privately Held (backing)</t>
        </is>
      </c>
      <c r="L557" s="20" t="inlineStr">
        <is>
          <t>Accelerator/Incubator Backed</t>
        </is>
      </c>
      <c r="M557" s="21" t="n">
        <v>41338.0</v>
      </c>
      <c r="N557" s="22" t="inlineStr">
        <is>
          <t>Accelerator/Incubator</t>
        </is>
      </c>
      <c r="O557" s="23" t="n">
        <v>0.25</v>
      </c>
      <c r="P557" s="101">
        <f>HYPERLINK("https://my.pitchbook.com?c=93119-32", "View company online")</f>
      </c>
    </row>
    <row r="558">
      <c r="A558" s="25" t="inlineStr">
        <is>
          <t>158245-93</t>
        </is>
      </c>
      <c r="B558" s="26" t="inlineStr">
        <is>
          <t>Tudott</t>
        </is>
      </c>
      <c r="C558" s="27" t="inlineStr">
        <is>
          <t/>
        </is>
      </c>
      <c r="D558" s="28" t="inlineStr">
        <is>
          <t/>
        </is>
      </c>
      <c r="E558" s="29" t="inlineStr">
        <is>
          <t/>
        </is>
      </c>
      <c r="F558" s="30" t="inlineStr">
        <is>
          <t/>
        </is>
      </c>
      <c r="G558" s="31" t="inlineStr">
        <is>
          <t/>
        </is>
      </c>
      <c r="H558" s="32" t="inlineStr">
        <is>
          <t/>
        </is>
      </c>
      <c r="I558" s="33" t="inlineStr">
        <is>
          <t/>
        </is>
      </c>
      <c r="J558" s="34" t="inlineStr">
        <is>
          <t/>
        </is>
      </c>
      <c r="K558" s="35" t="inlineStr">
        <is>
          <t>Privately Held (backing)</t>
        </is>
      </c>
      <c r="L558" s="36" t="inlineStr">
        <is>
          <t>Angel-Backed</t>
        </is>
      </c>
      <c r="M558" s="37" t="n">
        <v>42491.0</v>
      </c>
      <c r="N558" s="38" t="inlineStr">
        <is>
          <t>Angel (individual)</t>
        </is>
      </c>
      <c r="O558" s="39" t="n">
        <v>0.3</v>
      </c>
      <c r="P558" s="102">
        <f>HYPERLINK("https://my.pitchbook.com?c=158245-93", "View company online")</f>
      </c>
    </row>
    <row r="559">
      <c r="A559" s="9" t="inlineStr">
        <is>
          <t>95500-09</t>
        </is>
      </c>
      <c r="B559" s="10" t="inlineStr">
        <is>
          <t>TubeStart</t>
        </is>
      </c>
      <c r="C559" s="11" t="inlineStr">
        <is>
          <t/>
        </is>
      </c>
      <c r="D559" s="12" t="inlineStr">
        <is>
          <t/>
        </is>
      </c>
      <c r="E559" s="13" t="inlineStr">
        <is>
          <t/>
        </is>
      </c>
      <c r="F559" s="14" t="inlineStr">
        <is>
          <t/>
        </is>
      </c>
      <c r="G559" s="15" t="inlineStr">
        <is>
          <t/>
        </is>
      </c>
      <c r="H559" s="16" t="inlineStr">
        <is>
          <t/>
        </is>
      </c>
      <c r="I559" s="17" t="inlineStr">
        <is>
          <t/>
        </is>
      </c>
      <c r="J559" s="18" t="inlineStr">
        <is>
          <t/>
        </is>
      </c>
      <c r="K559" s="19" t="inlineStr">
        <is>
          <t>Privately Held (backing)</t>
        </is>
      </c>
      <c r="L559" s="20" t="inlineStr">
        <is>
          <t>Angel-Backed</t>
        </is>
      </c>
      <c r="M559" s="21" t="n">
        <v>41428.0</v>
      </c>
      <c r="N559" s="22" t="inlineStr">
        <is>
          <t>Seed Round</t>
        </is>
      </c>
      <c r="O559" s="23" t="n">
        <v>0.6</v>
      </c>
      <c r="P559" s="101">
        <f>HYPERLINK("https://my.pitchbook.com?c=95500-09", "View company online")</f>
      </c>
    </row>
    <row r="560">
      <c r="A560" s="25" t="inlineStr">
        <is>
          <t>109407-79</t>
        </is>
      </c>
      <c r="B560" s="26" t="inlineStr">
        <is>
          <t>TubeScience</t>
        </is>
      </c>
      <c r="C560" s="27" t="inlineStr">
        <is>
          <t/>
        </is>
      </c>
      <c r="D560" s="28" t="inlineStr">
        <is>
          <t/>
        </is>
      </c>
      <c r="E560" s="29" t="inlineStr">
        <is>
          <t/>
        </is>
      </c>
      <c r="F560" s="30" t="inlineStr">
        <is>
          <t/>
        </is>
      </c>
      <c r="G560" s="31" t="inlineStr">
        <is>
          <t/>
        </is>
      </c>
      <c r="H560" s="32" t="inlineStr">
        <is>
          <t/>
        </is>
      </c>
      <c r="I560" s="33" t="inlineStr">
        <is>
          <t/>
        </is>
      </c>
      <c r="J560" s="34" t="inlineStr">
        <is>
          <t/>
        </is>
      </c>
      <c r="K560" s="35" t="inlineStr">
        <is>
          <t>Privately Held (backing)</t>
        </is>
      </c>
      <c r="L560" s="36" t="inlineStr">
        <is>
          <t>Accelerator/Incubator Backed</t>
        </is>
      </c>
      <c r="M560" s="37" t="n">
        <v>42059.0</v>
      </c>
      <c r="N560" s="38" t="inlineStr">
        <is>
          <t>Accelerator/Incubator</t>
        </is>
      </c>
      <c r="O560" s="39" t="inlineStr">
        <is>
          <t/>
        </is>
      </c>
      <c r="P560" s="102">
        <f>HYPERLINK("https://my.pitchbook.com?c=109407-79", "View company online")</f>
      </c>
    </row>
    <row r="561">
      <c r="A561" s="9" t="inlineStr">
        <is>
          <t>169747-84</t>
        </is>
      </c>
      <c r="B561" s="10" t="inlineStr">
        <is>
          <t>Tsunami VR</t>
        </is>
      </c>
      <c r="C561" s="11" t="inlineStr">
        <is>
          <t/>
        </is>
      </c>
      <c r="D561" s="12" t="inlineStr">
        <is>
          <t/>
        </is>
      </c>
      <c r="E561" s="13" t="inlineStr">
        <is>
          <t/>
        </is>
      </c>
      <c r="F561" s="14" t="inlineStr">
        <is>
          <t/>
        </is>
      </c>
      <c r="G561" s="15" t="inlineStr">
        <is>
          <t/>
        </is>
      </c>
      <c r="H561" s="16" t="inlineStr">
        <is>
          <t/>
        </is>
      </c>
      <c r="I561" s="17" t="inlineStr">
        <is>
          <t/>
        </is>
      </c>
      <c r="J561" s="18" t="inlineStr">
        <is>
          <t/>
        </is>
      </c>
      <c r="K561" s="19" t="inlineStr">
        <is>
          <t>Privately Held (backing)</t>
        </is>
      </c>
      <c r="L561" s="20" t="inlineStr">
        <is>
          <t>Angel-Backed</t>
        </is>
      </c>
      <c r="M561" s="21" t="n">
        <v>42767.0</v>
      </c>
      <c r="N561" s="22" t="inlineStr">
        <is>
          <t>Angel (individual)</t>
        </is>
      </c>
      <c r="O561" s="23" t="n">
        <v>4.39</v>
      </c>
      <c r="P561" s="101">
        <f>HYPERLINK("https://my.pitchbook.com?c=169747-84", "View company online")</f>
      </c>
    </row>
    <row r="562">
      <c r="A562" s="25" t="inlineStr">
        <is>
          <t>89238-16</t>
        </is>
      </c>
      <c r="B562" s="26" t="inlineStr">
        <is>
          <t>TSN Advertising</t>
        </is>
      </c>
      <c r="C562" s="27" t="inlineStr">
        <is>
          <t/>
        </is>
      </c>
      <c r="D562" s="28" t="inlineStr">
        <is>
          <t/>
        </is>
      </c>
      <c r="E562" s="29" t="inlineStr">
        <is>
          <t/>
        </is>
      </c>
      <c r="F562" s="30" t="inlineStr">
        <is>
          <t/>
        </is>
      </c>
      <c r="G562" s="31" t="inlineStr">
        <is>
          <t/>
        </is>
      </c>
      <c r="H562" s="32" t="inlineStr">
        <is>
          <t/>
        </is>
      </c>
      <c r="I562" s="33" t="inlineStr">
        <is>
          <t/>
        </is>
      </c>
      <c r="J562" s="34" t="inlineStr">
        <is>
          <t/>
        </is>
      </c>
      <c r="K562" s="35" t="inlineStr">
        <is>
          <t>Privately Held (backing)</t>
        </is>
      </c>
      <c r="L562" s="36" t="inlineStr">
        <is>
          <t>Accelerator/Incubator Backed</t>
        </is>
      </c>
      <c r="M562" s="37" t="inlineStr">
        <is>
          <t/>
        </is>
      </c>
      <c r="N562" s="38" t="inlineStr">
        <is>
          <t>Accelerator/Incubator</t>
        </is>
      </c>
      <c r="O562" s="39" t="inlineStr">
        <is>
          <t/>
        </is>
      </c>
      <c r="P562" s="102">
        <f>HYPERLINK("https://my.pitchbook.com?c=89238-16", "View company online")</f>
      </c>
    </row>
    <row r="563">
      <c r="A563" s="9" t="inlineStr">
        <is>
          <t>89237-89</t>
        </is>
      </c>
      <c r="B563" s="10" t="inlineStr">
        <is>
          <t>TSG Solutions</t>
        </is>
      </c>
      <c r="C563" s="11" t="inlineStr">
        <is>
          <t/>
        </is>
      </c>
      <c r="D563" s="12" t="inlineStr">
        <is>
          <t/>
        </is>
      </c>
      <c r="E563" s="13" t="inlineStr">
        <is>
          <t/>
        </is>
      </c>
      <c r="F563" s="14" t="inlineStr">
        <is>
          <t/>
        </is>
      </c>
      <c r="G563" s="15" t="inlineStr">
        <is>
          <t/>
        </is>
      </c>
      <c r="H563" s="16" t="inlineStr">
        <is>
          <t/>
        </is>
      </c>
      <c r="I563" s="17" t="inlineStr">
        <is>
          <t/>
        </is>
      </c>
      <c r="J563" s="18" t="inlineStr">
        <is>
          <t/>
        </is>
      </c>
      <c r="K563" s="19" t="inlineStr">
        <is>
          <t>Privately Held (backing)</t>
        </is>
      </c>
      <c r="L563" s="20" t="inlineStr">
        <is>
          <t>Angel-Backed</t>
        </is>
      </c>
      <c r="M563" s="21" t="n">
        <v>42186.0</v>
      </c>
      <c r="N563" s="22" t="inlineStr">
        <is>
          <t>Angel (individual)</t>
        </is>
      </c>
      <c r="O563" s="23" t="n">
        <v>0.05</v>
      </c>
      <c r="P563" s="101">
        <f>HYPERLINK("https://my.pitchbook.com?c=89237-89", "View company online")</f>
      </c>
    </row>
    <row r="564">
      <c r="A564" s="25" t="inlineStr">
        <is>
          <t>129273-22</t>
        </is>
      </c>
      <c r="B564" s="26" t="inlineStr">
        <is>
          <t>TryThisFirst</t>
        </is>
      </c>
      <c r="C564" s="27" t="inlineStr">
        <is>
          <t/>
        </is>
      </c>
      <c r="D564" s="28" t="inlineStr">
        <is>
          <t/>
        </is>
      </c>
      <c r="E564" s="29" t="inlineStr">
        <is>
          <t/>
        </is>
      </c>
      <c r="F564" s="30" t="inlineStr">
        <is>
          <t/>
        </is>
      </c>
      <c r="G564" s="31" t="inlineStr">
        <is>
          <t/>
        </is>
      </c>
      <c r="H564" s="32" t="inlineStr">
        <is>
          <t/>
        </is>
      </c>
      <c r="I564" s="33" t="inlineStr">
        <is>
          <t/>
        </is>
      </c>
      <c r="J564" s="34" t="inlineStr">
        <is>
          <t/>
        </is>
      </c>
      <c r="K564" s="35" t="inlineStr">
        <is>
          <t>Privately Held (backing)</t>
        </is>
      </c>
      <c r="L564" s="36" t="inlineStr">
        <is>
          <t>Angel-Backed</t>
        </is>
      </c>
      <c r="M564" s="37" t="n">
        <v>42473.0</v>
      </c>
      <c r="N564" s="38" t="inlineStr">
        <is>
          <t>Angel (individual)</t>
        </is>
      </c>
      <c r="O564" s="39" t="n">
        <v>0.69</v>
      </c>
      <c r="P564" s="102">
        <f>HYPERLINK("https://my.pitchbook.com?c=129273-22", "View company online")</f>
      </c>
    </row>
    <row r="565">
      <c r="A565" s="9" t="inlineStr">
        <is>
          <t>171694-54</t>
        </is>
      </c>
      <c r="B565" s="10" t="inlineStr">
        <is>
          <t>TRYSTEVE</t>
        </is>
      </c>
      <c r="C565" s="77">
        <f>HYPERLINK("https://my.pitchbook.com?rrp=171694-54&amp;type=c", "This Company's information is not available to download. Need this Company? Request availability")</f>
      </c>
      <c r="D565" s="12" t="inlineStr">
        <is>
          <t/>
        </is>
      </c>
      <c r="E565" s="13" t="inlineStr">
        <is>
          <t/>
        </is>
      </c>
      <c r="F565" s="14" t="inlineStr">
        <is>
          <t/>
        </is>
      </c>
      <c r="G565" s="15" t="inlineStr">
        <is>
          <t/>
        </is>
      </c>
      <c r="H565" s="16" t="inlineStr">
        <is>
          <t/>
        </is>
      </c>
      <c r="I565" s="17" t="inlineStr">
        <is>
          <t/>
        </is>
      </c>
      <c r="J565" s="18" t="inlineStr">
        <is>
          <t/>
        </is>
      </c>
      <c r="K565" s="19" t="inlineStr">
        <is>
          <t/>
        </is>
      </c>
      <c r="L565" s="20" t="inlineStr">
        <is>
          <t/>
        </is>
      </c>
      <c r="M565" s="21" t="inlineStr">
        <is>
          <t/>
        </is>
      </c>
      <c r="N565" s="22" t="inlineStr">
        <is>
          <t/>
        </is>
      </c>
      <c r="O565" s="23" t="inlineStr">
        <is>
          <t/>
        </is>
      </c>
      <c r="P565" s="24" t="inlineStr">
        <is>
          <t/>
        </is>
      </c>
    </row>
    <row r="566">
      <c r="A566" s="25" t="inlineStr">
        <is>
          <t>95301-55</t>
        </is>
      </c>
      <c r="B566" s="26" t="inlineStr">
        <is>
          <t>Tryolabs</t>
        </is>
      </c>
      <c r="C566" s="27" t="inlineStr">
        <is>
          <t/>
        </is>
      </c>
      <c r="D566" s="28" t="inlineStr">
        <is>
          <t/>
        </is>
      </c>
      <c r="E566" s="29" t="inlineStr">
        <is>
          <t/>
        </is>
      </c>
      <c r="F566" s="30" t="inlineStr">
        <is>
          <t/>
        </is>
      </c>
      <c r="G566" s="31" t="inlineStr">
        <is>
          <t/>
        </is>
      </c>
      <c r="H566" s="32" t="inlineStr">
        <is>
          <t/>
        </is>
      </c>
      <c r="I566" s="33" t="inlineStr">
        <is>
          <t/>
        </is>
      </c>
      <c r="J566" s="34" t="inlineStr">
        <is>
          <t/>
        </is>
      </c>
      <c r="K566" s="35" t="inlineStr">
        <is>
          <t>Privately Held (backing)</t>
        </is>
      </c>
      <c r="L566" s="36" t="inlineStr">
        <is>
          <t>Angel-Backed</t>
        </is>
      </c>
      <c r="M566" s="37" t="n">
        <v>41214.0</v>
      </c>
      <c r="N566" s="38" t="inlineStr">
        <is>
          <t>Angel (individual)</t>
        </is>
      </c>
      <c r="O566" s="39" t="inlineStr">
        <is>
          <t/>
        </is>
      </c>
      <c r="P566" s="102">
        <f>HYPERLINK("https://my.pitchbook.com?c=95301-55", "View company online")</f>
      </c>
    </row>
    <row r="567">
      <c r="A567" s="9" t="inlineStr">
        <is>
          <t>144854-38</t>
        </is>
      </c>
      <c r="B567" s="10" t="inlineStr">
        <is>
          <t>Truworth Wellness</t>
        </is>
      </c>
      <c r="C567" s="11" t="inlineStr">
        <is>
          <t/>
        </is>
      </c>
      <c r="D567" s="12" t="inlineStr">
        <is>
          <t/>
        </is>
      </c>
      <c r="E567" s="13" t="inlineStr">
        <is>
          <t>FY 2017</t>
        </is>
      </c>
      <c r="F567" s="14" t="n">
        <v>3.1</v>
      </c>
      <c r="G567" s="15" t="inlineStr">
        <is>
          <t/>
        </is>
      </c>
      <c r="H567" s="16" t="inlineStr">
        <is>
          <t/>
        </is>
      </c>
      <c r="I567" s="17" t="inlineStr">
        <is>
          <t/>
        </is>
      </c>
      <c r="J567" s="18" t="inlineStr">
        <is>
          <t/>
        </is>
      </c>
      <c r="K567" s="19" t="inlineStr">
        <is>
          <t>Privately Held (backing)</t>
        </is>
      </c>
      <c r="L567" s="20" t="inlineStr">
        <is>
          <t>Angel-Backed</t>
        </is>
      </c>
      <c r="M567" s="21" t="inlineStr">
        <is>
          <t/>
        </is>
      </c>
      <c r="N567" s="22" t="inlineStr">
        <is>
          <t>Angel (individual)</t>
        </is>
      </c>
      <c r="O567" s="23" t="n">
        <v>10.0</v>
      </c>
      <c r="P567" s="101">
        <f>HYPERLINK("https://my.pitchbook.com?c=144854-38", "View company online")</f>
      </c>
    </row>
    <row r="568">
      <c r="A568" s="25" t="inlineStr">
        <is>
          <t>95619-97</t>
        </is>
      </c>
      <c r="B568" s="26" t="inlineStr">
        <is>
          <t>Truvolo</t>
        </is>
      </c>
      <c r="C568" s="27" t="inlineStr">
        <is>
          <t/>
        </is>
      </c>
      <c r="D568" s="28" t="inlineStr">
        <is>
          <t/>
        </is>
      </c>
      <c r="E568" s="29" t="inlineStr">
        <is>
          <t/>
        </is>
      </c>
      <c r="F568" s="30" t="inlineStr">
        <is>
          <t/>
        </is>
      </c>
      <c r="G568" s="31" t="inlineStr">
        <is>
          <t/>
        </is>
      </c>
      <c r="H568" s="32" t="inlineStr">
        <is>
          <t/>
        </is>
      </c>
      <c r="I568" s="33" t="inlineStr">
        <is>
          <t/>
        </is>
      </c>
      <c r="J568" s="34" t="inlineStr">
        <is>
          <t/>
        </is>
      </c>
      <c r="K568" s="35" t="inlineStr">
        <is>
          <t>Privately Held (backing)</t>
        </is>
      </c>
      <c r="L568" s="36" t="inlineStr">
        <is>
          <t>Angel-Backed</t>
        </is>
      </c>
      <c r="M568" s="37" t="n">
        <v>41694.0</v>
      </c>
      <c r="N568" s="38" t="inlineStr">
        <is>
          <t>Product Crowdfunding</t>
        </is>
      </c>
      <c r="O568" s="39" t="n">
        <v>0.05</v>
      </c>
      <c r="P568" s="102">
        <f>HYPERLINK("https://my.pitchbook.com?c=95619-97", "View company online")</f>
      </c>
    </row>
    <row r="569">
      <c r="A569" s="9" t="inlineStr">
        <is>
          <t>156552-76</t>
        </is>
      </c>
      <c r="B569" s="10" t="inlineStr">
        <is>
          <t>Truust Neuroimaging</t>
        </is>
      </c>
      <c r="C569" s="11" t="inlineStr">
        <is>
          <t/>
        </is>
      </c>
      <c r="D569" s="12" t="inlineStr">
        <is>
          <t/>
        </is>
      </c>
      <c r="E569" s="13" t="inlineStr">
        <is>
          <t/>
        </is>
      </c>
      <c r="F569" s="14" t="inlineStr">
        <is>
          <t/>
        </is>
      </c>
      <c r="G569" s="15" t="inlineStr">
        <is>
          <t/>
        </is>
      </c>
      <c r="H569" s="16" t="inlineStr">
        <is>
          <t/>
        </is>
      </c>
      <c r="I569" s="17" t="inlineStr">
        <is>
          <t/>
        </is>
      </c>
      <c r="J569" s="18" t="inlineStr">
        <is>
          <t/>
        </is>
      </c>
      <c r="K569" s="19" t="inlineStr">
        <is>
          <t>Privately Held (backing)</t>
        </is>
      </c>
      <c r="L569" s="20" t="inlineStr">
        <is>
          <t>Accelerator/Incubator Backed</t>
        </is>
      </c>
      <c r="M569" s="21" t="n">
        <v>42272.0</v>
      </c>
      <c r="N569" s="22" t="inlineStr">
        <is>
          <t>Accelerator/Incubator</t>
        </is>
      </c>
      <c r="O569" s="23" t="n">
        <v>0.25</v>
      </c>
      <c r="P569" s="101">
        <f>HYPERLINK("https://my.pitchbook.com?c=156552-76", "View company online")</f>
      </c>
    </row>
    <row r="570">
      <c r="A570" s="25" t="inlineStr">
        <is>
          <t>179106-04</t>
        </is>
      </c>
      <c r="B570" s="26" t="inlineStr">
        <is>
          <t>Trustwork</t>
        </is>
      </c>
      <c r="C570" s="27" t="inlineStr">
        <is>
          <t/>
        </is>
      </c>
      <c r="D570" s="28" t="inlineStr">
        <is>
          <t/>
        </is>
      </c>
      <c r="E570" s="29" t="inlineStr">
        <is>
          <t/>
        </is>
      </c>
      <c r="F570" s="30" t="inlineStr">
        <is>
          <t/>
        </is>
      </c>
      <c r="G570" s="31" t="inlineStr">
        <is>
          <t/>
        </is>
      </c>
      <c r="H570" s="32" t="inlineStr">
        <is>
          <t/>
        </is>
      </c>
      <c r="I570" s="33" t="inlineStr">
        <is>
          <t/>
        </is>
      </c>
      <c r="J570" s="34" t="inlineStr">
        <is>
          <t/>
        </is>
      </c>
      <c r="K570" s="35" t="inlineStr">
        <is>
          <t>Privately Held (backing)</t>
        </is>
      </c>
      <c r="L570" s="36" t="inlineStr">
        <is>
          <t>Angel-Backed</t>
        </is>
      </c>
      <c r="M570" s="37" t="inlineStr">
        <is>
          <t/>
        </is>
      </c>
      <c r="N570" s="38" t="inlineStr">
        <is>
          <t>Seed Round</t>
        </is>
      </c>
      <c r="O570" s="39" t="inlineStr">
        <is>
          <t/>
        </is>
      </c>
      <c r="P570" s="102">
        <f>HYPERLINK("https://my.pitchbook.com?c=179106-04", "View company online")</f>
      </c>
    </row>
    <row r="571">
      <c r="A571" s="9" t="inlineStr">
        <is>
          <t>154086-04</t>
        </is>
      </c>
      <c r="B571" s="10" t="inlineStr">
        <is>
          <t>TrustPipe Security</t>
        </is>
      </c>
      <c r="C571" s="11" t="inlineStr">
        <is>
          <t/>
        </is>
      </c>
      <c r="D571" s="12" t="inlineStr">
        <is>
          <t/>
        </is>
      </c>
      <c r="E571" s="13" t="inlineStr">
        <is>
          <t/>
        </is>
      </c>
      <c r="F571" s="14" t="inlineStr">
        <is>
          <t/>
        </is>
      </c>
      <c r="G571" s="15" t="inlineStr">
        <is>
          <t/>
        </is>
      </c>
      <c r="H571" s="16" t="inlineStr">
        <is>
          <t/>
        </is>
      </c>
      <c r="I571" s="17" t="inlineStr">
        <is>
          <t/>
        </is>
      </c>
      <c r="J571" s="18" t="inlineStr">
        <is>
          <t/>
        </is>
      </c>
      <c r="K571" s="19" t="inlineStr">
        <is>
          <t>Privately Held (backing)</t>
        </is>
      </c>
      <c r="L571" s="20" t="inlineStr">
        <is>
          <t>Angel-Backed</t>
        </is>
      </c>
      <c r="M571" s="21" t="n">
        <v>42041.0</v>
      </c>
      <c r="N571" s="22" t="inlineStr">
        <is>
          <t>Capitalization</t>
        </is>
      </c>
      <c r="O571" s="23" t="inlineStr">
        <is>
          <t/>
        </is>
      </c>
      <c r="P571" s="101">
        <f>HYPERLINK("https://my.pitchbook.com?c=154086-04", "View company online")</f>
      </c>
    </row>
    <row r="572">
      <c r="A572" s="25" t="inlineStr">
        <is>
          <t>93116-98</t>
        </is>
      </c>
      <c r="B572" s="26" t="inlineStr">
        <is>
          <t>TrustCommerce</t>
        </is>
      </c>
      <c r="C572" s="27" t="inlineStr">
        <is>
          <t/>
        </is>
      </c>
      <c r="D572" s="28" t="inlineStr">
        <is>
          <t/>
        </is>
      </c>
      <c r="E572" s="29" t="inlineStr">
        <is>
          <t/>
        </is>
      </c>
      <c r="F572" s="30" t="inlineStr">
        <is>
          <t/>
        </is>
      </c>
      <c r="G572" s="31" t="inlineStr">
        <is>
          <t/>
        </is>
      </c>
      <c r="H572" s="32" t="inlineStr">
        <is>
          <t/>
        </is>
      </c>
      <c r="I572" s="33" t="inlineStr">
        <is>
          <t/>
        </is>
      </c>
      <c r="J572" s="34" t="inlineStr">
        <is>
          <t/>
        </is>
      </c>
      <c r="K572" s="35" t="inlineStr">
        <is>
          <t>Privately Held (backing)</t>
        </is>
      </c>
      <c r="L572" s="36" t="inlineStr">
        <is>
          <t>Angel-Backed</t>
        </is>
      </c>
      <c r="M572" s="37" t="n">
        <v>40179.0</v>
      </c>
      <c r="N572" s="38" t="inlineStr">
        <is>
          <t>Angel (individual)</t>
        </is>
      </c>
      <c r="O572" s="39" t="inlineStr">
        <is>
          <t/>
        </is>
      </c>
      <c r="P572" s="102">
        <f>HYPERLINK("https://my.pitchbook.com?c=93116-98", "View company online")</f>
      </c>
    </row>
    <row r="573">
      <c r="A573" s="9" t="inlineStr">
        <is>
          <t>163769-77</t>
        </is>
      </c>
      <c r="B573" s="10" t="inlineStr">
        <is>
          <t>Trust Society</t>
        </is>
      </c>
      <c r="C573" s="11" t="inlineStr">
        <is>
          <t/>
        </is>
      </c>
      <c r="D573" s="12" t="inlineStr">
        <is>
          <t/>
        </is>
      </c>
      <c r="E573" s="13" t="inlineStr">
        <is>
          <t/>
        </is>
      </c>
      <c r="F573" s="14" t="inlineStr">
        <is>
          <t/>
        </is>
      </c>
      <c r="G573" s="15" t="inlineStr">
        <is>
          <t/>
        </is>
      </c>
      <c r="H573" s="16" t="inlineStr">
        <is>
          <t/>
        </is>
      </c>
      <c r="I573" s="17" t="inlineStr">
        <is>
          <t/>
        </is>
      </c>
      <c r="J573" s="18" t="inlineStr">
        <is>
          <t/>
        </is>
      </c>
      <c r="K573" s="19" t="inlineStr">
        <is>
          <t>Privately Held (backing)</t>
        </is>
      </c>
      <c r="L573" s="20" t="inlineStr">
        <is>
          <t>Accelerator/Incubator Backed</t>
        </is>
      </c>
      <c r="M573" s="21" t="inlineStr">
        <is>
          <t/>
        </is>
      </c>
      <c r="N573" s="22" t="inlineStr">
        <is>
          <t>Accelerator/Incubator</t>
        </is>
      </c>
      <c r="O573" s="23" t="inlineStr">
        <is>
          <t/>
        </is>
      </c>
      <c r="P573" s="101">
        <f>HYPERLINK("https://my.pitchbook.com?c=163769-77", "View company online")</f>
      </c>
    </row>
    <row r="574">
      <c r="A574" s="25" t="inlineStr">
        <is>
          <t>94513-96</t>
        </is>
      </c>
      <c r="B574" s="26" t="inlineStr">
        <is>
          <t>Truminim</t>
        </is>
      </c>
      <c r="C574" s="27" t="inlineStr">
        <is>
          <t/>
        </is>
      </c>
      <c r="D574" s="28" t="inlineStr">
        <is>
          <t/>
        </is>
      </c>
      <c r="E574" s="29" t="inlineStr">
        <is>
          <t/>
        </is>
      </c>
      <c r="F574" s="30" t="inlineStr">
        <is>
          <t/>
        </is>
      </c>
      <c r="G574" s="31" t="inlineStr">
        <is>
          <t/>
        </is>
      </c>
      <c r="H574" s="32" t="inlineStr">
        <is>
          <t/>
        </is>
      </c>
      <c r="I574" s="33" t="inlineStr">
        <is>
          <t/>
        </is>
      </c>
      <c r="J574" s="34" t="inlineStr">
        <is>
          <t/>
        </is>
      </c>
      <c r="K574" s="35" t="inlineStr">
        <is>
          <t>Privately Held (backing)</t>
        </is>
      </c>
      <c r="L574" s="36" t="inlineStr">
        <is>
          <t>Angel-Backed</t>
        </is>
      </c>
      <c r="M574" s="37" t="n">
        <v>42046.0</v>
      </c>
      <c r="N574" s="38" t="inlineStr">
        <is>
          <t>Angel (individual)</t>
        </is>
      </c>
      <c r="O574" s="39" t="n">
        <v>1.57</v>
      </c>
      <c r="P574" s="102">
        <f>HYPERLINK("https://my.pitchbook.com?c=94513-96", "View company online")</f>
      </c>
    </row>
    <row r="575">
      <c r="A575" s="9" t="inlineStr">
        <is>
          <t>124582-69</t>
        </is>
      </c>
      <c r="B575" s="10" t="inlineStr">
        <is>
          <t>Truly M.A.D.</t>
        </is>
      </c>
      <c r="C575" s="11" t="inlineStr">
        <is>
          <t/>
        </is>
      </c>
      <c r="D575" s="12" t="inlineStr">
        <is>
          <t/>
        </is>
      </c>
      <c r="E575" s="13" t="inlineStr">
        <is>
          <t/>
        </is>
      </c>
      <c r="F575" s="14" t="inlineStr">
        <is>
          <t/>
        </is>
      </c>
      <c r="G575" s="15" t="inlineStr">
        <is>
          <t/>
        </is>
      </c>
      <c r="H575" s="16" t="inlineStr">
        <is>
          <t/>
        </is>
      </c>
      <c r="I575" s="17" t="inlineStr">
        <is>
          <t/>
        </is>
      </c>
      <c r="J575" s="18" t="inlineStr">
        <is>
          <t/>
        </is>
      </c>
      <c r="K575" s="19" t="inlineStr">
        <is>
          <t>Privately Held (backing)</t>
        </is>
      </c>
      <c r="L575" s="20" t="inlineStr">
        <is>
          <t>Angel-Backed</t>
        </is>
      </c>
      <c r="M575" s="21" t="n">
        <v>42765.0</v>
      </c>
      <c r="N575" s="22" t="inlineStr">
        <is>
          <t>Early Stage VC</t>
        </is>
      </c>
      <c r="O575" s="23" t="n">
        <v>0.5</v>
      </c>
      <c r="P575" s="101">
        <f>HYPERLINK("https://my.pitchbook.com?c=124582-69", "View company online")</f>
      </c>
    </row>
    <row r="576">
      <c r="A576" s="25" t="inlineStr">
        <is>
          <t>113678-83</t>
        </is>
      </c>
      <c r="B576" s="26" t="inlineStr">
        <is>
          <t>TRUINJECT</t>
        </is>
      </c>
      <c r="C576" s="78">
        <f>HYPERLINK("https://my.pitchbook.com?rrp=113678-83&amp;type=c", "This Company's information is not available to download. Need this Company? Request availability")</f>
      </c>
      <c r="D576" s="28" t="inlineStr">
        <is>
          <t/>
        </is>
      </c>
      <c r="E576" s="29" t="inlineStr">
        <is>
          <t/>
        </is>
      </c>
      <c r="F576" s="30" t="inlineStr">
        <is>
          <t/>
        </is>
      </c>
      <c r="G576" s="31" t="inlineStr">
        <is>
          <t/>
        </is>
      </c>
      <c r="H576" s="32" t="inlineStr">
        <is>
          <t/>
        </is>
      </c>
      <c r="I576" s="33" t="inlineStr">
        <is>
          <t/>
        </is>
      </c>
      <c r="J576" s="34" t="inlineStr">
        <is>
          <t/>
        </is>
      </c>
      <c r="K576" s="35" t="inlineStr">
        <is>
          <t/>
        </is>
      </c>
      <c r="L576" s="36" t="inlineStr">
        <is>
          <t/>
        </is>
      </c>
      <c r="M576" s="37" t="inlineStr">
        <is>
          <t/>
        </is>
      </c>
      <c r="N576" s="38" t="inlineStr">
        <is>
          <t/>
        </is>
      </c>
      <c r="O576" s="39" t="inlineStr">
        <is>
          <t/>
        </is>
      </c>
      <c r="P576" s="40" t="inlineStr">
        <is>
          <t/>
        </is>
      </c>
    </row>
    <row r="577">
      <c r="A577" s="9" t="inlineStr">
        <is>
          <t>103255-84</t>
        </is>
      </c>
      <c r="B577" s="10" t="inlineStr">
        <is>
          <t>Tru-Friends</t>
        </is>
      </c>
      <c r="C577" s="11" t="inlineStr">
        <is>
          <t/>
        </is>
      </c>
      <c r="D577" s="12" t="inlineStr">
        <is>
          <t/>
        </is>
      </c>
      <c r="E577" s="13" t="inlineStr">
        <is>
          <t/>
        </is>
      </c>
      <c r="F577" s="14" t="inlineStr">
        <is>
          <t/>
        </is>
      </c>
      <c r="G577" s="15" t="inlineStr">
        <is>
          <t/>
        </is>
      </c>
      <c r="H577" s="16" t="inlineStr">
        <is>
          <t/>
        </is>
      </c>
      <c r="I577" s="17" t="inlineStr">
        <is>
          <t/>
        </is>
      </c>
      <c r="J577" s="18" t="inlineStr">
        <is>
          <t/>
        </is>
      </c>
      <c r="K577" s="19" t="inlineStr">
        <is>
          <t>Privately Held (backing)</t>
        </is>
      </c>
      <c r="L577" s="20" t="inlineStr">
        <is>
          <t>Angel-Backed</t>
        </is>
      </c>
      <c r="M577" s="21" t="n">
        <v>41693.0</v>
      </c>
      <c r="N577" s="22" t="inlineStr">
        <is>
          <t>Angel (individual)</t>
        </is>
      </c>
      <c r="O577" s="23" t="n">
        <v>0.55</v>
      </c>
      <c r="P577" s="101">
        <f>HYPERLINK("https://my.pitchbook.com?c=103255-84", "View company online")</f>
      </c>
    </row>
    <row r="578">
      <c r="A578" s="25" t="inlineStr">
        <is>
          <t>168480-19</t>
        </is>
      </c>
      <c r="B578" s="26" t="inlineStr">
        <is>
          <t>TruePic</t>
        </is>
      </c>
      <c r="C578" s="27" t="inlineStr">
        <is>
          <t/>
        </is>
      </c>
      <c r="D578" s="28" t="inlineStr">
        <is>
          <t/>
        </is>
      </c>
      <c r="E578" s="29" t="inlineStr">
        <is>
          <t/>
        </is>
      </c>
      <c r="F578" s="30" t="inlineStr">
        <is>
          <t/>
        </is>
      </c>
      <c r="G578" s="31" t="inlineStr">
        <is>
          <t/>
        </is>
      </c>
      <c r="H578" s="32" t="inlineStr">
        <is>
          <t/>
        </is>
      </c>
      <c r="I578" s="33" t="inlineStr">
        <is>
          <t/>
        </is>
      </c>
      <c r="J578" s="34" t="inlineStr">
        <is>
          <t/>
        </is>
      </c>
      <c r="K578" s="35" t="inlineStr">
        <is>
          <t>Privately Held (backing)</t>
        </is>
      </c>
      <c r="L578" s="36" t="inlineStr">
        <is>
          <t>Angel-Backed</t>
        </is>
      </c>
      <c r="M578" s="37" t="n">
        <v>42866.0</v>
      </c>
      <c r="N578" s="38" t="inlineStr">
        <is>
          <t>Seed Round</t>
        </is>
      </c>
      <c r="O578" s="39" t="n">
        <v>1.0</v>
      </c>
      <c r="P578" s="102">
        <f>HYPERLINK("https://my.pitchbook.com?c=168480-19", "View company online")</f>
      </c>
    </row>
    <row r="579">
      <c r="A579" s="9" t="inlineStr">
        <is>
          <t>120223-90</t>
        </is>
      </c>
      <c r="B579" s="10" t="inlineStr">
        <is>
          <t>Truecare24</t>
        </is>
      </c>
      <c r="C579" s="11" t="inlineStr">
        <is>
          <t/>
        </is>
      </c>
      <c r="D579" s="12" t="inlineStr">
        <is>
          <t/>
        </is>
      </c>
      <c r="E579" s="13" t="inlineStr">
        <is>
          <t/>
        </is>
      </c>
      <c r="F579" s="14" t="inlineStr">
        <is>
          <t/>
        </is>
      </c>
      <c r="G579" s="15" t="inlineStr">
        <is>
          <t/>
        </is>
      </c>
      <c r="H579" s="16" t="inlineStr">
        <is>
          <t/>
        </is>
      </c>
      <c r="I579" s="17" t="inlineStr">
        <is>
          <t/>
        </is>
      </c>
      <c r="J579" s="18" t="inlineStr">
        <is>
          <t/>
        </is>
      </c>
      <c r="K579" s="19" t="inlineStr">
        <is>
          <t>Privately Held (backing)</t>
        </is>
      </c>
      <c r="L579" s="20" t="inlineStr">
        <is>
          <t>Accelerator/Incubator Backed</t>
        </is>
      </c>
      <c r="M579" s="21" t="n">
        <v>42774.0</v>
      </c>
      <c r="N579" s="22" t="inlineStr">
        <is>
          <t>Accelerator/Incubator</t>
        </is>
      </c>
      <c r="O579" s="23" t="n">
        <v>0.15</v>
      </c>
      <c r="P579" s="101">
        <f>HYPERLINK("https://my.pitchbook.com?c=120223-90", "View company online")</f>
      </c>
    </row>
    <row r="580">
      <c r="A580" s="25" t="inlineStr">
        <is>
          <t>174437-56</t>
        </is>
      </c>
      <c r="B580" s="26" t="inlineStr">
        <is>
          <t>True North Business Exchange</t>
        </is>
      </c>
      <c r="C580" s="27" t="inlineStr">
        <is>
          <t/>
        </is>
      </c>
      <c r="D580" s="28" t="inlineStr">
        <is>
          <t/>
        </is>
      </c>
      <c r="E580" s="29" t="inlineStr">
        <is>
          <t/>
        </is>
      </c>
      <c r="F580" s="30" t="inlineStr">
        <is>
          <t/>
        </is>
      </c>
      <c r="G580" s="31" t="inlineStr">
        <is>
          <t/>
        </is>
      </c>
      <c r="H580" s="32" t="inlineStr">
        <is>
          <t/>
        </is>
      </c>
      <c r="I580" s="33" t="inlineStr">
        <is>
          <t/>
        </is>
      </c>
      <c r="J580" s="34" t="inlineStr">
        <is>
          <t/>
        </is>
      </c>
      <c r="K580" s="35" t="inlineStr">
        <is>
          <t>Privately Held (backing)</t>
        </is>
      </c>
      <c r="L580" s="36" t="inlineStr">
        <is>
          <t>Accelerator/Incubator Backed</t>
        </is>
      </c>
      <c r="M580" s="37" t="inlineStr">
        <is>
          <t/>
        </is>
      </c>
      <c r="N580" s="38" t="inlineStr">
        <is>
          <t>Accelerator/Incubator</t>
        </is>
      </c>
      <c r="O580" s="39" t="inlineStr">
        <is>
          <t/>
        </is>
      </c>
      <c r="P580" s="102">
        <f>HYPERLINK("https://my.pitchbook.com?c=174437-56", "View company online")</f>
      </c>
    </row>
    <row r="581">
      <c r="A581" s="9" t="inlineStr">
        <is>
          <t>178656-49</t>
        </is>
      </c>
      <c r="B581" s="10" t="inlineStr">
        <is>
          <t>Trovata</t>
        </is>
      </c>
      <c r="C581" s="77">
        <f>HYPERLINK("https://my.pitchbook.com?rrp=178656-49&amp;type=c", "This Company's information is not available to download. Need this Company? Request availability")</f>
      </c>
      <c r="D581" s="12" t="inlineStr">
        <is>
          <t/>
        </is>
      </c>
      <c r="E581" s="13" t="inlineStr">
        <is>
          <t/>
        </is>
      </c>
      <c r="F581" s="14" t="inlineStr">
        <is>
          <t/>
        </is>
      </c>
      <c r="G581" s="15" t="inlineStr">
        <is>
          <t/>
        </is>
      </c>
      <c r="H581" s="16" t="inlineStr">
        <is>
          <t/>
        </is>
      </c>
      <c r="I581" s="17" t="inlineStr">
        <is>
          <t/>
        </is>
      </c>
      <c r="J581" s="18" t="inlineStr">
        <is>
          <t/>
        </is>
      </c>
      <c r="K581" s="19" t="inlineStr">
        <is>
          <t/>
        </is>
      </c>
      <c r="L581" s="20" t="inlineStr">
        <is>
          <t/>
        </is>
      </c>
      <c r="M581" s="21" t="inlineStr">
        <is>
          <t/>
        </is>
      </c>
      <c r="N581" s="22" t="inlineStr">
        <is>
          <t/>
        </is>
      </c>
      <c r="O581" s="23" t="inlineStr">
        <is>
          <t/>
        </is>
      </c>
      <c r="P581" s="24" t="inlineStr">
        <is>
          <t/>
        </is>
      </c>
    </row>
    <row r="582">
      <c r="A582" s="25" t="inlineStr">
        <is>
          <t>178495-21</t>
        </is>
      </c>
      <c r="B582" s="26" t="inlineStr">
        <is>
          <t>Troparé</t>
        </is>
      </c>
      <c r="C582" s="78">
        <f>HYPERLINK("https://my.pitchbook.com?rrp=178495-21&amp;type=c", "This Company's information is not available to download. Need this Company? Request availability")</f>
      </c>
      <c r="D582" s="28" t="inlineStr">
        <is>
          <t/>
        </is>
      </c>
      <c r="E582" s="29" t="inlineStr">
        <is>
          <t/>
        </is>
      </c>
      <c r="F582" s="30" t="inlineStr">
        <is>
          <t/>
        </is>
      </c>
      <c r="G582" s="31" t="inlineStr">
        <is>
          <t/>
        </is>
      </c>
      <c r="H582" s="32" t="inlineStr">
        <is>
          <t/>
        </is>
      </c>
      <c r="I582" s="33" t="inlineStr">
        <is>
          <t/>
        </is>
      </c>
      <c r="J582" s="34" t="inlineStr">
        <is>
          <t/>
        </is>
      </c>
      <c r="K582" s="35" t="inlineStr">
        <is>
          <t/>
        </is>
      </c>
      <c r="L582" s="36" t="inlineStr">
        <is>
          <t/>
        </is>
      </c>
      <c r="M582" s="37" t="inlineStr">
        <is>
          <t/>
        </is>
      </c>
      <c r="N582" s="38" t="inlineStr">
        <is>
          <t/>
        </is>
      </c>
      <c r="O582" s="39" t="inlineStr">
        <is>
          <t/>
        </is>
      </c>
      <c r="P582" s="40" t="inlineStr">
        <is>
          <t/>
        </is>
      </c>
    </row>
    <row r="583">
      <c r="A583" s="9" t="inlineStr">
        <is>
          <t>108669-61</t>
        </is>
      </c>
      <c r="B583" s="10" t="inlineStr">
        <is>
          <t>Tronic.fm</t>
        </is>
      </c>
      <c r="C583" s="11" t="inlineStr">
        <is>
          <t/>
        </is>
      </c>
      <c r="D583" s="12" t="inlineStr">
        <is>
          <t/>
        </is>
      </c>
      <c r="E583" s="13" t="inlineStr">
        <is>
          <t/>
        </is>
      </c>
      <c r="F583" s="14" t="inlineStr">
        <is>
          <t/>
        </is>
      </c>
      <c r="G583" s="15" t="inlineStr">
        <is>
          <t/>
        </is>
      </c>
      <c r="H583" s="16" t="inlineStr">
        <is>
          <t/>
        </is>
      </c>
      <c r="I583" s="17" t="inlineStr">
        <is>
          <t/>
        </is>
      </c>
      <c r="J583" s="18" t="inlineStr">
        <is>
          <t/>
        </is>
      </c>
      <c r="K583" s="19" t="inlineStr">
        <is>
          <t>Privately Held (backing)</t>
        </is>
      </c>
      <c r="L583" s="20" t="inlineStr">
        <is>
          <t>Angel-Backed</t>
        </is>
      </c>
      <c r="M583" s="21" t="n">
        <v>41884.0</v>
      </c>
      <c r="N583" s="22" t="inlineStr">
        <is>
          <t>Seed Round</t>
        </is>
      </c>
      <c r="O583" s="23" t="n">
        <v>0.28</v>
      </c>
      <c r="P583" s="101">
        <f>HYPERLINK("https://my.pitchbook.com?c=108669-61", "View company online")</f>
      </c>
    </row>
    <row r="584">
      <c r="A584" s="25" t="inlineStr">
        <is>
          <t>89235-10</t>
        </is>
      </c>
      <c r="B584" s="26" t="inlineStr">
        <is>
          <t>Trnio</t>
        </is>
      </c>
      <c r="C584" s="27" t="inlineStr">
        <is>
          <t/>
        </is>
      </c>
      <c r="D584" s="28" t="inlineStr">
        <is>
          <t/>
        </is>
      </c>
      <c r="E584" s="29" t="inlineStr">
        <is>
          <t/>
        </is>
      </c>
      <c r="F584" s="30" t="inlineStr">
        <is>
          <t/>
        </is>
      </c>
      <c r="G584" s="31" t="inlineStr">
        <is>
          <t/>
        </is>
      </c>
      <c r="H584" s="32" t="inlineStr">
        <is>
          <t/>
        </is>
      </c>
      <c r="I584" s="33" t="inlineStr">
        <is>
          <t/>
        </is>
      </c>
      <c r="J584" s="34" t="inlineStr">
        <is>
          <t/>
        </is>
      </c>
      <c r="K584" s="35" t="inlineStr">
        <is>
          <t>Privately Held (backing)</t>
        </is>
      </c>
      <c r="L584" s="36" t="inlineStr">
        <is>
          <t>Accelerator/Incubator Backed</t>
        </is>
      </c>
      <c r="M584" s="37" t="n">
        <v>42145.0</v>
      </c>
      <c r="N584" s="38" t="inlineStr">
        <is>
          <t>Accelerator/Incubator</t>
        </is>
      </c>
      <c r="O584" s="39" t="inlineStr">
        <is>
          <t/>
        </is>
      </c>
      <c r="P584" s="102">
        <f>HYPERLINK("https://my.pitchbook.com?c=89235-10", "View company online")</f>
      </c>
    </row>
    <row r="585">
      <c r="A585" s="9" t="inlineStr">
        <is>
          <t>57049-03</t>
        </is>
      </c>
      <c r="B585" s="10" t="inlineStr">
        <is>
          <t>TRIXandTRAX</t>
        </is>
      </c>
      <c r="C585" s="11" t="inlineStr">
        <is>
          <t/>
        </is>
      </c>
      <c r="D585" s="12" t="inlineStr">
        <is>
          <t/>
        </is>
      </c>
      <c r="E585" s="13" t="inlineStr">
        <is>
          <t/>
        </is>
      </c>
      <c r="F585" s="14" t="inlineStr">
        <is>
          <t/>
        </is>
      </c>
      <c r="G585" s="15" t="inlineStr">
        <is>
          <t/>
        </is>
      </c>
      <c r="H585" s="16" t="inlineStr">
        <is>
          <t/>
        </is>
      </c>
      <c r="I585" s="17" t="inlineStr">
        <is>
          <t/>
        </is>
      </c>
      <c r="J585" s="18" t="inlineStr">
        <is>
          <t/>
        </is>
      </c>
      <c r="K585" s="19" t="inlineStr">
        <is>
          <t>Privately Held (backing)</t>
        </is>
      </c>
      <c r="L585" s="20" t="inlineStr">
        <is>
          <t>Accelerator/Incubator Backed</t>
        </is>
      </c>
      <c r="M585" s="21" t="n">
        <v>41509.0</v>
      </c>
      <c r="N585" s="22" t="inlineStr">
        <is>
          <t>Accelerator/Incubator</t>
        </is>
      </c>
      <c r="O585" s="23" t="n">
        <v>0.04</v>
      </c>
      <c r="P585" s="101">
        <f>HYPERLINK("https://my.pitchbook.com?c=57049-03", "View company online")</f>
      </c>
    </row>
    <row r="586">
      <c r="A586" s="25" t="inlineStr">
        <is>
          <t>57012-40</t>
        </is>
      </c>
      <c r="B586" s="26" t="inlineStr">
        <is>
          <t>Tripshare</t>
        </is>
      </c>
      <c r="C586" s="27" t="inlineStr">
        <is>
          <t/>
        </is>
      </c>
      <c r="D586" s="28" t="inlineStr">
        <is>
          <t/>
        </is>
      </c>
      <c r="E586" s="29" t="inlineStr">
        <is>
          <t/>
        </is>
      </c>
      <c r="F586" s="30" t="inlineStr">
        <is>
          <t/>
        </is>
      </c>
      <c r="G586" s="31" t="inlineStr">
        <is>
          <t/>
        </is>
      </c>
      <c r="H586" s="32" t="inlineStr">
        <is>
          <t/>
        </is>
      </c>
      <c r="I586" s="33" t="inlineStr">
        <is>
          <t/>
        </is>
      </c>
      <c r="J586" s="34" t="inlineStr">
        <is>
          <t/>
        </is>
      </c>
      <c r="K586" s="35" t="inlineStr">
        <is>
          <t>Privately Held (backing)</t>
        </is>
      </c>
      <c r="L586" s="36" t="inlineStr">
        <is>
          <t>Angel-Backed</t>
        </is>
      </c>
      <c r="M586" s="37" t="n">
        <v>41411.0</v>
      </c>
      <c r="N586" s="38" t="inlineStr">
        <is>
          <t>Seed Round</t>
        </is>
      </c>
      <c r="O586" s="39" t="n">
        <v>1.47</v>
      </c>
      <c r="P586" s="102">
        <f>HYPERLINK("https://my.pitchbook.com?c=57012-40", "View company online")</f>
      </c>
    </row>
    <row r="587">
      <c r="A587" s="9" t="inlineStr">
        <is>
          <t>149363-11</t>
        </is>
      </c>
      <c r="B587" s="10" t="inlineStr">
        <is>
          <t>TriPrism</t>
        </is>
      </c>
      <c r="C587" s="11" t="inlineStr">
        <is>
          <t/>
        </is>
      </c>
      <c r="D587" s="12" t="inlineStr">
        <is>
          <t/>
        </is>
      </c>
      <c r="E587" s="13" t="inlineStr">
        <is>
          <t/>
        </is>
      </c>
      <c r="F587" s="14" t="inlineStr">
        <is>
          <t/>
        </is>
      </c>
      <c r="G587" s="15" t="inlineStr">
        <is>
          <t/>
        </is>
      </c>
      <c r="H587" s="16" t="inlineStr">
        <is>
          <t/>
        </is>
      </c>
      <c r="I587" s="17" t="inlineStr">
        <is>
          <t/>
        </is>
      </c>
      <c r="J587" s="18" t="inlineStr">
        <is>
          <t/>
        </is>
      </c>
      <c r="K587" s="19" t="inlineStr">
        <is>
          <t>Privately Held (backing)</t>
        </is>
      </c>
      <c r="L587" s="20" t="inlineStr">
        <is>
          <t>Accelerator/Incubator Backed</t>
        </is>
      </c>
      <c r="M587" s="21" t="n">
        <v>41577.0</v>
      </c>
      <c r="N587" s="22" t="inlineStr">
        <is>
          <t>Accelerator/Incubator</t>
        </is>
      </c>
      <c r="O587" s="23" t="inlineStr">
        <is>
          <t/>
        </is>
      </c>
      <c r="P587" s="101">
        <f>HYPERLINK("https://my.pitchbook.com?c=149363-11", "View company online")</f>
      </c>
    </row>
    <row r="588">
      <c r="A588" s="25" t="inlineStr">
        <is>
          <t>181346-59</t>
        </is>
      </c>
      <c r="B588" s="26" t="inlineStr">
        <is>
          <t>Tripplus</t>
        </is>
      </c>
      <c r="C588" s="27" t="inlineStr">
        <is>
          <t/>
        </is>
      </c>
      <c r="D588" s="28" t="inlineStr">
        <is>
          <t/>
        </is>
      </c>
      <c r="E588" s="29" t="inlineStr">
        <is>
          <t/>
        </is>
      </c>
      <c r="F588" s="30" t="inlineStr">
        <is>
          <t/>
        </is>
      </c>
      <c r="G588" s="31" t="inlineStr">
        <is>
          <t/>
        </is>
      </c>
      <c r="H588" s="32" t="inlineStr">
        <is>
          <t/>
        </is>
      </c>
      <c r="I588" s="33" t="inlineStr">
        <is>
          <t/>
        </is>
      </c>
      <c r="J588" s="34" t="inlineStr">
        <is>
          <t/>
        </is>
      </c>
      <c r="K588" s="35" t="inlineStr">
        <is>
          <t>Privately Held (backing)</t>
        </is>
      </c>
      <c r="L588" s="36" t="inlineStr">
        <is>
          <t>Accelerator/Incubator Backed</t>
        </is>
      </c>
      <c r="M588" s="37" t="n">
        <v>42826.0</v>
      </c>
      <c r="N588" s="38" t="inlineStr">
        <is>
          <t>Accelerator/Incubator</t>
        </is>
      </c>
      <c r="O588" s="39" t="n">
        <v>0.15</v>
      </c>
      <c r="P588" s="102">
        <f>HYPERLINK("https://my.pitchbook.com?c=181346-59", "View company online")</f>
      </c>
    </row>
    <row r="589">
      <c r="A589" s="9" t="inlineStr">
        <is>
          <t>65774-53</t>
        </is>
      </c>
      <c r="B589" s="10" t="inlineStr">
        <is>
          <t>TriplePulse</t>
        </is>
      </c>
      <c r="C589" s="11" t="inlineStr">
        <is>
          <t/>
        </is>
      </c>
      <c r="D589" s="12" t="inlineStr">
        <is>
          <t/>
        </is>
      </c>
      <c r="E589" s="13" t="inlineStr">
        <is>
          <t/>
        </is>
      </c>
      <c r="F589" s="14" t="inlineStr">
        <is>
          <t/>
        </is>
      </c>
      <c r="G589" s="15" t="inlineStr">
        <is>
          <t/>
        </is>
      </c>
      <c r="H589" s="16" t="inlineStr">
        <is>
          <t/>
        </is>
      </c>
      <c r="I589" s="17" t="inlineStr">
        <is>
          <t/>
        </is>
      </c>
      <c r="J589" s="18" t="inlineStr">
        <is>
          <t/>
        </is>
      </c>
      <c r="K589" s="19" t="inlineStr">
        <is>
          <t>Privately Held (backing)</t>
        </is>
      </c>
      <c r="L589" s="20" t="inlineStr">
        <is>
          <t>Accelerator/Incubator Backed</t>
        </is>
      </c>
      <c r="M589" s="21" t="n">
        <v>42247.0</v>
      </c>
      <c r="N589" s="22" t="inlineStr">
        <is>
          <t>Seed Round</t>
        </is>
      </c>
      <c r="O589" s="23" t="n">
        <v>1.5</v>
      </c>
      <c r="P589" s="101">
        <f>HYPERLINK("https://my.pitchbook.com?c=65774-53", "View company online")</f>
      </c>
    </row>
    <row r="590">
      <c r="A590" s="25" t="inlineStr">
        <is>
          <t>108066-52</t>
        </is>
      </c>
      <c r="B590" s="26" t="inlineStr">
        <is>
          <t>Triple Ring Technologies</t>
        </is>
      </c>
      <c r="C590" s="27" t="inlineStr">
        <is>
          <t/>
        </is>
      </c>
      <c r="D590" s="28" t="inlineStr">
        <is>
          <t/>
        </is>
      </c>
      <c r="E590" s="29" t="inlineStr">
        <is>
          <t/>
        </is>
      </c>
      <c r="F590" s="30" t="inlineStr">
        <is>
          <t/>
        </is>
      </c>
      <c r="G590" s="31" t="inlineStr">
        <is>
          <t/>
        </is>
      </c>
      <c r="H590" s="32" t="inlineStr">
        <is>
          <t/>
        </is>
      </c>
      <c r="I590" s="33" t="inlineStr">
        <is>
          <t/>
        </is>
      </c>
      <c r="J590" s="34" t="inlineStr">
        <is>
          <t/>
        </is>
      </c>
      <c r="K590" s="35" t="inlineStr">
        <is>
          <t>Privately Held (backing)</t>
        </is>
      </c>
      <c r="L590" s="36" t="inlineStr">
        <is>
          <t>Angel-Backed</t>
        </is>
      </c>
      <c r="M590" s="37" t="n">
        <v>42347.0</v>
      </c>
      <c r="N590" s="38" t="inlineStr">
        <is>
          <t>Angel (individual)</t>
        </is>
      </c>
      <c r="O590" s="39" t="n">
        <v>1.0</v>
      </c>
      <c r="P590" s="102">
        <f>HYPERLINK("https://my.pitchbook.com?c=108066-52", "View company online")</f>
      </c>
    </row>
    <row r="591">
      <c r="A591" s="9" t="inlineStr">
        <is>
          <t>121701-34</t>
        </is>
      </c>
      <c r="B591" s="10" t="inlineStr">
        <is>
          <t>Tripcloud</t>
        </is>
      </c>
      <c r="C591" s="11" t="inlineStr">
        <is>
          <t/>
        </is>
      </c>
      <c r="D591" s="12" t="inlineStr">
        <is>
          <t/>
        </is>
      </c>
      <c r="E591" s="13" t="inlineStr">
        <is>
          <t/>
        </is>
      </c>
      <c r="F591" s="14" t="inlineStr">
        <is>
          <t/>
        </is>
      </c>
      <c r="G591" s="15" t="inlineStr">
        <is>
          <t/>
        </is>
      </c>
      <c r="H591" s="16" t="inlineStr">
        <is>
          <t/>
        </is>
      </c>
      <c r="I591" s="17" t="inlineStr">
        <is>
          <t/>
        </is>
      </c>
      <c r="J591" s="18" t="inlineStr">
        <is>
          <t/>
        </is>
      </c>
      <c r="K591" s="19" t="inlineStr">
        <is>
          <t>Privately Held (backing)</t>
        </is>
      </c>
      <c r="L591" s="20" t="inlineStr">
        <is>
          <t>Accelerator/Incubator Backed</t>
        </is>
      </c>
      <c r="M591" s="21" t="n">
        <v>42516.0</v>
      </c>
      <c r="N591" s="22" t="inlineStr">
        <is>
          <t>Accelerator/Incubator</t>
        </is>
      </c>
      <c r="O591" s="23" t="n">
        <v>0.05</v>
      </c>
      <c r="P591" s="101">
        <f>HYPERLINK("https://my.pitchbook.com?c=121701-34", "View company online")</f>
      </c>
    </row>
    <row r="592">
      <c r="A592" s="25" t="inlineStr">
        <is>
          <t>103298-95</t>
        </is>
      </c>
      <c r="B592" s="26" t="inlineStr">
        <is>
          <t>Tripcipe</t>
        </is>
      </c>
      <c r="C592" s="27" t="inlineStr">
        <is>
          <t/>
        </is>
      </c>
      <c r="D592" s="28" t="inlineStr">
        <is>
          <t/>
        </is>
      </c>
      <c r="E592" s="29" t="inlineStr">
        <is>
          <t/>
        </is>
      </c>
      <c r="F592" s="30" t="inlineStr">
        <is>
          <t/>
        </is>
      </c>
      <c r="G592" s="31" t="inlineStr">
        <is>
          <t/>
        </is>
      </c>
      <c r="H592" s="32" t="inlineStr">
        <is>
          <t/>
        </is>
      </c>
      <c r="I592" s="33" t="inlineStr">
        <is>
          <t/>
        </is>
      </c>
      <c r="J592" s="34" t="inlineStr">
        <is>
          <t/>
        </is>
      </c>
      <c r="K592" s="35" t="inlineStr">
        <is>
          <t>Privately Held (backing)</t>
        </is>
      </c>
      <c r="L592" s="36" t="inlineStr">
        <is>
          <t>Accelerator/Incubator Backed</t>
        </is>
      </c>
      <c r="M592" s="37" t="inlineStr">
        <is>
          <t/>
        </is>
      </c>
      <c r="N592" s="38" t="inlineStr">
        <is>
          <t>Accelerator/Incubator</t>
        </is>
      </c>
      <c r="O592" s="39" t="inlineStr">
        <is>
          <t/>
        </is>
      </c>
      <c r="P592" s="102">
        <f>HYPERLINK("https://my.pitchbook.com?c=103298-95", "View company online")</f>
      </c>
    </row>
    <row r="593">
      <c r="A593" s="9" t="inlineStr">
        <is>
          <t>156812-59</t>
        </is>
      </c>
      <c r="B593" s="10" t="inlineStr">
        <is>
          <t>Trinity Foods</t>
        </is>
      </c>
      <c r="C593" s="11" t="inlineStr">
        <is>
          <t/>
        </is>
      </c>
      <c r="D593" s="12" t="inlineStr">
        <is>
          <t/>
        </is>
      </c>
      <c r="E593" s="13" t="inlineStr">
        <is>
          <t>FY 2017</t>
        </is>
      </c>
      <c r="F593" s="14" t="n">
        <v>30.0</v>
      </c>
      <c r="G593" s="15" t="inlineStr">
        <is>
          <t/>
        </is>
      </c>
      <c r="H593" s="16" t="inlineStr">
        <is>
          <t/>
        </is>
      </c>
      <c r="I593" s="17" t="n">
        <v>18.0</v>
      </c>
      <c r="J593" s="18" t="inlineStr">
        <is>
          <t/>
        </is>
      </c>
      <c r="K593" s="19" t="inlineStr">
        <is>
          <t>Privately Held (backing)</t>
        </is>
      </c>
      <c r="L593" s="20" t="inlineStr">
        <is>
          <t>Angel-Backed</t>
        </is>
      </c>
      <c r="M593" s="21" t="n">
        <v>42811.0</v>
      </c>
      <c r="N593" s="22" t="inlineStr">
        <is>
          <t>Angel (individual)</t>
        </is>
      </c>
      <c r="O593" s="23" t="n">
        <v>0.52</v>
      </c>
      <c r="P593" s="101">
        <f>HYPERLINK("https://my.pitchbook.com?c=156812-59", "View company online")</f>
      </c>
    </row>
    <row r="594">
      <c r="A594" s="25" t="inlineStr">
        <is>
          <t>102751-21</t>
        </is>
      </c>
      <c r="B594" s="26" t="inlineStr">
        <is>
          <t>Trinity Energy Group</t>
        </is>
      </c>
      <c r="C594" s="27" t="inlineStr">
        <is>
          <t/>
        </is>
      </c>
      <c r="D594" s="28" t="inlineStr">
        <is>
          <t/>
        </is>
      </c>
      <c r="E594" s="29" t="inlineStr">
        <is>
          <t/>
        </is>
      </c>
      <c r="F594" s="30" t="inlineStr">
        <is>
          <t/>
        </is>
      </c>
      <c r="G594" s="31" t="inlineStr">
        <is>
          <t/>
        </is>
      </c>
      <c r="H594" s="32" t="inlineStr">
        <is>
          <t/>
        </is>
      </c>
      <c r="I594" s="33" t="inlineStr">
        <is>
          <t/>
        </is>
      </c>
      <c r="J594" s="34" t="inlineStr">
        <is>
          <t/>
        </is>
      </c>
      <c r="K594" s="35" t="inlineStr">
        <is>
          <t>Privately Held (backing)</t>
        </is>
      </c>
      <c r="L594" s="36" t="inlineStr">
        <is>
          <t>Angel-Backed</t>
        </is>
      </c>
      <c r="M594" s="37" t="n">
        <v>41680.0</v>
      </c>
      <c r="N594" s="38" t="inlineStr">
        <is>
          <t>Angel (individual)</t>
        </is>
      </c>
      <c r="O594" s="39" t="n">
        <v>0.2</v>
      </c>
      <c r="P594" s="102">
        <f>HYPERLINK("https://my.pitchbook.com?c=102751-21", "View company online")</f>
      </c>
    </row>
    <row r="595">
      <c r="A595" s="9" t="inlineStr">
        <is>
          <t>153816-76</t>
        </is>
      </c>
      <c r="B595" s="10" t="inlineStr">
        <is>
          <t>Tring Chat</t>
        </is>
      </c>
      <c r="C595" s="11" t="inlineStr">
        <is>
          <t/>
        </is>
      </c>
      <c r="D595" s="12" t="inlineStr">
        <is>
          <t/>
        </is>
      </c>
      <c r="E595" s="13" t="inlineStr">
        <is>
          <t/>
        </is>
      </c>
      <c r="F595" s="14" t="inlineStr">
        <is>
          <t/>
        </is>
      </c>
      <c r="G595" s="15" t="inlineStr">
        <is>
          <t/>
        </is>
      </c>
      <c r="H595" s="16" t="inlineStr">
        <is>
          <t/>
        </is>
      </c>
      <c r="I595" s="17" t="inlineStr">
        <is>
          <t/>
        </is>
      </c>
      <c r="J595" s="18" t="inlineStr">
        <is>
          <t/>
        </is>
      </c>
      <c r="K595" s="19" t="inlineStr">
        <is>
          <t>Privately Held (backing)</t>
        </is>
      </c>
      <c r="L595" s="20" t="inlineStr">
        <is>
          <t>Angel-Backed</t>
        </is>
      </c>
      <c r="M595" s="21" t="n">
        <v>42416.0</v>
      </c>
      <c r="N595" s="22" t="inlineStr">
        <is>
          <t>Angel (individual)</t>
        </is>
      </c>
      <c r="O595" s="23" t="inlineStr">
        <is>
          <t/>
        </is>
      </c>
      <c r="P595" s="101">
        <f>HYPERLINK("https://my.pitchbook.com?c=153816-76", "View company online")</f>
      </c>
    </row>
    <row r="596">
      <c r="A596" s="25" t="inlineStr">
        <is>
          <t>156451-69</t>
        </is>
      </c>
      <c r="B596" s="26" t="inlineStr">
        <is>
          <t>Trimian</t>
        </is>
      </c>
      <c r="C596" s="27" t="inlineStr">
        <is>
          <t/>
        </is>
      </c>
      <c r="D596" s="28" t="inlineStr">
        <is>
          <t/>
        </is>
      </c>
      <c r="E596" s="29" t="inlineStr">
        <is>
          <t/>
        </is>
      </c>
      <c r="F596" s="30" t="inlineStr">
        <is>
          <t/>
        </is>
      </c>
      <c r="G596" s="31" t="inlineStr">
        <is>
          <t/>
        </is>
      </c>
      <c r="H596" s="32" t="inlineStr">
        <is>
          <t/>
        </is>
      </c>
      <c r="I596" s="33" t="inlineStr">
        <is>
          <t/>
        </is>
      </c>
      <c r="J596" s="34" t="inlineStr">
        <is>
          <t/>
        </is>
      </c>
      <c r="K596" s="35" t="inlineStr">
        <is>
          <t>Privately Held (backing)</t>
        </is>
      </c>
      <c r="L596" s="36" t="inlineStr">
        <is>
          <t>Accelerator/Incubator Backed</t>
        </is>
      </c>
      <c r="M596" s="37" t="n">
        <v>42159.0</v>
      </c>
      <c r="N596" s="38" t="inlineStr">
        <is>
          <t>Seed Round</t>
        </is>
      </c>
      <c r="O596" s="39" t="inlineStr">
        <is>
          <t/>
        </is>
      </c>
      <c r="P596" s="102">
        <f>HYPERLINK("https://my.pitchbook.com?c=156451-69", "View company online")</f>
      </c>
    </row>
    <row r="597">
      <c r="A597" s="9" t="inlineStr">
        <is>
          <t>113917-87</t>
        </is>
      </c>
      <c r="B597" s="10" t="inlineStr">
        <is>
          <t>Trillium Finishing</t>
        </is>
      </c>
      <c r="C597" s="77">
        <f>HYPERLINK("https://my.pitchbook.com?rrp=113917-87&amp;type=c", "This Company's information is not available to download. Need this Company? Request availability")</f>
      </c>
      <c r="D597" s="12" t="inlineStr">
        <is>
          <t/>
        </is>
      </c>
      <c r="E597" s="13" t="inlineStr">
        <is>
          <t/>
        </is>
      </c>
      <c r="F597" s="14" t="inlineStr">
        <is>
          <t/>
        </is>
      </c>
      <c r="G597" s="15" t="inlineStr">
        <is>
          <t/>
        </is>
      </c>
      <c r="H597" s="16" t="inlineStr">
        <is>
          <t/>
        </is>
      </c>
      <c r="I597" s="17" t="inlineStr">
        <is>
          <t/>
        </is>
      </c>
      <c r="J597" s="18" t="inlineStr">
        <is>
          <t/>
        </is>
      </c>
      <c r="K597" s="19" t="inlineStr">
        <is>
          <t/>
        </is>
      </c>
      <c r="L597" s="20" t="inlineStr">
        <is>
          <t/>
        </is>
      </c>
      <c r="M597" s="21" t="inlineStr">
        <is>
          <t/>
        </is>
      </c>
      <c r="N597" s="22" t="inlineStr">
        <is>
          <t/>
        </is>
      </c>
      <c r="O597" s="23" t="inlineStr">
        <is>
          <t/>
        </is>
      </c>
      <c r="P597" s="24" t="inlineStr">
        <is>
          <t/>
        </is>
      </c>
    </row>
    <row r="598">
      <c r="A598" s="25" t="inlineStr">
        <is>
          <t>107852-05</t>
        </is>
      </c>
      <c r="B598" s="26" t="inlineStr">
        <is>
          <t>Triggar</t>
        </is>
      </c>
      <c r="C598" s="27" t="inlineStr">
        <is>
          <t/>
        </is>
      </c>
      <c r="D598" s="28" t="inlineStr">
        <is>
          <t/>
        </is>
      </c>
      <c r="E598" s="29" t="inlineStr">
        <is>
          <t/>
        </is>
      </c>
      <c r="F598" s="30" t="inlineStr">
        <is>
          <t/>
        </is>
      </c>
      <c r="G598" s="31" t="inlineStr">
        <is>
          <t/>
        </is>
      </c>
      <c r="H598" s="32" t="inlineStr">
        <is>
          <t/>
        </is>
      </c>
      <c r="I598" s="33" t="inlineStr">
        <is>
          <t/>
        </is>
      </c>
      <c r="J598" s="34" t="inlineStr">
        <is>
          <t/>
        </is>
      </c>
      <c r="K598" s="35" t="inlineStr">
        <is>
          <t>Privately Held (backing)</t>
        </is>
      </c>
      <c r="L598" s="36" t="inlineStr">
        <is>
          <t>Accelerator/Incubator Backed</t>
        </is>
      </c>
      <c r="M598" s="37" t="n">
        <v>42034.0</v>
      </c>
      <c r="N598" s="38" t="inlineStr">
        <is>
          <t>Accelerator/Incubator</t>
        </is>
      </c>
      <c r="O598" s="39" t="n">
        <v>0.1</v>
      </c>
      <c r="P598" s="102">
        <f>HYPERLINK("https://my.pitchbook.com?c=107852-05", "View company online")</f>
      </c>
    </row>
    <row r="599">
      <c r="A599" s="9" t="inlineStr">
        <is>
          <t>110715-58</t>
        </is>
      </c>
      <c r="B599" s="10" t="inlineStr">
        <is>
          <t>Tri-D Dynamics</t>
        </is>
      </c>
      <c r="C599" s="11" t="inlineStr">
        <is>
          <t/>
        </is>
      </c>
      <c r="D599" s="12" t="inlineStr">
        <is>
          <t/>
        </is>
      </c>
      <c r="E599" s="13" t="inlineStr">
        <is>
          <t/>
        </is>
      </c>
      <c r="F599" s="14" t="inlineStr">
        <is>
          <t/>
        </is>
      </c>
      <c r="G599" s="15" t="inlineStr">
        <is>
          <t/>
        </is>
      </c>
      <c r="H599" s="16" t="inlineStr">
        <is>
          <t/>
        </is>
      </c>
      <c r="I599" s="17" t="inlineStr">
        <is>
          <t/>
        </is>
      </c>
      <c r="J599" s="18" t="inlineStr">
        <is>
          <t/>
        </is>
      </c>
      <c r="K599" s="19" t="inlineStr">
        <is>
          <t>Privately Held (backing)</t>
        </is>
      </c>
      <c r="L599" s="20" t="inlineStr">
        <is>
          <t>Accelerator/Incubator Backed</t>
        </is>
      </c>
      <c r="M599" s="21" t="n">
        <v>43221.0</v>
      </c>
      <c r="N599" s="22" t="inlineStr">
        <is>
          <t>Seed Round</t>
        </is>
      </c>
      <c r="O599" s="23" t="n">
        <v>2.0</v>
      </c>
      <c r="P599" s="101">
        <f>HYPERLINK("https://my.pitchbook.com?c=110715-58", "View company online")</f>
      </c>
    </row>
    <row r="600">
      <c r="A600" s="25" t="inlineStr">
        <is>
          <t>61588-99</t>
        </is>
      </c>
      <c r="B600" s="26" t="inlineStr">
        <is>
          <t>Trice Imaging</t>
        </is>
      </c>
      <c r="C600" s="27" t="inlineStr">
        <is>
          <t/>
        </is>
      </c>
      <c r="D600" s="28" t="inlineStr">
        <is>
          <t/>
        </is>
      </c>
      <c r="E600" s="29" t="inlineStr">
        <is>
          <t/>
        </is>
      </c>
      <c r="F600" s="30" t="inlineStr">
        <is>
          <t/>
        </is>
      </c>
      <c r="G600" s="31" t="inlineStr">
        <is>
          <t/>
        </is>
      </c>
      <c r="H600" s="32" t="inlineStr">
        <is>
          <t/>
        </is>
      </c>
      <c r="I600" s="33" t="inlineStr">
        <is>
          <t/>
        </is>
      </c>
      <c r="J600" s="34" t="inlineStr">
        <is>
          <t/>
        </is>
      </c>
      <c r="K600" s="35" t="inlineStr">
        <is>
          <t>Privately Held (backing)</t>
        </is>
      </c>
      <c r="L600" s="36" t="inlineStr">
        <is>
          <t>Angel-Backed</t>
        </is>
      </c>
      <c r="M600" s="37" t="n">
        <v>42584.0</v>
      </c>
      <c r="N600" s="38" t="inlineStr">
        <is>
          <t>Corporate</t>
        </is>
      </c>
      <c r="O600" s="39" t="inlineStr">
        <is>
          <t/>
        </is>
      </c>
      <c r="P600" s="102">
        <f>HYPERLINK("https://my.pitchbook.com?c=61588-99", "View company online")</f>
      </c>
    </row>
    <row r="601">
      <c r="A601" s="9" t="inlineStr">
        <is>
          <t>127243-54</t>
        </is>
      </c>
      <c r="B601" s="10" t="inlineStr">
        <is>
          <t>Tribeworthy</t>
        </is>
      </c>
      <c r="C601" s="11" t="inlineStr">
        <is>
          <t/>
        </is>
      </c>
      <c r="D601" s="12" t="inlineStr">
        <is>
          <t/>
        </is>
      </c>
      <c r="E601" s="13" t="inlineStr">
        <is>
          <t/>
        </is>
      </c>
      <c r="F601" s="14" t="inlineStr">
        <is>
          <t/>
        </is>
      </c>
      <c r="G601" s="15" t="inlineStr">
        <is>
          <t/>
        </is>
      </c>
      <c r="H601" s="16" t="inlineStr">
        <is>
          <t/>
        </is>
      </c>
      <c r="I601" s="17" t="inlineStr">
        <is>
          <t/>
        </is>
      </c>
      <c r="J601" s="18" t="inlineStr">
        <is>
          <t/>
        </is>
      </c>
      <c r="K601" s="19" t="inlineStr">
        <is>
          <t>Privately Held (backing)</t>
        </is>
      </c>
      <c r="L601" s="20" t="inlineStr">
        <is>
          <t>Accelerator/Incubator Backed</t>
        </is>
      </c>
      <c r="M601" s="21" t="inlineStr">
        <is>
          <t/>
        </is>
      </c>
      <c r="N601" s="22" t="inlineStr">
        <is>
          <t>Accelerator/Incubator</t>
        </is>
      </c>
      <c r="O601" s="23" t="inlineStr">
        <is>
          <t/>
        </is>
      </c>
      <c r="P601" s="101">
        <f>HYPERLINK("https://my.pitchbook.com?c=127243-54", "View company online")</f>
      </c>
    </row>
    <row r="602">
      <c r="A602" s="25" t="inlineStr">
        <is>
          <t>167551-75</t>
        </is>
      </c>
      <c r="B602" s="26" t="inlineStr">
        <is>
          <t>Trials.ai</t>
        </is>
      </c>
      <c r="C602" s="27" t="inlineStr">
        <is>
          <t/>
        </is>
      </c>
      <c r="D602" s="28" t="inlineStr">
        <is>
          <t/>
        </is>
      </c>
      <c r="E602" s="29" t="inlineStr">
        <is>
          <t/>
        </is>
      </c>
      <c r="F602" s="30" t="inlineStr">
        <is>
          <t/>
        </is>
      </c>
      <c r="G602" s="31" t="inlineStr">
        <is>
          <t/>
        </is>
      </c>
      <c r="H602" s="32" t="inlineStr">
        <is>
          <t/>
        </is>
      </c>
      <c r="I602" s="33" t="inlineStr">
        <is>
          <t/>
        </is>
      </c>
      <c r="J602" s="34" t="inlineStr">
        <is>
          <t/>
        </is>
      </c>
      <c r="K602" s="35" t="inlineStr">
        <is>
          <t>Privately Held (backing)</t>
        </is>
      </c>
      <c r="L602" s="36" t="inlineStr">
        <is>
          <t>Accelerator/Incubator Backed</t>
        </is>
      </c>
      <c r="M602" s="37" t="n">
        <v>42663.0</v>
      </c>
      <c r="N602" s="38" t="inlineStr">
        <is>
          <t>Accelerator/Incubator</t>
        </is>
      </c>
      <c r="O602" s="39" t="inlineStr">
        <is>
          <t/>
        </is>
      </c>
      <c r="P602" s="102">
        <f>HYPERLINK("https://my.pitchbook.com?c=167551-75", "View company online")</f>
      </c>
    </row>
    <row r="603">
      <c r="A603" s="9" t="inlineStr">
        <is>
          <t>113748-49</t>
        </is>
      </c>
      <c r="B603" s="10" t="inlineStr">
        <is>
          <t>Trial Funder</t>
        </is>
      </c>
      <c r="C603" s="11" t="inlineStr">
        <is>
          <t/>
        </is>
      </c>
      <c r="D603" s="12" t="inlineStr">
        <is>
          <t/>
        </is>
      </c>
      <c r="E603" s="13" t="inlineStr">
        <is>
          <t/>
        </is>
      </c>
      <c r="F603" s="14" t="inlineStr">
        <is>
          <t/>
        </is>
      </c>
      <c r="G603" s="15" t="inlineStr">
        <is>
          <t/>
        </is>
      </c>
      <c r="H603" s="16" t="inlineStr">
        <is>
          <t/>
        </is>
      </c>
      <c r="I603" s="17" t="inlineStr">
        <is>
          <t/>
        </is>
      </c>
      <c r="J603" s="18" t="inlineStr">
        <is>
          <t/>
        </is>
      </c>
      <c r="K603" s="19" t="inlineStr">
        <is>
          <t>Privately Held (backing)</t>
        </is>
      </c>
      <c r="L603" s="20" t="inlineStr">
        <is>
          <t>Angel-Backed</t>
        </is>
      </c>
      <c r="M603" s="21" t="n">
        <v>42139.0</v>
      </c>
      <c r="N603" s="22" t="inlineStr">
        <is>
          <t>Angel (individual)</t>
        </is>
      </c>
      <c r="O603" s="23" t="inlineStr">
        <is>
          <t/>
        </is>
      </c>
      <c r="P603" s="101">
        <f>HYPERLINK("https://my.pitchbook.com?c=113748-49", "View company online")</f>
      </c>
    </row>
    <row r="604">
      <c r="A604" s="25" t="inlineStr">
        <is>
          <t>114987-25</t>
        </is>
      </c>
      <c r="B604" s="26" t="inlineStr">
        <is>
          <t>TriAct Therapeutics</t>
        </is>
      </c>
      <c r="C604" s="27" t="inlineStr">
        <is>
          <t/>
        </is>
      </c>
      <c r="D604" s="28" t="inlineStr">
        <is>
          <t/>
        </is>
      </c>
      <c r="E604" s="29" t="inlineStr">
        <is>
          <t/>
        </is>
      </c>
      <c r="F604" s="30" t="inlineStr">
        <is>
          <t/>
        </is>
      </c>
      <c r="G604" s="31" t="inlineStr">
        <is>
          <t/>
        </is>
      </c>
      <c r="H604" s="32" t="inlineStr">
        <is>
          <t/>
        </is>
      </c>
      <c r="I604" s="33" t="inlineStr">
        <is>
          <t/>
        </is>
      </c>
      <c r="J604" s="34" t="inlineStr">
        <is>
          <t/>
        </is>
      </c>
      <c r="K604" s="35" t="inlineStr">
        <is>
          <t>Privately Held (backing)</t>
        </is>
      </c>
      <c r="L604" s="36" t="inlineStr">
        <is>
          <t>Angel-Backed</t>
        </is>
      </c>
      <c r="M604" s="37" t="n">
        <v>42370.0</v>
      </c>
      <c r="N604" s="38" t="inlineStr">
        <is>
          <t>Later Stage VC</t>
        </is>
      </c>
      <c r="O604" s="39" t="inlineStr">
        <is>
          <t/>
        </is>
      </c>
      <c r="P604" s="102">
        <f>HYPERLINK("https://my.pitchbook.com?c=114987-25", "View company online")</f>
      </c>
    </row>
    <row r="605">
      <c r="A605" s="9" t="inlineStr">
        <is>
          <t>66175-03</t>
        </is>
      </c>
      <c r="B605" s="10" t="inlineStr">
        <is>
          <t>Trevi Systems</t>
        </is>
      </c>
      <c r="C605" s="11" t="inlineStr">
        <is>
          <t/>
        </is>
      </c>
      <c r="D605" s="12" t="inlineStr">
        <is>
          <t/>
        </is>
      </c>
      <c r="E605" s="13" t="inlineStr">
        <is>
          <t/>
        </is>
      </c>
      <c r="F605" s="14" t="inlineStr">
        <is>
          <t/>
        </is>
      </c>
      <c r="G605" s="15" t="inlineStr">
        <is>
          <t/>
        </is>
      </c>
      <c r="H605" s="16" t="inlineStr">
        <is>
          <t/>
        </is>
      </c>
      <c r="I605" s="17" t="inlineStr">
        <is>
          <t/>
        </is>
      </c>
      <c r="J605" s="18" t="inlineStr">
        <is>
          <t/>
        </is>
      </c>
      <c r="K605" s="19" t="inlineStr">
        <is>
          <t>Privately Held (backing)</t>
        </is>
      </c>
      <c r="L605" s="20" t="inlineStr">
        <is>
          <t>Angel-Backed</t>
        </is>
      </c>
      <c r="M605" s="21" t="n">
        <v>42600.0</v>
      </c>
      <c r="N605" s="22" t="inlineStr">
        <is>
          <t>Angel (individual)</t>
        </is>
      </c>
      <c r="O605" s="23" t="inlineStr">
        <is>
          <t/>
        </is>
      </c>
      <c r="P605" s="101">
        <f>HYPERLINK("https://my.pitchbook.com?c=66175-03", "View company online")</f>
      </c>
    </row>
    <row r="606">
      <c r="A606" s="25" t="inlineStr">
        <is>
          <t>172440-55</t>
        </is>
      </c>
      <c r="B606" s="26" t="inlineStr">
        <is>
          <t>Tresidder Networks</t>
        </is>
      </c>
      <c r="C606" s="78">
        <f>HYPERLINK("https://my.pitchbook.com?rrp=172440-55&amp;type=c", "This Company's information is not available to download. Need this Company? Request availability")</f>
      </c>
      <c r="D606" s="28" t="inlineStr">
        <is>
          <t/>
        </is>
      </c>
      <c r="E606" s="29" t="inlineStr">
        <is>
          <t/>
        </is>
      </c>
      <c r="F606" s="30" t="inlineStr">
        <is>
          <t/>
        </is>
      </c>
      <c r="G606" s="31" t="inlineStr">
        <is>
          <t/>
        </is>
      </c>
      <c r="H606" s="32" t="inlineStr">
        <is>
          <t/>
        </is>
      </c>
      <c r="I606" s="33" t="inlineStr">
        <is>
          <t/>
        </is>
      </c>
      <c r="J606" s="34" t="inlineStr">
        <is>
          <t/>
        </is>
      </c>
      <c r="K606" s="35" t="inlineStr">
        <is>
          <t/>
        </is>
      </c>
      <c r="L606" s="36" t="inlineStr">
        <is>
          <t/>
        </is>
      </c>
      <c r="M606" s="37" t="inlineStr">
        <is>
          <t/>
        </is>
      </c>
      <c r="N606" s="38" t="inlineStr">
        <is>
          <t/>
        </is>
      </c>
      <c r="O606" s="39" t="inlineStr">
        <is>
          <t/>
        </is>
      </c>
      <c r="P606" s="40" t="inlineStr">
        <is>
          <t/>
        </is>
      </c>
    </row>
    <row r="607">
      <c r="A607" s="9" t="inlineStr">
        <is>
          <t>162203-05</t>
        </is>
      </c>
      <c r="B607" s="10" t="inlineStr">
        <is>
          <t>Trepic</t>
        </is>
      </c>
      <c r="C607" s="11" t="inlineStr">
        <is>
          <t/>
        </is>
      </c>
      <c r="D607" s="12" t="inlineStr">
        <is>
          <t/>
        </is>
      </c>
      <c r="E607" s="13" t="inlineStr">
        <is>
          <t/>
        </is>
      </c>
      <c r="F607" s="14" t="inlineStr">
        <is>
          <t/>
        </is>
      </c>
      <c r="G607" s="15" t="inlineStr">
        <is>
          <t/>
        </is>
      </c>
      <c r="H607" s="16" t="inlineStr">
        <is>
          <t/>
        </is>
      </c>
      <c r="I607" s="17" t="inlineStr">
        <is>
          <t/>
        </is>
      </c>
      <c r="J607" s="18" t="inlineStr">
        <is>
          <t/>
        </is>
      </c>
      <c r="K607" s="19" t="inlineStr">
        <is>
          <t>Privately Held (backing)</t>
        </is>
      </c>
      <c r="L607" s="20" t="inlineStr">
        <is>
          <t>Angel-Backed</t>
        </is>
      </c>
      <c r="M607" s="21" t="n">
        <v>42064.0</v>
      </c>
      <c r="N607" s="22" t="inlineStr">
        <is>
          <t>Seed Round</t>
        </is>
      </c>
      <c r="O607" s="23" t="inlineStr">
        <is>
          <t/>
        </is>
      </c>
      <c r="P607" s="101">
        <f>HYPERLINK("https://my.pitchbook.com?c=162203-05", "View company online")</f>
      </c>
    </row>
    <row r="608">
      <c r="A608" s="25" t="inlineStr">
        <is>
          <t>91230-13</t>
        </is>
      </c>
      <c r="B608" s="26" t="inlineStr">
        <is>
          <t>Trendy Mondays</t>
        </is>
      </c>
      <c r="C608" s="27" t="inlineStr">
        <is>
          <t/>
        </is>
      </c>
      <c r="D608" s="28" t="inlineStr">
        <is>
          <t/>
        </is>
      </c>
      <c r="E608" s="29" t="inlineStr">
        <is>
          <t/>
        </is>
      </c>
      <c r="F608" s="30" t="inlineStr">
        <is>
          <t/>
        </is>
      </c>
      <c r="G608" s="31" t="inlineStr">
        <is>
          <t/>
        </is>
      </c>
      <c r="H608" s="32" t="inlineStr">
        <is>
          <t/>
        </is>
      </c>
      <c r="I608" s="33" t="inlineStr">
        <is>
          <t/>
        </is>
      </c>
      <c r="J608" s="34" t="inlineStr">
        <is>
          <t/>
        </is>
      </c>
      <c r="K608" s="35" t="inlineStr">
        <is>
          <t>Privately Held (backing)</t>
        </is>
      </c>
      <c r="L608" s="36" t="inlineStr">
        <is>
          <t>Angel-Backed</t>
        </is>
      </c>
      <c r="M608" s="37" t="n">
        <v>41779.0</v>
      </c>
      <c r="N608" s="38" t="inlineStr">
        <is>
          <t>Seed Round</t>
        </is>
      </c>
      <c r="O608" s="39" t="n">
        <v>0.04</v>
      </c>
      <c r="P608" s="102">
        <f>HYPERLINK("https://my.pitchbook.com?c=91230-13", "View company online")</f>
      </c>
    </row>
    <row r="609">
      <c r="A609" s="9" t="inlineStr">
        <is>
          <t>150910-48</t>
        </is>
      </c>
      <c r="B609" s="10" t="inlineStr">
        <is>
          <t>Trendage</t>
        </is>
      </c>
      <c r="C609" s="11" t="inlineStr">
        <is>
          <t/>
        </is>
      </c>
      <c r="D609" s="12" t="inlineStr">
        <is>
          <t/>
        </is>
      </c>
      <c r="E609" s="13" t="inlineStr">
        <is>
          <t/>
        </is>
      </c>
      <c r="F609" s="14" t="inlineStr">
        <is>
          <t/>
        </is>
      </c>
      <c r="G609" s="15" t="inlineStr">
        <is>
          <t/>
        </is>
      </c>
      <c r="H609" s="16" t="inlineStr">
        <is>
          <t/>
        </is>
      </c>
      <c r="I609" s="17" t="inlineStr">
        <is>
          <t/>
        </is>
      </c>
      <c r="J609" s="18" t="inlineStr">
        <is>
          <t/>
        </is>
      </c>
      <c r="K609" s="19" t="inlineStr">
        <is>
          <t>Privately Held (backing)</t>
        </is>
      </c>
      <c r="L609" s="20" t="inlineStr">
        <is>
          <t>Angel-Backed</t>
        </is>
      </c>
      <c r="M609" s="21" t="inlineStr">
        <is>
          <t/>
        </is>
      </c>
      <c r="N609" s="22" t="inlineStr">
        <is>
          <t>Seed Round</t>
        </is>
      </c>
      <c r="O609" s="23" t="inlineStr">
        <is>
          <t/>
        </is>
      </c>
      <c r="P609" s="101">
        <f>HYPERLINK("https://my.pitchbook.com?c=150910-48", "View company online")</f>
      </c>
    </row>
    <row r="610">
      <c r="A610" s="25" t="inlineStr">
        <is>
          <t>173708-56</t>
        </is>
      </c>
      <c r="B610" s="26" t="inlineStr">
        <is>
          <t>Trekk</t>
        </is>
      </c>
      <c r="C610" s="78">
        <f>HYPERLINK("https://my.pitchbook.com?rrp=173708-56&amp;type=c", "This Company's information is not available to download. Need this Company? Request availability")</f>
      </c>
      <c r="D610" s="28" t="inlineStr">
        <is>
          <t/>
        </is>
      </c>
      <c r="E610" s="29" t="inlineStr">
        <is>
          <t/>
        </is>
      </c>
      <c r="F610" s="30" t="inlineStr">
        <is>
          <t/>
        </is>
      </c>
      <c r="G610" s="31" t="inlineStr">
        <is>
          <t/>
        </is>
      </c>
      <c r="H610" s="32" t="inlineStr">
        <is>
          <t/>
        </is>
      </c>
      <c r="I610" s="33" t="inlineStr">
        <is>
          <t/>
        </is>
      </c>
      <c r="J610" s="34" t="inlineStr">
        <is>
          <t/>
        </is>
      </c>
      <c r="K610" s="35" t="inlineStr">
        <is>
          <t/>
        </is>
      </c>
      <c r="L610" s="36" t="inlineStr">
        <is>
          <t/>
        </is>
      </c>
      <c r="M610" s="37" t="inlineStr">
        <is>
          <t/>
        </is>
      </c>
      <c r="N610" s="38" t="inlineStr">
        <is>
          <t/>
        </is>
      </c>
      <c r="O610" s="39" t="inlineStr">
        <is>
          <t/>
        </is>
      </c>
      <c r="P610" s="40" t="inlineStr">
        <is>
          <t/>
        </is>
      </c>
    </row>
    <row r="611">
      <c r="A611" s="9" t="inlineStr">
        <is>
          <t>94273-21</t>
        </is>
      </c>
      <c r="B611" s="10" t="inlineStr">
        <is>
          <t>Trekaroo</t>
        </is>
      </c>
      <c r="C611" s="11" t="inlineStr">
        <is>
          <t/>
        </is>
      </c>
      <c r="D611" s="12" t="inlineStr">
        <is>
          <t/>
        </is>
      </c>
      <c r="E611" s="13" t="inlineStr">
        <is>
          <t/>
        </is>
      </c>
      <c r="F611" s="14" t="inlineStr">
        <is>
          <t/>
        </is>
      </c>
      <c r="G611" s="15" t="inlineStr">
        <is>
          <t/>
        </is>
      </c>
      <c r="H611" s="16" t="inlineStr">
        <is>
          <t/>
        </is>
      </c>
      <c r="I611" s="17" t="inlineStr">
        <is>
          <t/>
        </is>
      </c>
      <c r="J611" s="18" t="inlineStr">
        <is>
          <t/>
        </is>
      </c>
      <c r="K611" s="19" t="inlineStr">
        <is>
          <t>Privately Held (backing)</t>
        </is>
      </c>
      <c r="L611" s="20" t="inlineStr">
        <is>
          <t>Accelerator/Incubator Backed</t>
        </is>
      </c>
      <c r="M611" s="21" t="n">
        <v>41377.0</v>
      </c>
      <c r="N611" s="22" t="inlineStr">
        <is>
          <t>Accelerator/Incubator</t>
        </is>
      </c>
      <c r="O611" s="23" t="inlineStr">
        <is>
          <t/>
        </is>
      </c>
      <c r="P611" s="101">
        <f>HYPERLINK("https://my.pitchbook.com?c=94273-21", "View company online")</f>
      </c>
    </row>
    <row r="612">
      <c r="A612" s="25" t="inlineStr">
        <is>
          <t>112850-47</t>
        </is>
      </c>
      <c r="B612" s="26" t="inlineStr">
        <is>
          <t>Trefoil Therapeutics</t>
        </is>
      </c>
      <c r="C612" s="27" t="inlineStr">
        <is>
          <t/>
        </is>
      </c>
      <c r="D612" s="28" t="inlineStr">
        <is>
          <t/>
        </is>
      </c>
      <c r="E612" s="29" t="inlineStr">
        <is>
          <t/>
        </is>
      </c>
      <c r="F612" s="30" t="inlineStr">
        <is>
          <t/>
        </is>
      </c>
      <c r="G612" s="31" t="inlineStr">
        <is>
          <t/>
        </is>
      </c>
      <c r="H612" s="32" t="inlineStr">
        <is>
          <t/>
        </is>
      </c>
      <c r="I612" s="33" t="inlineStr">
        <is>
          <t/>
        </is>
      </c>
      <c r="J612" s="34" t="inlineStr">
        <is>
          <t/>
        </is>
      </c>
      <c r="K612" s="35" t="inlineStr">
        <is>
          <t>Privately Held (backing)</t>
        </is>
      </c>
      <c r="L612" s="36" t="inlineStr">
        <is>
          <t>Accelerator/Incubator Backed</t>
        </is>
      </c>
      <c r="M612" s="37" t="n">
        <v>42705.0</v>
      </c>
      <c r="N612" s="38" t="inlineStr">
        <is>
          <t>Seed Round</t>
        </is>
      </c>
      <c r="O612" s="39" t="n">
        <v>4.16</v>
      </c>
      <c r="P612" s="102">
        <f>HYPERLINK("https://my.pitchbook.com?c=112850-47", "View company online")</f>
      </c>
    </row>
    <row r="613">
      <c r="A613" s="9" t="inlineStr">
        <is>
          <t>178285-42</t>
        </is>
      </c>
      <c r="B613" s="10" t="inlineStr">
        <is>
          <t>Tree To Tub</t>
        </is>
      </c>
      <c r="C613" s="11" t="inlineStr">
        <is>
          <t/>
        </is>
      </c>
      <c r="D613" s="12" t="inlineStr">
        <is>
          <t/>
        </is>
      </c>
      <c r="E613" s="13" t="inlineStr">
        <is>
          <t/>
        </is>
      </c>
      <c r="F613" s="14" t="inlineStr">
        <is>
          <t/>
        </is>
      </c>
      <c r="G613" s="15" t="inlineStr">
        <is>
          <t/>
        </is>
      </c>
      <c r="H613" s="16" t="inlineStr">
        <is>
          <t/>
        </is>
      </c>
      <c r="I613" s="17" t="inlineStr">
        <is>
          <t/>
        </is>
      </c>
      <c r="J613" s="18" t="inlineStr">
        <is>
          <t/>
        </is>
      </c>
      <c r="K613" s="19" t="inlineStr">
        <is>
          <t>Privately Held (backing)</t>
        </is>
      </c>
      <c r="L613" s="20" t="inlineStr">
        <is>
          <t>Accelerator/Incubator Backed</t>
        </is>
      </c>
      <c r="M613" s="21" t="n">
        <v>42736.0</v>
      </c>
      <c r="N613" s="22" t="inlineStr">
        <is>
          <t>Product Crowdfunding</t>
        </is>
      </c>
      <c r="O613" s="23" t="n">
        <v>0.02</v>
      </c>
      <c r="P613" s="101">
        <f>HYPERLINK("https://my.pitchbook.com?c=178285-42", "View company online")</f>
      </c>
    </row>
    <row r="614">
      <c r="A614" s="25" t="inlineStr">
        <is>
          <t>107187-67</t>
        </is>
      </c>
      <c r="B614" s="26" t="inlineStr">
        <is>
          <t>Tree Computer</t>
        </is>
      </c>
      <c r="C614" s="27" t="inlineStr">
        <is>
          <t/>
        </is>
      </c>
      <c r="D614" s="28" t="inlineStr">
        <is>
          <t/>
        </is>
      </c>
      <c r="E614" s="29" t="inlineStr">
        <is>
          <t/>
        </is>
      </c>
      <c r="F614" s="30" t="inlineStr">
        <is>
          <t/>
        </is>
      </c>
      <c r="G614" s="31" t="inlineStr">
        <is>
          <t/>
        </is>
      </c>
      <c r="H614" s="32" t="inlineStr">
        <is>
          <t/>
        </is>
      </c>
      <c r="I614" s="33" t="inlineStr">
        <is>
          <t/>
        </is>
      </c>
      <c r="J614" s="34" t="inlineStr">
        <is>
          <t/>
        </is>
      </c>
      <c r="K614" s="35" t="inlineStr">
        <is>
          <t>Privately Held (backing)</t>
        </is>
      </c>
      <c r="L614" s="36" t="inlineStr">
        <is>
          <t>Angel-Backed</t>
        </is>
      </c>
      <c r="M614" s="37" t="n">
        <v>41829.0</v>
      </c>
      <c r="N614" s="38" t="inlineStr">
        <is>
          <t>Seed Round</t>
        </is>
      </c>
      <c r="O614" s="39" t="n">
        <v>0.2</v>
      </c>
      <c r="P614" s="102">
        <f>HYPERLINK("https://my.pitchbook.com?c=107187-67", "View company online")</f>
      </c>
    </row>
    <row r="615">
      <c r="A615" s="9" t="inlineStr">
        <is>
          <t>115487-20</t>
        </is>
      </c>
      <c r="B615" s="10" t="inlineStr">
        <is>
          <t>Treats</t>
        </is>
      </c>
      <c r="C615" s="11" t="inlineStr">
        <is>
          <t/>
        </is>
      </c>
      <c r="D615" s="12" t="inlineStr">
        <is>
          <t/>
        </is>
      </c>
      <c r="E615" s="13" t="inlineStr">
        <is>
          <t/>
        </is>
      </c>
      <c r="F615" s="14" t="inlineStr">
        <is>
          <t/>
        </is>
      </c>
      <c r="G615" s="15" t="inlineStr">
        <is>
          <t/>
        </is>
      </c>
      <c r="H615" s="16" t="inlineStr">
        <is>
          <t/>
        </is>
      </c>
      <c r="I615" s="17" t="inlineStr">
        <is>
          <t/>
        </is>
      </c>
      <c r="J615" s="18" t="inlineStr">
        <is>
          <t/>
        </is>
      </c>
      <c r="K615" s="19" t="inlineStr">
        <is>
          <t>Privately Held (backing)</t>
        </is>
      </c>
      <c r="L615" s="20" t="inlineStr">
        <is>
          <t>Accelerator/Incubator Backed</t>
        </is>
      </c>
      <c r="M615" s="21" t="n">
        <v>41640.0</v>
      </c>
      <c r="N615" s="22" t="inlineStr">
        <is>
          <t>Accelerator/Incubator</t>
        </is>
      </c>
      <c r="O615" s="23" t="inlineStr">
        <is>
          <t/>
        </is>
      </c>
      <c r="P615" s="101">
        <f>HYPERLINK("https://my.pitchbook.com?c=115487-20", "View company online")</f>
      </c>
    </row>
    <row r="616">
      <c r="A616" s="25" t="inlineStr">
        <is>
          <t>163577-62</t>
        </is>
      </c>
      <c r="B616" s="26" t="inlineStr">
        <is>
          <t>Treat App</t>
        </is>
      </c>
      <c r="C616" s="27" t="inlineStr">
        <is>
          <t/>
        </is>
      </c>
      <c r="D616" s="28" t="inlineStr">
        <is>
          <t/>
        </is>
      </c>
      <c r="E616" s="29" t="inlineStr">
        <is>
          <t/>
        </is>
      </c>
      <c r="F616" s="30" t="inlineStr">
        <is>
          <t/>
        </is>
      </c>
      <c r="G616" s="31" t="inlineStr">
        <is>
          <t/>
        </is>
      </c>
      <c r="H616" s="32" t="inlineStr">
        <is>
          <t/>
        </is>
      </c>
      <c r="I616" s="33" t="inlineStr">
        <is>
          <t/>
        </is>
      </c>
      <c r="J616" s="34" t="inlineStr">
        <is>
          <t/>
        </is>
      </c>
      <c r="K616" s="35" t="inlineStr">
        <is>
          <t>Privately Held (backing)</t>
        </is>
      </c>
      <c r="L616" s="36" t="inlineStr">
        <is>
          <t>Accelerator/Incubator Backed</t>
        </is>
      </c>
      <c r="M616" s="37" t="n">
        <v>42583.0</v>
      </c>
      <c r="N616" s="38" t="inlineStr">
        <is>
          <t>Accelerator/Incubator</t>
        </is>
      </c>
      <c r="O616" s="39" t="n">
        <v>0.13</v>
      </c>
      <c r="P616" s="102">
        <f>HYPERLINK("https://my.pitchbook.com?c=163577-62", "View company online")</f>
      </c>
    </row>
    <row r="617">
      <c r="A617" s="9" t="inlineStr">
        <is>
          <t>58183-03</t>
        </is>
      </c>
      <c r="B617" s="10" t="inlineStr">
        <is>
          <t>Treasury Holdings</t>
        </is>
      </c>
      <c r="C617" s="11" t="inlineStr">
        <is>
          <t/>
        </is>
      </c>
      <c r="D617" s="12" t="inlineStr">
        <is>
          <t/>
        </is>
      </c>
      <c r="E617" s="13" t="inlineStr">
        <is>
          <t/>
        </is>
      </c>
      <c r="F617" s="14" t="inlineStr">
        <is>
          <t/>
        </is>
      </c>
      <c r="G617" s="15" t="inlineStr">
        <is>
          <t/>
        </is>
      </c>
      <c r="H617" s="16" t="inlineStr">
        <is>
          <t/>
        </is>
      </c>
      <c r="I617" s="17" t="inlineStr">
        <is>
          <t/>
        </is>
      </c>
      <c r="J617" s="18" t="inlineStr">
        <is>
          <t/>
        </is>
      </c>
      <c r="K617" s="19" t="inlineStr">
        <is>
          <t>Privately Held (backing)</t>
        </is>
      </c>
      <c r="L617" s="20" t="inlineStr">
        <is>
          <t>Angel-Backed</t>
        </is>
      </c>
      <c r="M617" s="21" t="n">
        <v>42081.0</v>
      </c>
      <c r="N617" s="22" t="inlineStr">
        <is>
          <t>Angel (individual)</t>
        </is>
      </c>
      <c r="O617" s="23" t="n">
        <v>1.74</v>
      </c>
      <c r="P617" s="101">
        <f>HYPERLINK("https://my.pitchbook.com?c=58183-03", "View company online")</f>
      </c>
    </row>
    <row r="618">
      <c r="A618" s="25" t="inlineStr">
        <is>
          <t>95475-88</t>
        </is>
      </c>
      <c r="B618" s="26" t="inlineStr">
        <is>
          <t>Traxian</t>
        </is>
      </c>
      <c r="C618" s="27" t="inlineStr">
        <is>
          <t/>
        </is>
      </c>
      <c r="D618" s="28" t="inlineStr">
        <is>
          <t/>
        </is>
      </c>
      <c r="E618" s="29" t="inlineStr">
        <is>
          <t/>
        </is>
      </c>
      <c r="F618" s="30" t="inlineStr">
        <is>
          <t/>
        </is>
      </c>
      <c r="G618" s="31" t="inlineStr">
        <is>
          <t/>
        </is>
      </c>
      <c r="H618" s="32" t="inlineStr">
        <is>
          <t/>
        </is>
      </c>
      <c r="I618" s="33" t="inlineStr">
        <is>
          <t/>
        </is>
      </c>
      <c r="J618" s="34" t="inlineStr">
        <is>
          <t/>
        </is>
      </c>
      <c r="K618" s="35" t="inlineStr">
        <is>
          <t>Privately Held (backing)</t>
        </is>
      </c>
      <c r="L618" s="36" t="inlineStr">
        <is>
          <t>Angel-Backed</t>
        </is>
      </c>
      <c r="M618" s="37" t="n">
        <v>40603.0</v>
      </c>
      <c r="N618" s="38" t="inlineStr">
        <is>
          <t>Convertible Debt</t>
        </is>
      </c>
      <c r="O618" s="39" t="n">
        <v>0.06</v>
      </c>
      <c r="P618" s="102">
        <f>HYPERLINK("https://my.pitchbook.com?c=95475-88", "View company online")</f>
      </c>
    </row>
    <row r="619">
      <c r="A619" s="9" t="inlineStr">
        <is>
          <t>90368-56</t>
        </is>
      </c>
      <c r="B619" s="10" t="inlineStr">
        <is>
          <t>TravelZeeky</t>
        </is>
      </c>
      <c r="C619" s="11" t="inlineStr">
        <is>
          <t/>
        </is>
      </c>
      <c r="D619" s="12" t="inlineStr">
        <is>
          <t/>
        </is>
      </c>
      <c r="E619" s="13" t="inlineStr">
        <is>
          <t/>
        </is>
      </c>
      <c r="F619" s="14" t="inlineStr">
        <is>
          <t/>
        </is>
      </c>
      <c r="G619" s="15" t="inlineStr">
        <is>
          <t/>
        </is>
      </c>
      <c r="H619" s="16" t="inlineStr">
        <is>
          <t/>
        </is>
      </c>
      <c r="I619" s="17" t="inlineStr">
        <is>
          <t/>
        </is>
      </c>
      <c r="J619" s="18" t="inlineStr">
        <is>
          <t/>
        </is>
      </c>
      <c r="K619" s="19" t="inlineStr">
        <is>
          <t>Privately Held (backing)</t>
        </is>
      </c>
      <c r="L619" s="20" t="inlineStr">
        <is>
          <t>Angel-Backed</t>
        </is>
      </c>
      <c r="M619" s="21" t="n">
        <v>41856.0</v>
      </c>
      <c r="N619" s="22" t="inlineStr">
        <is>
          <t>Angel (individual)</t>
        </is>
      </c>
      <c r="O619" s="23" t="inlineStr">
        <is>
          <t/>
        </is>
      </c>
      <c r="P619" s="101">
        <f>HYPERLINK("https://my.pitchbook.com?c=90368-56", "View company online")</f>
      </c>
    </row>
    <row r="620">
      <c r="A620" s="25" t="inlineStr">
        <is>
          <t>93003-31</t>
        </is>
      </c>
      <c r="B620" s="26" t="inlineStr">
        <is>
          <t>TravelSite.com</t>
        </is>
      </c>
      <c r="C620" s="27" t="inlineStr">
        <is>
          <t/>
        </is>
      </c>
      <c r="D620" s="28" t="inlineStr">
        <is>
          <t/>
        </is>
      </c>
      <c r="E620" s="29" t="inlineStr">
        <is>
          <t/>
        </is>
      </c>
      <c r="F620" s="30" t="inlineStr">
        <is>
          <t/>
        </is>
      </c>
      <c r="G620" s="31" t="inlineStr">
        <is>
          <t/>
        </is>
      </c>
      <c r="H620" s="32" t="inlineStr">
        <is>
          <t/>
        </is>
      </c>
      <c r="I620" s="33" t="inlineStr">
        <is>
          <t/>
        </is>
      </c>
      <c r="J620" s="34" t="inlineStr">
        <is>
          <t/>
        </is>
      </c>
      <c r="K620" s="35" t="inlineStr">
        <is>
          <t>Privately Held (backing)</t>
        </is>
      </c>
      <c r="L620" s="36" t="inlineStr">
        <is>
          <t>Angel-Backed</t>
        </is>
      </c>
      <c r="M620" s="37" t="n">
        <v>41618.0</v>
      </c>
      <c r="N620" s="38" t="inlineStr">
        <is>
          <t>Seed Round</t>
        </is>
      </c>
      <c r="O620" s="39" t="n">
        <v>0.13</v>
      </c>
      <c r="P620" s="102">
        <f>HYPERLINK("https://my.pitchbook.com?c=93003-31", "View company online")</f>
      </c>
    </row>
    <row r="621">
      <c r="A621" s="9" t="inlineStr">
        <is>
          <t>95290-84</t>
        </is>
      </c>
      <c r="B621" s="10" t="inlineStr">
        <is>
          <t>TravelKnowledge</t>
        </is>
      </c>
      <c r="C621" s="11" t="inlineStr">
        <is>
          <t/>
        </is>
      </c>
      <c r="D621" s="12" t="inlineStr">
        <is>
          <t/>
        </is>
      </c>
      <c r="E621" s="13" t="inlineStr">
        <is>
          <t/>
        </is>
      </c>
      <c r="F621" s="14" t="inlineStr">
        <is>
          <t/>
        </is>
      </c>
      <c r="G621" s="15" t="inlineStr">
        <is>
          <t/>
        </is>
      </c>
      <c r="H621" s="16" t="inlineStr">
        <is>
          <t/>
        </is>
      </c>
      <c r="I621" s="17" t="inlineStr">
        <is>
          <t/>
        </is>
      </c>
      <c r="J621" s="18" t="inlineStr">
        <is>
          <t/>
        </is>
      </c>
      <c r="K621" s="19" t="inlineStr">
        <is>
          <t>Privately Held (backing)</t>
        </is>
      </c>
      <c r="L621" s="20" t="inlineStr">
        <is>
          <t>Angel-Backed</t>
        </is>
      </c>
      <c r="M621" s="21" t="n">
        <v>42188.0</v>
      </c>
      <c r="N621" s="22" t="inlineStr">
        <is>
          <t>Seed Round</t>
        </is>
      </c>
      <c r="O621" s="23" t="n">
        <v>0.1</v>
      </c>
      <c r="P621" s="101">
        <f>HYPERLINK("https://my.pitchbook.com?c=95290-84", "View company online")</f>
      </c>
    </row>
    <row r="622">
      <c r="A622" s="25" t="inlineStr">
        <is>
          <t>166369-15</t>
        </is>
      </c>
      <c r="B622" s="26" t="inlineStr">
        <is>
          <t>TravelJoy</t>
        </is>
      </c>
      <c r="C622" s="27" t="inlineStr">
        <is>
          <t/>
        </is>
      </c>
      <c r="D622" s="28" t="inlineStr">
        <is>
          <t/>
        </is>
      </c>
      <c r="E622" s="29" t="inlineStr">
        <is>
          <t/>
        </is>
      </c>
      <c r="F622" s="30" t="inlineStr">
        <is>
          <t/>
        </is>
      </c>
      <c r="G622" s="31" t="inlineStr">
        <is>
          <t/>
        </is>
      </c>
      <c r="H622" s="32" t="inlineStr">
        <is>
          <t/>
        </is>
      </c>
      <c r="I622" s="33" t="inlineStr">
        <is>
          <t/>
        </is>
      </c>
      <c r="J622" s="34" t="inlineStr">
        <is>
          <t/>
        </is>
      </c>
      <c r="K622" s="35" t="inlineStr">
        <is>
          <t>Privately Held (backing)</t>
        </is>
      </c>
      <c r="L622" s="36" t="inlineStr">
        <is>
          <t>Accelerator/Incubator Backed</t>
        </is>
      </c>
      <c r="M622" s="37" t="n">
        <v>42620.0</v>
      </c>
      <c r="N622" s="38" t="inlineStr">
        <is>
          <t>Accelerator/Incubator</t>
        </is>
      </c>
      <c r="O622" s="39" t="n">
        <v>0.12</v>
      </c>
      <c r="P622" s="102">
        <f>HYPERLINK("https://my.pitchbook.com?c=166369-15", "View company online")</f>
      </c>
    </row>
    <row r="623">
      <c r="A623" s="9" t="inlineStr">
        <is>
          <t>95611-42</t>
        </is>
      </c>
      <c r="B623" s="10" t="inlineStr">
        <is>
          <t>Travelenvy</t>
        </is>
      </c>
      <c r="C623" s="11" t="inlineStr">
        <is>
          <t/>
        </is>
      </c>
      <c r="D623" s="12" t="inlineStr">
        <is>
          <t/>
        </is>
      </c>
      <c r="E623" s="13" t="inlineStr">
        <is>
          <t/>
        </is>
      </c>
      <c r="F623" s="14" t="inlineStr">
        <is>
          <t/>
        </is>
      </c>
      <c r="G623" s="15" t="inlineStr">
        <is>
          <t/>
        </is>
      </c>
      <c r="H623" s="16" t="inlineStr">
        <is>
          <t/>
        </is>
      </c>
      <c r="I623" s="17" t="inlineStr">
        <is>
          <t/>
        </is>
      </c>
      <c r="J623" s="18" t="inlineStr">
        <is>
          <t/>
        </is>
      </c>
      <c r="K623" s="19" t="inlineStr">
        <is>
          <t>Privately Held (backing)</t>
        </is>
      </c>
      <c r="L623" s="20" t="inlineStr">
        <is>
          <t>Angel-Backed</t>
        </is>
      </c>
      <c r="M623" s="21" t="n">
        <v>41885.0</v>
      </c>
      <c r="N623" s="22" t="inlineStr">
        <is>
          <t>Seed Round</t>
        </is>
      </c>
      <c r="O623" s="23" t="n">
        <v>0.6</v>
      </c>
      <c r="P623" s="101">
        <f>HYPERLINK("https://my.pitchbook.com?c=95611-42", "View company online")</f>
      </c>
    </row>
    <row r="624">
      <c r="A624" s="25" t="inlineStr">
        <is>
          <t>127590-40</t>
        </is>
      </c>
      <c r="B624" s="26" t="inlineStr">
        <is>
          <t>Travel With Dusita</t>
        </is>
      </c>
      <c r="C624" s="27" t="inlineStr">
        <is>
          <t/>
        </is>
      </c>
      <c r="D624" s="28" t="inlineStr">
        <is>
          <t/>
        </is>
      </c>
      <c r="E624" s="29" t="inlineStr">
        <is>
          <t/>
        </is>
      </c>
      <c r="F624" s="30" t="inlineStr">
        <is>
          <t/>
        </is>
      </c>
      <c r="G624" s="31" t="inlineStr">
        <is>
          <t/>
        </is>
      </c>
      <c r="H624" s="32" t="inlineStr">
        <is>
          <t/>
        </is>
      </c>
      <c r="I624" s="33" t="inlineStr">
        <is>
          <t/>
        </is>
      </c>
      <c r="J624" s="34" t="inlineStr">
        <is>
          <t/>
        </is>
      </c>
      <c r="K624" s="35" t="inlineStr">
        <is>
          <t>Privately Held (backing)</t>
        </is>
      </c>
      <c r="L624" s="36" t="inlineStr">
        <is>
          <t>Accelerator/Incubator Backed</t>
        </is>
      </c>
      <c r="M624" s="37" t="inlineStr">
        <is>
          <t/>
        </is>
      </c>
      <c r="N624" s="38" t="inlineStr">
        <is>
          <t>Accelerator/Incubator</t>
        </is>
      </c>
      <c r="O624" s="39" t="inlineStr">
        <is>
          <t/>
        </is>
      </c>
      <c r="P624" s="102">
        <f>HYPERLINK("https://my.pitchbook.com?c=127590-40", "View company online")</f>
      </c>
    </row>
    <row r="625">
      <c r="A625" s="9" t="inlineStr">
        <is>
          <t>171434-53</t>
        </is>
      </c>
      <c r="B625" s="10" t="inlineStr">
        <is>
          <t>TransPower</t>
        </is>
      </c>
      <c r="C625" s="77">
        <f>HYPERLINK("https://my.pitchbook.com?rrp=171434-53&amp;type=c", "This Company's information is not available to download. Need this Company? Request availability")</f>
      </c>
      <c r="D625" s="12" t="inlineStr">
        <is>
          <t/>
        </is>
      </c>
      <c r="E625" s="13" t="inlineStr">
        <is>
          <t/>
        </is>
      </c>
      <c r="F625" s="14" t="inlineStr">
        <is>
          <t/>
        </is>
      </c>
      <c r="G625" s="15" t="inlineStr">
        <is>
          <t/>
        </is>
      </c>
      <c r="H625" s="16" t="inlineStr">
        <is>
          <t/>
        </is>
      </c>
      <c r="I625" s="17" t="inlineStr">
        <is>
          <t/>
        </is>
      </c>
      <c r="J625" s="18" t="inlineStr">
        <is>
          <t/>
        </is>
      </c>
      <c r="K625" s="19" t="inlineStr">
        <is>
          <t/>
        </is>
      </c>
      <c r="L625" s="20" t="inlineStr">
        <is>
          <t/>
        </is>
      </c>
      <c r="M625" s="21" t="inlineStr">
        <is>
          <t/>
        </is>
      </c>
      <c r="N625" s="22" t="inlineStr">
        <is>
          <t/>
        </is>
      </c>
      <c r="O625" s="23" t="inlineStr">
        <is>
          <t/>
        </is>
      </c>
      <c r="P625" s="24" t="inlineStr">
        <is>
          <t/>
        </is>
      </c>
    </row>
    <row r="626">
      <c r="A626" s="25" t="inlineStr">
        <is>
          <t>174327-40</t>
        </is>
      </c>
      <c r="B626" s="26" t="inlineStr">
        <is>
          <t>Translational Research Management</t>
        </is>
      </c>
      <c r="C626" s="78">
        <f>HYPERLINK("https://my.pitchbook.com?rrp=174327-40&amp;type=c", "This Company's information is not available to download. Need this Company? Request availability")</f>
      </c>
      <c r="D626" s="28" t="inlineStr">
        <is>
          <t/>
        </is>
      </c>
      <c r="E626" s="29" t="inlineStr">
        <is>
          <t/>
        </is>
      </c>
      <c r="F626" s="30" t="inlineStr">
        <is>
          <t/>
        </is>
      </c>
      <c r="G626" s="31" t="inlineStr">
        <is>
          <t/>
        </is>
      </c>
      <c r="H626" s="32" t="inlineStr">
        <is>
          <t/>
        </is>
      </c>
      <c r="I626" s="33" t="inlineStr">
        <is>
          <t/>
        </is>
      </c>
      <c r="J626" s="34" t="inlineStr">
        <is>
          <t/>
        </is>
      </c>
      <c r="K626" s="35" t="inlineStr">
        <is>
          <t/>
        </is>
      </c>
      <c r="L626" s="36" t="inlineStr">
        <is>
          <t/>
        </is>
      </c>
      <c r="M626" s="37" t="inlineStr">
        <is>
          <t/>
        </is>
      </c>
      <c r="N626" s="38" t="inlineStr">
        <is>
          <t/>
        </is>
      </c>
      <c r="O626" s="39" t="inlineStr">
        <is>
          <t/>
        </is>
      </c>
      <c r="P626" s="40" t="inlineStr">
        <is>
          <t/>
        </is>
      </c>
    </row>
    <row r="627">
      <c r="A627" s="9" t="inlineStr">
        <is>
          <t>157836-52</t>
        </is>
      </c>
      <c r="B627" s="10" t="inlineStr">
        <is>
          <t>Translate Now</t>
        </is>
      </c>
      <c r="C627" s="11" t="inlineStr">
        <is>
          <t/>
        </is>
      </c>
      <c r="D627" s="12" t="inlineStr">
        <is>
          <t/>
        </is>
      </c>
      <c r="E627" s="13" t="inlineStr">
        <is>
          <t/>
        </is>
      </c>
      <c r="F627" s="14" t="inlineStr">
        <is>
          <t/>
        </is>
      </c>
      <c r="G627" s="15" t="inlineStr">
        <is>
          <t/>
        </is>
      </c>
      <c r="H627" s="16" t="inlineStr">
        <is>
          <t/>
        </is>
      </c>
      <c r="I627" s="17" t="inlineStr">
        <is>
          <t/>
        </is>
      </c>
      <c r="J627" s="18" t="inlineStr">
        <is>
          <t/>
        </is>
      </c>
      <c r="K627" s="19" t="inlineStr">
        <is>
          <t>Privately Held (backing)</t>
        </is>
      </c>
      <c r="L627" s="20" t="inlineStr">
        <is>
          <t>Angel-Backed</t>
        </is>
      </c>
      <c r="M627" s="21" t="n">
        <v>42482.0</v>
      </c>
      <c r="N627" s="22" t="inlineStr">
        <is>
          <t>Seed Round</t>
        </is>
      </c>
      <c r="O627" s="23" t="inlineStr">
        <is>
          <t/>
        </is>
      </c>
      <c r="P627" s="101">
        <f>HYPERLINK("https://my.pitchbook.com?c=157836-52", "View company online")</f>
      </c>
    </row>
    <row r="628">
      <c r="A628" s="25" t="inlineStr">
        <is>
          <t>171480-34</t>
        </is>
      </c>
      <c r="B628" s="26" t="inlineStr">
        <is>
          <t>TransferTravel.com</t>
        </is>
      </c>
      <c r="C628" s="78">
        <f>HYPERLINK("https://my.pitchbook.com?rrp=171480-34&amp;type=c", "This Company's information is not available to download. Need this Company? Request availability")</f>
      </c>
      <c r="D628" s="28" t="inlineStr">
        <is>
          <t/>
        </is>
      </c>
      <c r="E628" s="29" t="inlineStr">
        <is>
          <t/>
        </is>
      </c>
      <c r="F628" s="30" t="inlineStr">
        <is>
          <t/>
        </is>
      </c>
      <c r="G628" s="31" t="inlineStr">
        <is>
          <t/>
        </is>
      </c>
      <c r="H628" s="32" t="inlineStr">
        <is>
          <t/>
        </is>
      </c>
      <c r="I628" s="33" t="inlineStr">
        <is>
          <t/>
        </is>
      </c>
      <c r="J628" s="34" t="inlineStr">
        <is>
          <t/>
        </is>
      </c>
      <c r="K628" s="35" t="inlineStr">
        <is>
          <t/>
        </is>
      </c>
      <c r="L628" s="36" t="inlineStr">
        <is>
          <t/>
        </is>
      </c>
      <c r="M628" s="37" t="inlineStr">
        <is>
          <t/>
        </is>
      </c>
      <c r="N628" s="38" t="inlineStr">
        <is>
          <t/>
        </is>
      </c>
      <c r="O628" s="39" t="inlineStr">
        <is>
          <t/>
        </is>
      </c>
      <c r="P628" s="40" t="inlineStr">
        <is>
          <t/>
        </is>
      </c>
    </row>
    <row r="629">
      <c r="A629" s="9" t="inlineStr">
        <is>
          <t>119394-82</t>
        </is>
      </c>
      <c r="B629" s="10" t="inlineStr">
        <is>
          <t>Transcend Lighting</t>
        </is>
      </c>
      <c r="C629" s="11" t="inlineStr">
        <is>
          <t/>
        </is>
      </c>
      <c r="D629" s="12" t="inlineStr">
        <is>
          <t/>
        </is>
      </c>
      <c r="E629" s="13" t="inlineStr">
        <is>
          <t/>
        </is>
      </c>
      <c r="F629" s="14" t="inlineStr">
        <is>
          <t/>
        </is>
      </c>
      <c r="G629" s="15" t="inlineStr">
        <is>
          <t/>
        </is>
      </c>
      <c r="H629" s="16" t="inlineStr">
        <is>
          <t/>
        </is>
      </c>
      <c r="I629" s="17" t="inlineStr">
        <is>
          <t/>
        </is>
      </c>
      <c r="J629" s="18" t="inlineStr">
        <is>
          <t/>
        </is>
      </c>
      <c r="K629" s="19" t="inlineStr">
        <is>
          <t>Privately Held (backing)</t>
        </is>
      </c>
      <c r="L629" s="20" t="inlineStr">
        <is>
          <t>Accelerator/Incubator Backed</t>
        </is>
      </c>
      <c r="M629" s="21" t="n">
        <v>42005.0</v>
      </c>
      <c r="N629" s="22" t="inlineStr">
        <is>
          <t>Accelerator/Incubator</t>
        </is>
      </c>
      <c r="O629" s="23" t="inlineStr">
        <is>
          <t/>
        </is>
      </c>
      <c r="P629" s="101">
        <f>HYPERLINK("https://my.pitchbook.com?c=119394-82", "View company online")</f>
      </c>
    </row>
    <row r="630">
      <c r="A630" s="25" t="inlineStr">
        <is>
          <t>148192-84</t>
        </is>
      </c>
      <c r="B630" s="26" t="inlineStr">
        <is>
          <t>Trans*H4CK</t>
        </is>
      </c>
      <c r="C630" s="27" t="inlineStr">
        <is>
          <t/>
        </is>
      </c>
      <c r="D630" s="28" t="inlineStr">
        <is>
          <t/>
        </is>
      </c>
      <c r="E630" s="29" t="inlineStr">
        <is>
          <t/>
        </is>
      </c>
      <c r="F630" s="30" t="inlineStr">
        <is>
          <t/>
        </is>
      </c>
      <c r="G630" s="31" t="inlineStr">
        <is>
          <t/>
        </is>
      </c>
      <c r="H630" s="32" t="inlineStr">
        <is>
          <t/>
        </is>
      </c>
      <c r="I630" s="33" t="inlineStr">
        <is>
          <t/>
        </is>
      </c>
      <c r="J630" s="34" t="inlineStr">
        <is>
          <t/>
        </is>
      </c>
      <c r="K630" s="35" t="inlineStr">
        <is>
          <t>Privately Held (backing)</t>
        </is>
      </c>
      <c r="L630" s="36" t="inlineStr">
        <is>
          <t>Angel-Backed</t>
        </is>
      </c>
      <c r="M630" s="37" t="inlineStr">
        <is>
          <t/>
        </is>
      </c>
      <c r="N630" s="38" t="inlineStr">
        <is>
          <t>Grant</t>
        </is>
      </c>
      <c r="O630" s="39" t="n">
        <v>0.09</v>
      </c>
      <c r="P630" s="102">
        <f>HYPERLINK("https://my.pitchbook.com?c=148192-84", "View company online")</f>
      </c>
    </row>
    <row r="631">
      <c r="A631" s="9" t="inlineStr">
        <is>
          <t>56356-75</t>
        </is>
      </c>
      <c r="B631" s="10" t="inlineStr">
        <is>
          <t>Tran Ventures</t>
        </is>
      </c>
      <c r="C631" s="11" t="inlineStr">
        <is>
          <t/>
        </is>
      </c>
      <c r="D631" s="12" t="inlineStr">
        <is>
          <t/>
        </is>
      </c>
      <c r="E631" s="13" t="inlineStr">
        <is>
          <t/>
        </is>
      </c>
      <c r="F631" s="14" t="inlineStr">
        <is>
          <t/>
        </is>
      </c>
      <c r="G631" s="15" t="inlineStr">
        <is>
          <t/>
        </is>
      </c>
      <c r="H631" s="16" t="inlineStr">
        <is>
          <t/>
        </is>
      </c>
      <c r="I631" s="17" t="inlineStr">
        <is>
          <t/>
        </is>
      </c>
      <c r="J631" s="18" t="inlineStr">
        <is>
          <t/>
        </is>
      </c>
      <c r="K631" s="19" t="inlineStr">
        <is>
          <t>Privately Held (backing)</t>
        </is>
      </c>
      <c r="L631" s="20" t="inlineStr">
        <is>
          <t>Angel-Backed</t>
        </is>
      </c>
      <c r="M631" s="21" t="n">
        <v>41530.0</v>
      </c>
      <c r="N631" s="22" t="inlineStr">
        <is>
          <t>Angel (individual)</t>
        </is>
      </c>
      <c r="O631" s="23" t="n">
        <v>0.4</v>
      </c>
      <c r="P631" s="101">
        <f>HYPERLINK("https://my.pitchbook.com?c=56356-75", "View company online")</f>
      </c>
    </row>
    <row r="632">
      <c r="A632" s="25" t="inlineStr">
        <is>
          <t>93106-90</t>
        </is>
      </c>
      <c r="B632" s="26" t="inlineStr">
        <is>
          <t>TraktoPRO</t>
        </is>
      </c>
      <c r="C632" s="27" t="inlineStr">
        <is>
          <t/>
        </is>
      </c>
      <c r="D632" s="28" t="inlineStr">
        <is>
          <t/>
        </is>
      </c>
      <c r="E632" s="29" t="inlineStr">
        <is>
          <t/>
        </is>
      </c>
      <c r="F632" s="30" t="inlineStr">
        <is>
          <t/>
        </is>
      </c>
      <c r="G632" s="31" t="inlineStr">
        <is>
          <t/>
        </is>
      </c>
      <c r="H632" s="32" t="inlineStr">
        <is>
          <t/>
        </is>
      </c>
      <c r="I632" s="33" t="inlineStr">
        <is>
          <t/>
        </is>
      </c>
      <c r="J632" s="34" t="inlineStr">
        <is>
          <t/>
        </is>
      </c>
      <c r="K632" s="35" t="inlineStr">
        <is>
          <t>Privately Held (backing)</t>
        </is>
      </c>
      <c r="L632" s="36" t="inlineStr">
        <is>
          <t>Accelerator/Incubator Backed</t>
        </is>
      </c>
      <c r="M632" s="37" t="n">
        <v>41791.0</v>
      </c>
      <c r="N632" s="38" t="inlineStr">
        <is>
          <t>Accelerator/Incubator</t>
        </is>
      </c>
      <c r="O632" s="39" t="n">
        <v>0.04</v>
      </c>
      <c r="P632" s="102">
        <f>HYPERLINK("https://my.pitchbook.com?c=93106-90", "View company online")</f>
      </c>
    </row>
    <row r="633">
      <c r="A633" s="9" t="inlineStr">
        <is>
          <t>168300-91</t>
        </is>
      </c>
      <c r="B633" s="10" t="inlineStr">
        <is>
          <t>Trakkx.com</t>
        </is>
      </c>
      <c r="C633" s="11" t="inlineStr">
        <is>
          <t/>
        </is>
      </c>
      <c r="D633" s="12" t="inlineStr">
        <is>
          <t/>
        </is>
      </c>
      <c r="E633" s="13" t="inlineStr">
        <is>
          <t/>
        </is>
      </c>
      <c r="F633" s="14" t="inlineStr">
        <is>
          <t/>
        </is>
      </c>
      <c r="G633" s="15" t="inlineStr">
        <is>
          <t/>
        </is>
      </c>
      <c r="H633" s="16" t="inlineStr">
        <is>
          <t/>
        </is>
      </c>
      <c r="I633" s="17" t="inlineStr">
        <is>
          <t/>
        </is>
      </c>
      <c r="J633" s="18" t="inlineStr">
        <is>
          <t/>
        </is>
      </c>
      <c r="K633" s="19" t="inlineStr">
        <is>
          <t>Privately Held (backing)</t>
        </is>
      </c>
      <c r="L633" s="20" t="inlineStr">
        <is>
          <t>Angel-Backed</t>
        </is>
      </c>
      <c r="M633" s="21" t="n">
        <v>42691.0</v>
      </c>
      <c r="N633" s="22" t="inlineStr">
        <is>
          <t>Angel (individual)</t>
        </is>
      </c>
      <c r="O633" s="23" t="n">
        <v>0.06</v>
      </c>
      <c r="P633" s="101">
        <f>HYPERLINK("https://my.pitchbook.com?c=168300-91", "View company online")</f>
      </c>
    </row>
    <row r="634">
      <c r="A634" s="25" t="inlineStr">
        <is>
          <t>119556-10</t>
        </is>
      </c>
      <c r="B634" s="26" t="inlineStr">
        <is>
          <t>Trajectory Solutions</t>
        </is>
      </c>
      <c r="C634" s="27" t="inlineStr">
        <is>
          <t/>
        </is>
      </c>
      <c r="D634" s="28" t="inlineStr">
        <is>
          <t/>
        </is>
      </c>
      <c r="E634" s="29" t="inlineStr">
        <is>
          <t>FY 2015</t>
        </is>
      </c>
      <c r="F634" s="30" t="n">
        <v>0.16</v>
      </c>
      <c r="G634" s="31" t="inlineStr">
        <is>
          <t/>
        </is>
      </c>
      <c r="H634" s="32" t="n">
        <v>-0.23</v>
      </c>
      <c r="I634" s="33" t="inlineStr">
        <is>
          <t/>
        </is>
      </c>
      <c r="J634" s="34" t="inlineStr">
        <is>
          <t/>
        </is>
      </c>
      <c r="K634" s="35" t="inlineStr">
        <is>
          <t>Privately Held (backing)</t>
        </is>
      </c>
      <c r="L634" s="36" t="inlineStr">
        <is>
          <t>Angel-Backed</t>
        </is>
      </c>
      <c r="M634" s="37" t="n">
        <v>42116.0</v>
      </c>
      <c r="N634" s="38" t="inlineStr">
        <is>
          <t>Angel (individual)</t>
        </is>
      </c>
      <c r="O634" s="39" t="n">
        <v>0.06</v>
      </c>
      <c r="P634" s="102">
        <f>HYPERLINK("https://my.pitchbook.com?c=119556-10", "View company online")</f>
      </c>
    </row>
    <row r="635">
      <c r="A635" s="9" t="inlineStr">
        <is>
          <t>90959-05</t>
        </is>
      </c>
      <c r="B635" s="10" t="inlineStr">
        <is>
          <t>TraitWare</t>
        </is>
      </c>
      <c r="C635" s="11" t="inlineStr">
        <is>
          <t/>
        </is>
      </c>
      <c r="D635" s="12" t="inlineStr">
        <is>
          <t/>
        </is>
      </c>
      <c r="E635" s="13" t="inlineStr">
        <is>
          <t/>
        </is>
      </c>
      <c r="F635" s="14" t="inlineStr">
        <is>
          <t/>
        </is>
      </c>
      <c r="G635" s="15" t="inlineStr">
        <is>
          <t/>
        </is>
      </c>
      <c r="H635" s="16" t="inlineStr">
        <is>
          <t/>
        </is>
      </c>
      <c r="I635" s="17" t="inlineStr">
        <is>
          <t/>
        </is>
      </c>
      <c r="J635" s="18" t="inlineStr">
        <is>
          <t/>
        </is>
      </c>
      <c r="K635" s="19" t="inlineStr">
        <is>
          <t>Privately Held (backing)</t>
        </is>
      </c>
      <c r="L635" s="20" t="inlineStr">
        <is>
          <t>Angel-Backed</t>
        </is>
      </c>
      <c r="M635" s="21" t="n">
        <v>42794.0</v>
      </c>
      <c r="N635" s="22" t="inlineStr">
        <is>
          <t>Angel (individual)</t>
        </is>
      </c>
      <c r="O635" s="23" t="n">
        <v>2.11</v>
      </c>
      <c r="P635" s="101">
        <f>HYPERLINK("https://my.pitchbook.com?c=90959-05", "View company online")</f>
      </c>
    </row>
    <row r="636">
      <c r="A636" s="25" t="inlineStr">
        <is>
          <t>130352-50</t>
        </is>
      </c>
      <c r="B636" s="26" t="inlineStr">
        <is>
          <t>Trainersvault</t>
        </is>
      </c>
      <c r="C636" s="27" t="inlineStr">
        <is>
          <t/>
        </is>
      </c>
      <c r="D636" s="28" t="inlineStr">
        <is>
          <t/>
        </is>
      </c>
      <c r="E636" s="29" t="inlineStr">
        <is>
          <t/>
        </is>
      </c>
      <c r="F636" s="30" t="inlineStr">
        <is>
          <t/>
        </is>
      </c>
      <c r="G636" s="31" t="inlineStr">
        <is>
          <t/>
        </is>
      </c>
      <c r="H636" s="32" t="inlineStr">
        <is>
          <t/>
        </is>
      </c>
      <c r="I636" s="33" t="inlineStr">
        <is>
          <t/>
        </is>
      </c>
      <c r="J636" s="34" t="inlineStr">
        <is>
          <t/>
        </is>
      </c>
      <c r="K636" s="35" t="inlineStr">
        <is>
          <t>Privately Held (backing)</t>
        </is>
      </c>
      <c r="L636" s="36" t="inlineStr">
        <is>
          <t>Accelerator/Incubator Backed</t>
        </is>
      </c>
      <c r="M636" s="37" t="n">
        <v>42604.0</v>
      </c>
      <c r="N636" s="38" t="inlineStr">
        <is>
          <t>Accelerator/Incubator</t>
        </is>
      </c>
      <c r="O636" s="39" t="n">
        <v>0.03</v>
      </c>
      <c r="P636" s="102">
        <f>HYPERLINK("https://my.pitchbook.com?c=130352-50", "View company online")</f>
      </c>
    </row>
    <row r="637">
      <c r="A637" s="9" t="inlineStr">
        <is>
          <t>159353-29</t>
        </is>
      </c>
      <c r="B637" s="10" t="inlineStr">
        <is>
          <t>Trainerbotics</t>
        </is>
      </c>
      <c r="C637" s="11" t="inlineStr">
        <is>
          <t/>
        </is>
      </c>
      <c r="D637" s="12" t="inlineStr">
        <is>
          <t/>
        </is>
      </c>
      <c r="E637" s="13" t="inlineStr">
        <is>
          <t/>
        </is>
      </c>
      <c r="F637" s="14" t="inlineStr">
        <is>
          <t/>
        </is>
      </c>
      <c r="G637" s="15" t="inlineStr">
        <is>
          <t/>
        </is>
      </c>
      <c r="H637" s="16" t="inlineStr">
        <is>
          <t/>
        </is>
      </c>
      <c r="I637" s="17" t="inlineStr">
        <is>
          <t/>
        </is>
      </c>
      <c r="J637" s="18" t="inlineStr">
        <is>
          <t/>
        </is>
      </c>
      <c r="K637" s="19" t="inlineStr">
        <is>
          <t>Privately Held (backing)</t>
        </is>
      </c>
      <c r="L637" s="20" t="inlineStr">
        <is>
          <t>Accelerator/Incubator Backed</t>
        </is>
      </c>
      <c r="M637" s="21" t="n">
        <v>42567.0</v>
      </c>
      <c r="N637" s="22" t="inlineStr">
        <is>
          <t>Product Crowdfunding</t>
        </is>
      </c>
      <c r="O637" s="23" t="n">
        <v>0.26</v>
      </c>
      <c r="P637" s="101">
        <f>HYPERLINK("https://my.pitchbook.com?c=159353-29", "View company online")</f>
      </c>
    </row>
    <row r="638">
      <c r="A638" s="25" t="inlineStr">
        <is>
          <t>162771-13</t>
        </is>
      </c>
      <c r="B638" s="26" t="inlineStr">
        <is>
          <t>Trademark Brewing</t>
        </is>
      </c>
      <c r="C638" s="27" t="inlineStr">
        <is>
          <t/>
        </is>
      </c>
      <c r="D638" s="28" t="inlineStr">
        <is>
          <t/>
        </is>
      </c>
      <c r="E638" s="29" t="inlineStr">
        <is>
          <t/>
        </is>
      </c>
      <c r="F638" s="30" t="inlineStr">
        <is>
          <t/>
        </is>
      </c>
      <c r="G638" s="31" t="inlineStr">
        <is>
          <t/>
        </is>
      </c>
      <c r="H638" s="32" t="inlineStr">
        <is>
          <t/>
        </is>
      </c>
      <c r="I638" s="33" t="inlineStr">
        <is>
          <t/>
        </is>
      </c>
      <c r="J638" s="34" t="inlineStr">
        <is>
          <t/>
        </is>
      </c>
      <c r="K638" s="35" t="inlineStr">
        <is>
          <t>Privately Held (backing)</t>
        </is>
      </c>
      <c r="L638" s="36" t="inlineStr">
        <is>
          <t>Angel-Backed</t>
        </is>
      </c>
      <c r="M638" s="37" t="n">
        <v>42772.0</v>
      </c>
      <c r="N638" s="38" t="inlineStr">
        <is>
          <t>Angel (individual)</t>
        </is>
      </c>
      <c r="O638" s="39" t="n">
        <v>0.33</v>
      </c>
      <c r="P638" s="102">
        <f>HYPERLINK("https://my.pitchbook.com?c=162771-13", "View company online")</f>
      </c>
    </row>
    <row r="639">
      <c r="A639" s="9" t="inlineStr">
        <is>
          <t>65955-97</t>
        </is>
      </c>
      <c r="B639" s="10" t="inlineStr">
        <is>
          <t>TradeHill</t>
        </is>
      </c>
      <c r="C639" s="11" t="inlineStr">
        <is>
          <t/>
        </is>
      </c>
      <c r="D639" s="12" t="inlineStr">
        <is>
          <t/>
        </is>
      </c>
      <c r="E639" s="13" t="inlineStr">
        <is>
          <t/>
        </is>
      </c>
      <c r="F639" s="14" t="inlineStr">
        <is>
          <t/>
        </is>
      </c>
      <c r="G639" s="15" t="inlineStr">
        <is>
          <t/>
        </is>
      </c>
      <c r="H639" s="16" t="inlineStr">
        <is>
          <t/>
        </is>
      </c>
      <c r="I639" s="17" t="inlineStr">
        <is>
          <t/>
        </is>
      </c>
      <c r="J639" s="18" t="inlineStr">
        <is>
          <t/>
        </is>
      </c>
      <c r="K639" s="19" t="inlineStr">
        <is>
          <t>Privately Held (backing)</t>
        </is>
      </c>
      <c r="L639" s="20" t="inlineStr">
        <is>
          <t>Angel-Backed</t>
        </is>
      </c>
      <c r="M639" s="21" t="n">
        <v>41485.0</v>
      </c>
      <c r="N639" s="22" t="inlineStr">
        <is>
          <t>Seed Round</t>
        </is>
      </c>
      <c r="O639" s="23" t="n">
        <v>0.4</v>
      </c>
      <c r="P639" s="101">
        <f>HYPERLINK("https://my.pitchbook.com?c=65955-97", "View company online")</f>
      </c>
    </row>
    <row r="640">
      <c r="A640" s="25" t="inlineStr">
        <is>
          <t>90851-50</t>
        </is>
      </c>
      <c r="B640" s="26" t="inlineStr">
        <is>
          <t>TradeGig</t>
        </is>
      </c>
      <c r="C640" s="27" t="inlineStr">
        <is>
          <t/>
        </is>
      </c>
      <c r="D640" s="28" t="inlineStr">
        <is>
          <t/>
        </is>
      </c>
      <c r="E640" s="29" t="inlineStr">
        <is>
          <t/>
        </is>
      </c>
      <c r="F640" s="30" t="inlineStr">
        <is>
          <t/>
        </is>
      </c>
      <c r="G640" s="31" t="inlineStr">
        <is>
          <t/>
        </is>
      </c>
      <c r="H640" s="32" t="inlineStr">
        <is>
          <t/>
        </is>
      </c>
      <c r="I640" s="33" t="inlineStr">
        <is>
          <t/>
        </is>
      </c>
      <c r="J640" s="34" t="inlineStr">
        <is>
          <t/>
        </is>
      </c>
      <c r="K640" s="35" t="inlineStr">
        <is>
          <t>Privately Held (backing)</t>
        </is>
      </c>
      <c r="L640" s="36" t="inlineStr">
        <is>
          <t>Accelerator/Incubator Backed</t>
        </is>
      </c>
      <c r="M640" s="37" t="n">
        <v>41509.0</v>
      </c>
      <c r="N640" s="38" t="inlineStr">
        <is>
          <t>Accelerator/Incubator</t>
        </is>
      </c>
      <c r="O640" s="39" t="n">
        <v>0.04</v>
      </c>
      <c r="P640" s="102">
        <f>HYPERLINK("https://my.pitchbook.com?c=90851-50", "View company online")</f>
      </c>
    </row>
    <row r="641">
      <c r="A641" s="9" t="inlineStr">
        <is>
          <t>113299-21</t>
        </is>
      </c>
      <c r="B641" s="10" t="inlineStr">
        <is>
          <t>Trade Capital Funding</t>
        </is>
      </c>
      <c r="C641" s="77">
        <f>HYPERLINK("https://my.pitchbook.com?rrp=113299-21&amp;type=c", "This Company's information is not available to download. Need this Company? Request availability")</f>
      </c>
      <c r="D641" s="12" t="inlineStr">
        <is>
          <t/>
        </is>
      </c>
      <c r="E641" s="13" t="inlineStr">
        <is>
          <t/>
        </is>
      </c>
      <c r="F641" s="14" t="inlineStr">
        <is>
          <t/>
        </is>
      </c>
      <c r="G641" s="15" t="inlineStr">
        <is>
          <t/>
        </is>
      </c>
      <c r="H641" s="16" t="inlineStr">
        <is>
          <t/>
        </is>
      </c>
      <c r="I641" s="17" t="inlineStr">
        <is>
          <t/>
        </is>
      </c>
      <c r="J641" s="18" t="inlineStr">
        <is>
          <t/>
        </is>
      </c>
      <c r="K641" s="19" t="inlineStr">
        <is>
          <t/>
        </is>
      </c>
      <c r="L641" s="20" t="inlineStr">
        <is>
          <t/>
        </is>
      </c>
      <c r="M641" s="21" t="inlineStr">
        <is>
          <t/>
        </is>
      </c>
      <c r="N641" s="22" t="inlineStr">
        <is>
          <t/>
        </is>
      </c>
      <c r="O641" s="23" t="inlineStr">
        <is>
          <t/>
        </is>
      </c>
      <c r="P641" s="24" t="inlineStr">
        <is>
          <t/>
        </is>
      </c>
    </row>
    <row r="642">
      <c r="A642" s="25" t="inlineStr">
        <is>
          <t>103228-48</t>
        </is>
      </c>
      <c r="B642" s="26" t="inlineStr">
        <is>
          <t>Trade as One</t>
        </is>
      </c>
      <c r="C642" s="27" t="inlineStr">
        <is>
          <t/>
        </is>
      </c>
      <c r="D642" s="28" t="inlineStr">
        <is>
          <t/>
        </is>
      </c>
      <c r="E642" s="29" t="inlineStr">
        <is>
          <t/>
        </is>
      </c>
      <c r="F642" s="30" t="inlineStr">
        <is>
          <t/>
        </is>
      </c>
      <c r="G642" s="31" t="inlineStr">
        <is>
          <t/>
        </is>
      </c>
      <c r="H642" s="32" t="inlineStr">
        <is>
          <t/>
        </is>
      </c>
      <c r="I642" s="33" t="inlineStr">
        <is>
          <t/>
        </is>
      </c>
      <c r="J642" s="34" t="inlineStr">
        <is>
          <t/>
        </is>
      </c>
      <c r="K642" s="35" t="inlineStr">
        <is>
          <t>Privately Held (backing)</t>
        </is>
      </c>
      <c r="L642" s="36" t="inlineStr">
        <is>
          <t>Angel-Backed</t>
        </is>
      </c>
      <c r="M642" s="37" t="n">
        <v>41737.0</v>
      </c>
      <c r="N642" s="38" t="inlineStr">
        <is>
          <t>Angel (individual)</t>
        </is>
      </c>
      <c r="O642" s="39" t="inlineStr">
        <is>
          <t/>
        </is>
      </c>
      <c r="P642" s="102">
        <f>HYPERLINK("https://my.pitchbook.com?c=103228-48", "View company online")</f>
      </c>
    </row>
    <row r="643">
      <c r="A643" s="9" t="inlineStr">
        <is>
          <t>169822-09</t>
        </is>
      </c>
      <c r="B643" s="10" t="inlineStr">
        <is>
          <t>TrackNet</t>
        </is>
      </c>
      <c r="C643" s="11" t="inlineStr">
        <is>
          <t/>
        </is>
      </c>
      <c r="D643" s="12" t="inlineStr">
        <is>
          <t/>
        </is>
      </c>
      <c r="E643" s="13" t="inlineStr">
        <is>
          <t/>
        </is>
      </c>
      <c r="F643" s="14" t="inlineStr">
        <is>
          <t/>
        </is>
      </c>
      <c r="G643" s="15" t="inlineStr">
        <is>
          <t/>
        </is>
      </c>
      <c r="H643" s="16" t="inlineStr">
        <is>
          <t/>
        </is>
      </c>
      <c r="I643" s="17" t="inlineStr">
        <is>
          <t/>
        </is>
      </c>
      <c r="J643" s="18" t="inlineStr">
        <is>
          <t/>
        </is>
      </c>
      <c r="K643" s="19" t="inlineStr">
        <is>
          <t>Privately Held (backing)</t>
        </is>
      </c>
      <c r="L643" s="20" t="inlineStr">
        <is>
          <t>Angel-Backed</t>
        </is>
      </c>
      <c r="M643" s="21" t="n">
        <v>42753.0</v>
      </c>
      <c r="N643" s="22" t="inlineStr">
        <is>
          <t>Angel (individual)</t>
        </is>
      </c>
      <c r="O643" s="23" t="n">
        <v>7.0</v>
      </c>
      <c r="P643" s="101">
        <f>HYPERLINK("https://my.pitchbook.com?c=169822-09", "View company online")</f>
      </c>
    </row>
    <row r="644">
      <c r="A644" s="25" t="inlineStr">
        <is>
          <t>133098-85</t>
        </is>
      </c>
      <c r="B644" s="26" t="inlineStr">
        <is>
          <t>Track Technologies</t>
        </is>
      </c>
      <c r="C644" s="27" t="inlineStr">
        <is>
          <t/>
        </is>
      </c>
      <c r="D644" s="28" t="inlineStr">
        <is>
          <t/>
        </is>
      </c>
      <c r="E644" s="29" t="inlineStr">
        <is>
          <t/>
        </is>
      </c>
      <c r="F644" s="30" t="inlineStr">
        <is>
          <t/>
        </is>
      </c>
      <c r="G644" s="31" t="inlineStr">
        <is>
          <t/>
        </is>
      </c>
      <c r="H644" s="32" t="inlineStr">
        <is>
          <t/>
        </is>
      </c>
      <c r="I644" s="33" t="inlineStr">
        <is>
          <t/>
        </is>
      </c>
      <c r="J644" s="34" t="inlineStr">
        <is>
          <t/>
        </is>
      </c>
      <c r="K644" s="35" t="inlineStr">
        <is>
          <t>Privately Held (backing)</t>
        </is>
      </c>
      <c r="L644" s="36" t="inlineStr">
        <is>
          <t>Accelerator/Incubator Backed</t>
        </is>
      </c>
      <c r="M644" s="37" t="n">
        <v>42583.0</v>
      </c>
      <c r="N644" s="38" t="inlineStr">
        <is>
          <t>Accelerator/Incubator</t>
        </is>
      </c>
      <c r="O644" s="39" t="n">
        <v>0.13</v>
      </c>
      <c r="P644" s="102">
        <f>HYPERLINK("https://my.pitchbook.com?c=133098-85", "View company online")</f>
      </c>
    </row>
    <row r="645">
      <c r="A645" s="9" t="inlineStr">
        <is>
          <t>159201-01</t>
        </is>
      </c>
      <c r="B645" s="10" t="inlineStr">
        <is>
          <t>TraceAir Technologies</t>
        </is>
      </c>
      <c r="C645" s="11" t="inlineStr">
        <is>
          <t/>
        </is>
      </c>
      <c r="D645" s="12" t="inlineStr">
        <is>
          <t/>
        </is>
      </c>
      <c r="E645" s="13" t="inlineStr">
        <is>
          <t/>
        </is>
      </c>
      <c r="F645" s="14" t="inlineStr">
        <is>
          <t/>
        </is>
      </c>
      <c r="G645" s="15" t="inlineStr">
        <is>
          <t/>
        </is>
      </c>
      <c r="H645" s="16" t="inlineStr">
        <is>
          <t/>
        </is>
      </c>
      <c r="I645" s="17" t="inlineStr">
        <is>
          <t/>
        </is>
      </c>
      <c r="J645" s="18" t="inlineStr">
        <is>
          <t/>
        </is>
      </c>
      <c r="K645" s="19" t="inlineStr">
        <is>
          <t>Privately Held (backing)</t>
        </is>
      </c>
      <c r="L645" s="20" t="inlineStr">
        <is>
          <t>Accelerator/Incubator Backed</t>
        </is>
      </c>
      <c r="M645" s="21" t="n">
        <v>42506.0</v>
      </c>
      <c r="N645" s="22" t="inlineStr">
        <is>
          <t>Accelerator/Incubator</t>
        </is>
      </c>
      <c r="O645" s="23" t="n">
        <v>0.13</v>
      </c>
      <c r="P645" s="101">
        <f>HYPERLINK("https://my.pitchbook.com?c=159201-01", "View company online")</f>
      </c>
    </row>
    <row r="646">
      <c r="A646" s="25" t="inlineStr">
        <is>
          <t>94394-53</t>
        </is>
      </c>
      <c r="B646" s="26" t="inlineStr">
        <is>
          <t>Tower59</t>
        </is>
      </c>
      <c r="C646" s="27" t="inlineStr">
        <is>
          <t/>
        </is>
      </c>
      <c r="D646" s="28" t="inlineStr">
        <is>
          <t/>
        </is>
      </c>
      <c r="E646" s="29" t="inlineStr">
        <is>
          <t/>
        </is>
      </c>
      <c r="F646" s="30" t="inlineStr">
        <is>
          <t/>
        </is>
      </c>
      <c r="G646" s="31" t="inlineStr">
        <is>
          <t/>
        </is>
      </c>
      <c r="H646" s="32" t="inlineStr">
        <is>
          <t/>
        </is>
      </c>
      <c r="I646" s="33" t="inlineStr">
        <is>
          <t/>
        </is>
      </c>
      <c r="J646" s="34" t="inlineStr">
        <is>
          <t/>
        </is>
      </c>
      <c r="K646" s="35" t="inlineStr">
        <is>
          <t>Privately Held (backing)</t>
        </is>
      </c>
      <c r="L646" s="36" t="inlineStr">
        <is>
          <t>Angel-Backed</t>
        </is>
      </c>
      <c r="M646" s="37" t="n">
        <v>41129.0</v>
      </c>
      <c r="N646" s="38" t="inlineStr">
        <is>
          <t>Angel (individual)</t>
        </is>
      </c>
      <c r="O646" s="39" t="inlineStr">
        <is>
          <t/>
        </is>
      </c>
      <c r="P646" s="102">
        <f>HYPERLINK("https://my.pitchbook.com?c=94394-53", "View company online")</f>
      </c>
    </row>
    <row r="647">
      <c r="A647" s="9" t="inlineStr">
        <is>
          <t>90954-82</t>
        </is>
      </c>
      <c r="B647" s="10" t="inlineStr">
        <is>
          <t>Tower Paddle Boards</t>
        </is>
      </c>
      <c r="C647" s="11" t="inlineStr">
        <is>
          <t/>
        </is>
      </c>
      <c r="D647" s="12" t="inlineStr">
        <is>
          <t/>
        </is>
      </c>
      <c r="E647" s="13" t="inlineStr">
        <is>
          <t>FY 2015</t>
        </is>
      </c>
      <c r="F647" s="14" t="n">
        <v>7.17</v>
      </c>
      <c r="G647" s="15" t="inlineStr">
        <is>
          <t/>
        </is>
      </c>
      <c r="H647" s="16" t="inlineStr">
        <is>
          <t/>
        </is>
      </c>
      <c r="I647" s="17" t="inlineStr">
        <is>
          <t/>
        </is>
      </c>
      <c r="J647" s="18" t="inlineStr">
        <is>
          <t/>
        </is>
      </c>
      <c r="K647" s="19" t="inlineStr">
        <is>
          <t>Privately Held (backing)</t>
        </is>
      </c>
      <c r="L647" s="20" t="inlineStr">
        <is>
          <t>Angel-Backed</t>
        </is>
      </c>
      <c r="M647" s="21" t="n">
        <v>40886.0</v>
      </c>
      <c r="N647" s="22" t="inlineStr">
        <is>
          <t>Seed Round</t>
        </is>
      </c>
      <c r="O647" s="23" t="n">
        <v>0.15</v>
      </c>
      <c r="P647" s="101">
        <f>HYPERLINK("https://my.pitchbook.com?c=90954-82", "View company online")</f>
      </c>
    </row>
    <row r="648">
      <c r="A648" s="25" t="inlineStr">
        <is>
          <t>169425-82</t>
        </is>
      </c>
      <c r="B648" s="26" t="inlineStr">
        <is>
          <t>TourUs</t>
        </is>
      </c>
      <c r="C648" s="27" t="inlineStr">
        <is>
          <t/>
        </is>
      </c>
      <c r="D648" s="28" t="inlineStr">
        <is>
          <t/>
        </is>
      </c>
      <c r="E648" s="29" t="inlineStr">
        <is>
          <t/>
        </is>
      </c>
      <c r="F648" s="30" t="inlineStr">
        <is>
          <t/>
        </is>
      </c>
      <c r="G648" s="31" t="inlineStr">
        <is>
          <t/>
        </is>
      </c>
      <c r="H648" s="32" t="inlineStr">
        <is>
          <t/>
        </is>
      </c>
      <c r="I648" s="33" t="inlineStr">
        <is>
          <t/>
        </is>
      </c>
      <c r="J648" s="34" t="inlineStr">
        <is>
          <t/>
        </is>
      </c>
      <c r="K648" s="35" t="inlineStr">
        <is>
          <t>Privately Held (backing)</t>
        </is>
      </c>
      <c r="L648" s="36" t="inlineStr">
        <is>
          <t>Accelerator/Incubator Backed</t>
        </is>
      </c>
      <c r="M648" s="37" t="n">
        <v>42613.0</v>
      </c>
      <c r="N648" s="38" t="inlineStr">
        <is>
          <t>Accelerator/Incubator</t>
        </is>
      </c>
      <c r="O648" s="39" t="inlineStr">
        <is>
          <t/>
        </is>
      </c>
      <c r="P648" s="102">
        <f>HYPERLINK("https://my.pitchbook.com?c=169425-82", "View company online")</f>
      </c>
    </row>
    <row r="649">
      <c r="A649" s="9" t="inlineStr">
        <is>
          <t>94238-74</t>
        </is>
      </c>
      <c r="B649" s="10" t="inlineStr">
        <is>
          <t>TourNative</t>
        </is>
      </c>
      <c r="C649" s="11" t="inlineStr">
        <is>
          <t/>
        </is>
      </c>
      <c r="D649" s="12" t="inlineStr">
        <is>
          <t/>
        </is>
      </c>
      <c r="E649" s="13" t="inlineStr">
        <is>
          <t/>
        </is>
      </c>
      <c r="F649" s="14" t="inlineStr">
        <is>
          <t/>
        </is>
      </c>
      <c r="G649" s="15" t="inlineStr">
        <is>
          <t/>
        </is>
      </c>
      <c r="H649" s="16" t="inlineStr">
        <is>
          <t/>
        </is>
      </c>
      <c r="I649" s="17" t="inlineStr">
        <is>
          <t/>
        </is>
      </c>
      <c r="J649" s="18" t="inlineStr">
        <is>
          <t/>
        </is>
      </c>
      <c r="K649" s="19" t="inlineStr">
        <is>
          <t>Privately Held (backing)</t>
        </is>
      </c>
      <c r="L649" s="20" t="inlineStr">
        <is>
          <t>Accelerator/Incubator Backed</t>
        </is>
      </c>
      <c r="M649" s="21" t="n">
        <v>41885.0</v>
      </c>
      <c r="N649" s="22" t="inlineStr">
        <is>
          <t>Seed Round</t>
        </is>
      </c>
      <c r="O649" s="23" t="n">
        <v>0.04</v>
      </c>
      <c r="P649" s="101">
        <f>HYPERLINK("https://my.pitchbook.com?c=94238-74", "View company online")</f>
      </c>
    </row>
    <row r="650">
      <c r="A650" s="25" t="inlineStr">
        <is>
          <t>60251-05</t>
        </is>
      </c>
      <c r="B650" s="26" t="inlineStr">
        <is>
          <t>Tourjive</t>
        </is>
      </c>
      <c r="C650" s="27" t="inlineStr">
        <is>
          <t/>
        </is>
      </c>
      <c r="D650" s="28" t="inlineStr">
        <is>
          <t/>
        </is>
      </c>
      <c r="E650" s="29" t="inlineStr">
        <is>
          <t/>
        </is>
      </c>
      <c r="F650" s="30" t="inlineStr">
        <is>
          <t/>
        </is>
      </c>
      <c r="G650" s="31" t="inlineStr">
        <is>
          <t/>
        </is>
      </c>
      <c r="H650" s="32" t="inlineStr">
        <is>
          <t/>
        </is>
      </c>
      <c r="I650" s="33" t="inlineStr">
        <is>
          <t/>
        </is>
      </c>
      <c r="J650" s="34" t="inlineStr">
        <is>
          <t/>
        </is>
      </c>
      <c r="K650" s="35" t="inlineStr">
        <is>
          <t>Privately Held (backing)</t>
        </is>
      </c>
      <c r="L650" s="36" t="inlineStr">
        <is>
          <t>Angel-Backed</t>
        </is>
      </c>
      <c r="M650" s="37" t="n">
        <v>41640.0</v>
      </c>
      <c r="N650" s="38" t="inlineStr">
        <is>
          <t>Accelerator/Incubator</t>
        </is>
      </c>
      <c r="O650" s="39" t="inlineStr">
        <is>
          <t/>
        </is>
      </c>
      <c r="P650" s="102">
        <f>HYPERLINK("https://my.pitchbook.com?c=60251-05", "View company online")</f>
      </c>
    </row>
    <row r="651">
      <c r="A651" s="9" t="inlineStr">
        <is>
          <t>117820-54</t>
        </is>
      </c>
      <c r="B651" s="10" t="inlineStr">
        <is>
          <t>TOURING APP</t>
        </is>
      </c>
      <c r="C651" s="77">
        <f>HYPERLINK("https://my.pitchbook.com?rrp=117820-54&amp;type=c", "This Company's information is not available to download. Need this Company? Request availability")</f>
      </c>
      <c r="D651" s="12" t="inlineStr">
        <is>
          <t/>
        </is>
      </c>
      <c r="E651" s="13" t="inlineStr">
        <is>
          <t/>
        </is>
      </c>
      <c r="F651" s="14" t="inlineStr">
        <is>
          <t/>
        </is>
      </c>
      <c r="G651" s="15" t="inlineStr">
        <is>
          <t/>
        </is>
      </c>
      <c r="H651" s="16" t="inlineStr">
        <is>
          <t/>
        </is>
      </c>
      <c r="I651" s="17" t="inlineStr">
        <is>
          <t/>
        </is>
      </c>
      <c r="J651" s="18" t="inlineStr">
        <is>
          <t/>
        </is>
      </c>
      <c r="K651" s="19" t="inlineStr">
        <is>
          <t/>
        </is>
      </c>
      <c r="L651" s="20" t="inlineStr">
        <is>
          <t/>
        </is>
      </c>
      <c r="M651" s="21" t="inlineStr">
        <is>
          <t/>
        </is>
      </c>
      <c r="N651" s="22" t="inlineStr">
        <is>
          <t/>
        </is>
      </c>
      <c r="O651" s="23" t="inlineStr">
        <is>
          <t/>
        </is>
      </c>
      <c r="P651" s="24" t="inlineStr">
        <is>
          <t/>
        </is>
      </c>
    </row>
    <row r="652">
      <c r="A652" s="25" t="inlineStr">
        <is>
          <t>90954-28</t>
        </is>
      </c>
      <c r="B652" s="26" t="inlineStr">
        <is>
          <t>Tour Engine</t>
        </is>
      </c>
      <c r="C652" s="27" t="inlineStr">
        <is>
          <t/>
        </is>
      </c>
      <c r="D652" s="28" t="inlineStr">
        <is>
          <t/>
        </is>
      </c>
      <c r="E652" s="29" t="inlineStr">
        <is>
          <t/>
        </is>
      </c>
      <c r="F652" s="30" t="inlineStr">
        <is>
          <t/>
        </is>
      </c>
      <c r="G652" s="31" t="inlineStr">
        <is>
          <t/>
        </is>
      </c>
      <c r="H652" s="32" t="inlineStr">
        <is>
          <t/>
        </is>
      </c>
      <c r="I652" s="33" t="inlineStr">
        <is>
          <t/>
        </is>
      </c>
      <c r="J652" s="34" t="inlineStr">
        <is>
          <t/>
        </is>
      </c>
      <c r="K652" s="35" t="inlineStr">
        <is>
          <t>Privately Held (backing)</t>
        </is>
      </c>
      <c r="L652" s="36" t="inlineStr">
        <is>
          <t>Angel-Backed</t>
        </is>
      </c>
      <c r="M652" s="37" t="n">
        <v>42174.0</v>
      </c>
      <c r="N652" s="38" t="inlineStr">
        <is>
          <t>Grant</t>
        </is>
      </c>
      <c r="O652" s="39" t="n">
        <v>1.0</v>
      </c>
      <c r="P652" s="102">
        <f>HYPERLINK("https://my.pitchbook.com?c=90954-28", "View company online")</f>
      </c>
    </row>
    <row r="653">
      <c r="A653" s="9" t="inlineStr">
        <is>
          <t>156306-34</t>
        </is>
      </c>
      <c r="B653" s="10" t="inlineStr">
        <is>
          <t>Toughbuilt Industries</t>
        </is>
      </c>
      <c r="C653" s="11" t="inlineStr">
        <is>
          <t/>
        </is>
      </c>
      <c r="D653" s="12" t="inlineStr">
        <is>
          <t/>
        </is>
      </c>
      <c r="E653" s="13" t="inlineStr">
        <is>
          <t/>
        </is>
      </c>
      <c r="F653" s="14" t="inlineStr">
        <is>
          <t/>
        </is>
      </c>
      <c r="G653" s="15" t="inlineStr">
        <is>
          <t/>
        </is>
      </c>
      <c r="H653" s="16" t="inlineStr">
        <is>
          <t/>
        </is>
      </c>
      <c r="I653" s="17" t="inlineStr">
        <is>
          <t/>
        </is>
      </c>
      <c r="J653" s="18" t="inlineStr">
        <is>
          <t/>
        </is>
      </c>
      <c r="K653" s="19" t="inlineStr">
        <is>
          <t>Privately Held (backing)</t>
        </is>
      </c>
      <c r="L653" s="20" t="inlineStr">
        <is>
          <t>Angel-Backed</t>
        </is>
      </c>
      <c r="M653" s="21" t="n">
        <v>42647.0</v>
      </c>
      <c r="N653" s="22" t="inlineStr">
        <is>
          <t>Angel (individual)</t>
        </is>
      </c>
      <c r="O653" s="23" t="inlineStr">
        <is>
          <t/>
        </is>
      </c>
      <c r="P653" s="101">
        <f>HYPERLINK("https://my.pitchbook.com?c=156306-34", "View company online")</f>
      </c>
    </row>
    <row r="654">
      <c r="A654" s="25" t="inlineStr">
        <is>
          <t>120229-75</t>
        </is>
      </c>
      <c r="B654" s="26" t="inlineStr">
        <is>
          <t>Touchmoon</t>
        </is>
      </c>
      <c r="C654" s="78">
        <f>HYPERLINK("https://my.pitchbook.com?rrp=120229-75&amp;type=c", "This Company's information is not available to download. Need this Company? Request availability")</f>
      </c>
      <c r="D654" s="28" t="inlineStr">
        <is>
          <t/>
        </is>
      </c>
      <c r="E654" s="29" t="inlineStr">
        <is>
          <t/>
        </is>
      </c>
      <c r="F654" s="30" t="inlineStr">
        <is>
          <t/>
        </is>
      </c>
      <c r="G654" s="31" t="inlineStr">
        <is>
          <t/>
        </is>
      </c>
      <c r="H654" s="32" t="inlineStr">
        <is>
          <t/>
        </is>
      </c>
      <c r="I654" s="33" t="inlineStr">
        <is>
          <t/>
        </is>
      </c>
      <c r="J654" s="34" t="inlineStr">
        <is>
          <t/>
        </is>
      </c>
      <c r="K654" s="35" t="inlineStr">
        <is>
          <t/>
        </is>
      </c>
      <c r="L654" s="36" t="inlineStr">
        <is>
          <t/>
        </is>
      </c>
      <c r="M654" s="37" t="inlineStr">
        <is>
          <t/>
        </is>
      </c>
      <c r="N654" s="38" t="inlineStr">
        <is>
          <t/>
        </is>
      </c>
      <c r="O654" s="39" t="inlineStr">
        <is>
          <t/>
        </is>
      </c>
      <c r="P654" s="40" t="inlineStr">
        <is>
          <t/>
        </is>
      </c>
    </row>
    <row r="655">
      <c r="A655" s="9" t="inlineStr">
        <is>
          <t>126697-24</t>
        </is>
      </c>
      <c r="B655" s="10" t="inlineStr">
        <is>
          <t>Touch Coffee &amp; Beverages</t>
        </is>
      </c>
      <c r="C655" s="11" t="inlineStr">
        <is>
          <t/>
        </is>
      </c>
      <c r="D655" s="12" t="inlineStr">
        <is>
          <t/>
        </is>
      </c>
      <c r="E655" s="13" t="inlineStr">
        <is>
          <t/>
        </is>
      </c>
      <c r="F655" s="14" t="inlineStr">
        <is>
          <t/>
        </is>
      </c>
      <c r="G655" s="15" t="inlineStr">
        <is>
          <t/>
        </is>
      </c>
      <c r="H655" s="16" t="inlineStr">
        <is>
          <t/>
        </is>
      </c>
      <c r="I655" s="17" t="inlineStr">
        <is>
          <t/>
        </is>
      </c>
      <c r="J655" s="18" t="inlineStr">
        <is>
          <t/>
        </is>
      </c>
      <c r="K655" s="19" t="inlineStr">
        <is>
          <t>Privately Held (backing)</t>
        </is>
      </c>
      <c r="L655" s="20" t="inlineStr">
        <is>
          <t>Angel-Backed</t>
        </is>
      </c>
      <c r="M655" s="21" t="n">
        <v>42780.0</v>
      </c>
      <c r="N655" s="22" t="inlineStr">
        <is>
          <t>Angel (individual)</t>
        </is>
      </c>
      <c r="O655" s="23" t="n">
        <v>1.05</v>
      </c>
      <c r="P655" s="101">
        <f>HYPERLINK("https://my.pitchbook.com?c=126697-24", "View company online")</f>
      </c>
    </row>
    <row r="656">
      <c r="A656" s="25" t="inlineStr">
        <is>
          <t>95254-03</t>
        </is>
      </c>
      <c r="B656" s="26" t="inlineStr">
        <is>
          <t>Totus Power</t>
        </is>
      </c>
      <c r="C656" s="27" t="inlineStr">
        <is>
          <t/>
        </is>
      </c>
      <c r="D656" s="28" t="inlineStr">
        <is>
          <t/>
        </is>
      </c>
      <c r="E656" s="29" t="inlineStr">
        <is>
          <t/>
        </is>
      </c>
      <c r="F656" s="30" t="inlineStr">
        <is>
          <t/>
        </is>
      </c>
      <c r="G656" s="31" t="inlineStr">
        <is>
          <t/>
        </is>
      </c>
      <c r="H656" s="32" t="inlineStr">
        <is>
          <t/>
        </is>
      </c>
      <c r="I656" s="33" t="inlineStr">
        <is>
          <t/>
        </is>
      </c>
      <c r="J656" s="34" t="inlineStr">
        <is>
          <t/>
        </is>
      </c>
      <c r="K656" s="35" t="inlineStr">
        <is>
          <t>Privately Held (backing)</t>
        </is>
      </c>
      <c r="L656" s="36" t="inlineStr">
        <is>
          <t>Accelerator/Incubator Backed</t>
        </is>
      </c>
      <c r="M656" s="37" t="n">
        <v>41893.0</v>
      </c>
      <c r="N656" s="38" t="inlineStr">
        <is>
          <t>Accelerator/Incubator</t>
        </is>
      </c>
      <c r="O656" s="39" t="n">
        <v>0.03</v>
      </c>
      <c r="P656" s="102">
        <f>HYPERLINK("https://my.pitchbook.com?c=95254-03", "View company online")</f>
      </c>
    </row>
    <row r="657">
      <c r="A657" s="9" t="inlineStr">
        <is>
          <t>133097-86</t>
        </is>
      </c>
      <c r="B657" s="10" t="inlineStr">
        <is>
          <t>Totum</t>
        </is>
      </c>
      <c r="C657" s="11" t="inlineStr">
        <is>
          <t/>
        </is>
      </c>
      <c r="D657" s="12" t="inlineStr">
        <is>
          <t/>
        </is>
      </c>
      <c r="E657" s="13" t="inlineStr">
        <is>
          <t/>
        </is>
      </c>
      <c r="F657" s="14" t="inlineStr">
        <is>
          <t/>
        </is>
      </c>
      <c r="G657" s="15" t="inlineStr">
        <is>
          <t/>
        </is>
      </c>
      <c r="H657" s="16" t="inlineStr">
        <is>
          <t/>
        </is>
      </c>
      <c r="I657" s="17" t="inlineStr">
        <is>
          <t/>
        </is>
      </c>
      <c r="J657" s="18" t="inlineStr">
        <is>
          <t/>
        </is>
      </c>
      <c r="K657" s="19" t="inlineStr">
        <is>
          <t>Privately Held (backing)</t>
        </is>
      </c>
      <c r="L657" s="20" t="inlineStr">
        <is>
          <t>Accelerator/Incubator Backed</t>
        </is>
      </c>
      <c r="M657" s="21" t="n">
        <v>42318.0</v>
      </c>
      <c r="N657" s="22" t="inlineStr">
        <is>
          <t>Accelerator/Incubator</t>
        </is>
      </c>
      <c r="O657" s="23" t="n">
        <v>0.02</v>
      </c>
      <c r="P657" s="101">
        <f>HYPERLINK("https://my.pitchbook.com?c=133097-86", "View company online")</f>
      </c>
    </row>
    <row r="658">
      <c r="A658" s="25" t="inlineStr">
        <is>
          <t>176981-86</t>
        </is>
      </c>
      <c r="B658" s="26" t="inlineStr">
        <is>
          <t>Totokan</t>
        </is>
      </c>
      <c r="C658" s="78">
        <f>HYPERLINK("https://my.pitchbook.com?rrp=176981-86&amp;type=c", "This Company's information is not available to download. Need this Company? Request availability")</f>
      </c>
      <c r="D658" s="28" t="inlineStr">
        <is>
          <t/>
        </is>
      </c>
      <c r="E658" s="29" t="inlineStr">
        <is>
          <t/>
        </is>
      </c>
      <c r="F658" s="30" t="inlineStr">
        <is>
          <t/>
        </is>
      </c>
      <c r="G658" s="31" t="inlineStr">
        <is>
          <t/>
        </is>
      </c>
      <c r="H658" s="32" t="inlineStr">
        <is>
          <t/>
        </is>
      </c>
      <c r="I658" s="33" t="inlineStr">
        <is>
          <t/>
        </is>
      </c>
      <c r="J658" s="34" t="inlineStr">
        <is>
          <t/>
        </is>
      </c>
      <c r="K658" s="35" t="inlineStr">
        <is>
          <t/>
        </is>
      </c>
      <c r="L658" s="36" t="inlineStr">
        <is>
          <t/>
        </is>
      </c>
      <c r="M658" s="37" t="inlineStr">
        <is>
          <t/>
        </is>
      </c>
      <c r="N658" s="38" t="inlineStr">
        <is>
          <t/>
        </is>
      </c>
      <c r="O658" s="39" t="inlineStr">
        <is>
          <t/>
        </is>
      </c>
      <c r="P658" s="40" t="inlineStr">
        <is>
          <t/>
        </is>
      </c>
    </row>
    <row r="659">
      <c r="A659" s="9" t="inlineStr">
        <is>
          <t>65162-44</t>
        </is>
      </c>
      <c r="B659" s="10" t="inlineStr">
        <is>
          <t>TotallyDot</t>
        </is>
      </c>
      <c r="C659" s="11" t="inlineStr">
        <is>
          <t/>
        </is>
      </c>
      <c r="D659" s="12" t="inlineStr">
        <is>
          <t/>
        </is>
      </c>
      <c r="E659" s="13" t="inlineStr">
        <is>
          <t/>
        </is>
      </c>
      <c r="F659" s="14" t="inlineStr">
        <is>
          <t/>
        </is>
      </c>
      <c r="G659" s="15" t="inlineStr">
        <is>
          <t/>
        </is>
      </c>
      <c r="H659" s="16" t="inlineStr">
        <is>
          <t/>
        </is>
      </c>
      <c r="I659" s="17" t="inlineStr">
        <is>
          <t/>
        </is>
      </c>
      <c r="J659" s="18" t="inlineStr">
        <is>
          <t/>
        </is>
      </c>
      <c r="K659" s="19" t="inlineStr">
        <is>
          <t>Privately Held (backing)</t>
        </is>
      </c>
      <c r="L659" s="20" t="inlineStr">
        <is>
          <t>Angel-Backed</t>
        </is>
      </c>
      <c r="M659" s="21" t="n">
        <v>42168.0</v>
      </c>
      <c r="N659" s="22" t="inlineStr">
        <is>
          <t>Seed Round</t>
        </is>
      </c>
      <c r="O659" s="23" t="n">
        <v>0.05</v>
      </c>
      <c r="P659" s="101">
        <f>HYPERLINK("https://my.pitchbook.com?c=65162-44", "View company online")</f>
      </c>
    </row>
    <row r="660">
      <c r="A660" s="25" t="inlineStr">
        <is>
          <t>95253-04</t>
        </is>
      </c>
      <c r="B660" s="26" t="inlineStr">
        <is>
          <t>Total Communicator Solutions</t>
        </is>
      </c>
      <c r="C660" s="27" t="inlineStr">
        <is>
          <t/>
        </is>
      </c>
      <c r="D660" s="28" t="inlineStr">
        <is>
          <t/>
        </is>
      </c>
      <c r="E660" s="29" t="inlineStr">
        <is>
          <t/>
        </is>
      </c>
      <c r="F660" s="30" t="inlineStr">
        <is>
          <t/>
        </is>
      </c>
      <c r="G660" s="31" t="inlineStr">
        <is>
          <t/>
        </is>
      </c>
      <c r="H660" s="32" t="inlineStr">
        <is>
          <t/>
        </is>
      </c>
      <c r="I660" s="33" t="inlineStr">
        <is>
          <t/>
        </is>
      </c>
      <c r="J660" s="34" t="inlineStr">
        <is>
          <t/>
        </is>
      </c>
      <c r="K660" s="35" t="inlineStr">
        <is>
          <t>Privately Held (backing)</t>
        </is>
      </c>
      <c r="L660" s="36" t="inlineStr">
        <is>
          <t>Angel-Backed</t>
        </is>
      </c>
      <c r="M660" s="37" t="n">
        <v>42129.0</v>
      </c>
      <c r="N660" s="38" t="inlineStr">
        <is>
          <t>Angel (individual)</t>
        </is>
      </c>
      <c r="O660" s="39" t="n">
        <v>0.39</v>
      </c>
      <c r="P660" s="102">
        <f>HYPERLINK("https://my.pitchbook.com?c=95253-04", "View company online")</f>
      </c>
    </row>
    <row r="661">
      <c r="A661" s="9" t="inlineStr">
        <is>
          <t>99093-70</t>
        </is>
      </c>
      <c r="B661" s="10" t="inlineStr">
        <is>
          <t>toSense</t>
        </is>
      </c>
      <c r="C661" s="11" t="inlineStr">
        <is>
          <t/>
        </is>
      </c>
      <c r="D661" s="12" t="inlineStr">
        <is>
          <t/>
        </is>
      </c>
      <c r="E661" s="13" t="inlineStr">
        <is>
          <t/>
        </is>
      </c>
      <c r="F661" s="14" t="inlineStr">
        <is>
          <t/>
        </is>
      </c>
      <c r="G661" s="15" t="inlineStr">
        <is>
          <t/>
        </is>
      </c>
      <c r="H661" s="16" t="inlineStr">
        <is>
          <t/>
        </is>
      </c>
      <c r="I661" s="17" t="inlineStr">
        <is>
          <t/>
        </is>
      </c>
      <c r="J661" s="18" t="inlineStr">
        <is>
          <t/>
        </is>
      </c>
      <c r="K661" s="19" t="inlineStr">
        <is>
          <t>Privately Held (backing)</t>
        </is>
      </c>
      <c r="L661" s="20" t="inlineStr">
        <is>
          <t>Accelerator/Incubator Backed</t>
        </is>
      </c>
      <c r="M661" s="21" t="inlineStr">
        <is>
          <t/>
        </is>
      </c>
      <c r="N661" s="22" t="inlineStr">
        <is>
          <t>Accelerator/Incubator</t>
        </is>
      </c>
      <c r="O661" s="23" t="inlineStr">
        <is>
          <t/>
        </is>
      </c>
      <c r="P661" s="101">
        <f>HYPERLINK("https://my.pitchbook.com?c=99093-70", "View company online")</f>
      </c>
    </row>
    <row r="662">
      <c r="A662" s="25" t="inlineStr">
        <is>
          <t>119879-38</t>
        </is>
      </c>
      <c r="B662" s="26" t="inlineStr">
        <is>
          <t>Tosca Cafe</t>
        </is>
      </c>
      <c r="C662" s="27" t="inlineStr">
        <is>
          <t/>
        </is>
      </c>
      <c r="D662" s="28" t="inlineStr">
        <is>
          <t/>
        </is>
      </c>
      <c r="E662" s="29" t="inlineStr">
        <is>
          <t/>
        </is>
      </c>
      <c r="F662" s="30" t="inlineStr">
        <is>
          <t/>
        </is>
      </c>
      <c r="G662" s="31" t="inlineStr">
        <is>
          <t/>
        </is>
      </c>
      <c r="H662" s="32" t="inlineStr">
        <is>
          <t/>
        </is>
      </c>
      <c r="I662" s="33" t="inlineStr">
        <is>
          <t/>
        </is>
      </c>
      <c r="J662" s="34" t="inlineStr">
        <is>
          <t/>
        </is>
      </c>
      <c r="K662" s="35" t="inlineStr">
        <is>
          <t>Privately Held (backing)</t>
        </is>
      </c>
      <c r="L662" s="36" t="inlineStr">
        <is>
          <t>Angel-Backed</t>
        </is>
      </c>
      <c r="M662" s="37" t="n">
        <v>41693.0</v>
      </c>
      <c r="N662" s="38" t="inlineStr">
        <is>
          <t>Angel (individual)</t>
        </is>
      </c>
      <c r="O662" s="39" t="inlineStr">
        <is>
          <t/>
        </is>
      </c>
      <c r="P662" s="102">
        <f>HYPERLINK("https://my.pitchbook.com?c=119879-38", "View company online")</f>
      </c>
    </row>
    <row r="663">
      <c r="A663" s="9" t="inlineStr">
        <is>
          <t>171385-57</t>
        </is>
      </c>
      <c r="B663" s="10" t="inlineStr">
        <is>
          <t>Torrey Pines Research</t>
        </is>
      </c>
      <c r="C663" s="77">
        <f>HYPERLINK("https://my.pitchbook.com?rrp=171385-57&amp;type=c", "This Company's information is not available to download. Need this Company? Request availability")</f>
      </c>
      <c r="D663" s="12" t="inlineStr">
        <is>
          <t/>
        </is>
      </c>
      <c r="E663" s="13" t="inlineStr">
        <is>
          <t/>
        </is>
      </c>
      <c r="F663" s="14" t="inlineStr">
        <is>
          <t/>
        </is>
      </c>
      <c r="G663" s="15" t="inlineStr">
        <is>
          <t/>
        </is>
      </c>
      <c r="H663" s="16" t="inlineStr">
        <is>
          <t/>
        </is>
      </c>
      <c r="I663" s="17" t="inlineStr">
        <is>
          <t/>
        </is>
      </c>
      <c r="J663" s="18" t="inlineStr">
        <is>
          <t/>
        </is>
      </c>
      <c r="K663" s="19" t="inlineStr">
        <is>
          <t/>
        </is>
      </c>
      <c r="L663" s="20" t="inlineStr">
        <is>
          <t/>
        </is>
      </c>
      <c r="M663" s="21" t="inlineStr">
        <is>
          <t/>
        </is>
      </c>
      <c r="N663" s="22" t="inlineStr">
        <is>
          <t/>
        </is>
      </c>
      <c r="O663" s="23" t="inlineStr">
        <is>
          <t/>
        </is>
      </c>
      <c r="P663" s="24" t="inlineStr">
        <is>
          <t/>
        </is>
      </c>
    </row>
    <row r="664">
      <c r="A664" s="25" t="inlineStr">
        <is>
          <t>114138-37</t>
        </is>
      </c>
      <c r="B664" s="26" t="inlineStr">
        <is>
          <t>Torex USA</t>
        </is>
      </c>
      <c r="C664" s="27" t="inlineStr">
        <is>
          <t/>
        </is>
      </c>
      <c r="D664" s="28" t="inlineStr">
        <is>
          <t/>
        </is>
      </c>
      <c r="E664" s="29" t="inlineStr">
        <is>
          <t/>
        </is>
      </c>
      <c r="F664" s="30" t="inlineStr">
        <is>
          <t/>
        </is>
      </c>
      <c r="G664" s="31" t="inlineStr">
        <is>
          <t/>
        </is>
      </c>
      <c r="H664" s="32" t="inlineStr">
        <is>
          <t/>
        </is>
      </c>
      <c r="I664" s="33" t="inlineStr">
        <is>
          <t/>
        </is>
      </c>
      <c r="J664" s="34" t="inlineStr">
        <is>
          <t/>
        </is>
      </c>
      <c r="K664" s="35" t="inlineStr">
        <is>
          <t>Privately Held (backing)</t>
        </is>
      </c>
      <c r="L664" s="36" t="inlineStr">
        <is>
          <t>Angel-Backed</t>
        </is>
      </c>
      <c r="M664" s="37" t="n">
        <v>42143.0</v>
      </c>
      <c r="N664" s="38" t="inlineStr">
        <is>
          <t>Angel (individual)</t>
        </is>
      </c>
      <c r="O664" s="39" t="n">
        <v>2.0</v>
      </c>
      <c r="P664" s="102">
        <f>HYPERLINK("https://my.pitchbook.com?c=114138-37", "View company online")</f>
      </c>
    </row>
    <row r="665">
      <c r="A665" s="9" t="inlineStr">
        <is>
          <t>179694-46</t>
        </is>
      </c>
      <c r="B665" s="10" t="inlineStr">
        <is>
          <t>Topology Eyewear</t>
        </is>
      </c>
      <c r="C665" s="77">
        <f>HYPERLINK("https://my.pitchbook.com?rrp=179694-46&amp;type=c", "This Company's information is not available to download. Need this Company? Request availability")</f>
      </c>
      <c r="D665" s="12" t="inlineStr">
        <is>
          <t/>
        </is>
      </c>
      <c r="E665" s="13" t="inlineStr">
        <is>
          <t/>
        </is>
      </c>
      <c r="F665" s="14" t="inlineStr">
        <is>
          <t/>
        </is>
      </c>
      <c r="G665" s="15" t="inlineStr">
        <is>
          <t/>
        </is>
      </c>
      <c r="H665" s="16" t="inlineStr">
        <is>
          <t/>
        </is>
      </c>
      <c r="I665" s="17" t="inlineStr">
        <is>
          <t/>
        </is>
      </c>
      <c r="J665" s="18" t="inlineStr">
        <is>
          <t/>
        </is>
      </c>
      <c r="K665" s="19" t="inlineStr">
        <is>
          <t/>
        </is>
      </c>
      <c r="L665" s="20" t="inlineStr">
        <is>
          <t/>
        </is>
      </c>
      <c r="M665" s="21" t="inlineStr">
        <is>
          <t/>
        </is>
      </c>
      <c r="N665" s="22" t="inlineStr">
        <is>
          <t/>
        </is>
      </c>
      <c r="O665" s="23" t="inlineStr">
        <is>
          <t/>
        </is>
      </c>
      <c r="P665" s="24" t="inlineStr">
        <is>
          <t/>
        </is>
      </c>
    </row>
    <row r="666">
      <c r="A666" s="25" t="inlineStr">
        <is>
          <t>172860-40</t>
        </is>
      </c>
      <c r="B666" s="26" t="inlineStr">
        <is>
          <t>Top Broker Network</t>
        </is>
      </c>
      <c r="C666" s="78">
        <f>HYPERLINK("https://my.pitchbook.com?rrp=172860-40&amp;type=c", "This Company's information is not available to download. Need this Company? Request availability")</f>
      </c>
      <c r="D666" s="28" t="inlineStr">
        <is>
          <t/>
        </is>
      </c>
      <c r="E666" s="29" t="inlineStr">
        <is>
          <t/>
        </is>
      </c>
      <c r="F666" s="30" t="inlineStr">
        <is>
          <t/>
        </is>
      </c>
      <c r="G666" s="31" t="inlineStr">
        <is>
          <t/>
        </is>
      </c>
      <c r="H666" s="32" t="inlineStr">
        <is>
          <t/>
        </is>
      </c>
      <c r="I666" s="33" t="inlineStr">
        <is>
          <t/>
        </is>
      </c>
      <c r="J666" s="34" t="inlineStr">
        <is>
          <t/>
        </is>
      </c>
      <c r="K666" s="35" t="inlineStr">
        <is>
          <t/>
        </is>
      </c>
      <c r="L666" s="36" t="inlineStr">
        <is>
          <t/>
        </is>
      </c>
      <c r="M666" s="37" t="inlineStr">
        <is>
          <t/>
        </is>
      </c>
      <c r="N666" s="38" t="inlineStr">
        <is>
          <t/>
        </is>
      </c>
      <c r="O666" s="39" t="inlineStr">
        <is>
          <t/>
        </is>
      </c>
      <c r="P666" s="40" t="inlineStr">
        <is>
          <t/>
        </is>
      </c>
    </row>
    <row r="667">
      <c r="A667" s="9" t="inlineStr">
        <is>
          <t>88325-65</t>
        </is>
      </c>
      <c r="B667" s="10" t="inlineStr">
        <is>
          <t>Top Agent Network</t>
        </is>
      </c>
      <c r="C667" s="77">
        <f>HYPERLINK("https://my.pitchbook.com?rrp=88325-65&amp;type=c", "This Company's information is not available to download. Need this Company? Request availability")</f>
      </c>
      <c r="D667" s="12" t="inlineStr">
        <is>
          <t/>
        </is>
      </c>
      <c r="E667" s="13" t="inlineStr">
        <is>
          <t/>
        </is>
      </c>
      <c r="F667" s="14" t="inlineStr">
        <is>
          <t/>
        </is>
      </c>
      <c r="G667" s="15" t="inlineStr">
        <is>
          <t/>
        </is>
      </c>
      <c r="H667" s="16" t="inlineStr">
        <is>
          <t/>
        </is>
      </c>
      <c r="I667" s="17" t="inlineStr">
        <is>
          <t/>
        </is>
      </c>
      <c r="J667" s="18" t="inlineStr">
        <is>
          <t/>
        </is>
      </c>
      <c r="K667" s="19" t="inlineStr">
        <is>
          <t/>
        </is>
      </c>
      <c r="L667" s="20" t="inlineStr">
        <is>
          <t/>
        </is>
      </c>
      <c r="M667" s="21" t="inlineStr">
        <is>
          <t/>
        </is>
      </c>
      <c r="N667" s="22" t="inlineStr">
        <is>
          <t/>
        </is>
      </c>
      <c r="O667" s="23" t="inlineStr">
        <is>
          <t/>
        </is>
      </c>
      <c r="P667" s="24" t="inlineStr">
        <is>
          <t/>
        </is>
      </c>
    </row>
    <row r="668">
      <c r="A668" s="25" t="inlineStr">
        <is>
          <t>177231-43</t>
        </is>
      </c>
      <c r="B668" s="26" t="inlineStr">
        <is>
          <t>Top Agent Connection</t>
        </is>
      </c>
      <c r="C668" s="78">
        <f>HYPERLINK("https://my.pitchbook.com?rrp=177231-43&amp;type=c", "This Company's information is not available to download. Need this Company? Request availability")</f>
      </c>
      <c r="D668" s="28" t="inlineStr">
        <is>
          <t/>
        </is>
      </c>
      <c r="E668" s="29" t="inlineStr">
        <is>
          <t/>
        </is>
      </c>
      <c r="F668" s="30" t="inlineStr">
        <is>
          <t/>
        </is>
      </c>
      <c r="G668" s="31" t="inlineStr">
        <is>
          <t/>
        </is>
      </c>
      <c r="H668" s="32" t="inlineStr">
        <is>
          <t/>
        </is>
      </c>
      <c r="I668" s="33" t="inlineStr">
        <is>
          <t/>
        </is>
      </c>
      <c r="J668" s="34" t="inlineStr">
        <is>
          <t/>
        </is>
      </c>
      <c r="K668" s="35" t="inlineStr">
        <is>
          <t/>
        </is>
      </c>
      <c r="L668" s="36" t="inlineStr">
        <is>
          <t/>
        </is>
      </c>
      <c r="M668" s="37" t="inlineStr">
        <is>
          <t/>
        </is>
      </c>
      <c r="N668" s="38" t="inlineStr">
        <is>
          <t/>
        </is>
      </c>
      <c r="O668" s="39" t="inlineStr">
        <is>
          <t/>
        </is>
      </c>
      <c r="P668" s="40" t="inlineStr">
        <is>
          <t/>
        </is>
      </c>
    </row>
    <row r="669">
      <c r="A669" s="9" t="inlineStr">
        <is>
          <t>161179-84</t>
        </is>
      </c>
      <c r="B669" s="10" t="inlineStr">
        <is>
          <t>Toot App</t>
        </is>
      </c>
      <c r="C669" s="11" t="inlineStr">
        <is>
          <t/>
        </is>
      </c>
      <c r="D669" s="12" t="inlineStr">
        <is>
          <t/>
        </is>
      </c>
      <c r="E669" s="13" t="inlineStr">
        <is>
          <t/>
        </is>
      </c>
      <c r="F669" s="14" t="inlineStr">
        <is>
          <t/>
        </is>
      </c>
      <c r="G669" s="15" t="inlineStr">
        <is>
          <t/>
        </is>
      </c>
      <c r="H669" s="16" t="inlineStr">
        <is>
          <t/>
        </is>
      </c>
      <c r="I669" s="17" t="inlineStr">
        <is>
          <t/>
        </is>
      </c>
      <c r="J669" s="18" t="inlineStr">
        <is>
          <t/>
        </is>
      </c>
      <c r="K669" s="19" t="inlineStr">
        <is>
          <t>Privately Held (backing)</t>
        </is>
      </c>
      <c r="L669" s="20" t="inlineStr">
        <is>
          <t>Angel-Backed</t>
        </is>
      </c>
      <c r="M669" s="21" t="n">
        <v>42531.0</v>
      </c>
      <c r="N669" s="22" t="inlineStr">
        <is>
          <t>Seed Round</t>
        </is>
      </c>
      <c r="O669" s="23" t="inlineStr">
        <is>
          <t/>
        </is>
      </c>
      <c r="P669" s="101">
        <f>HYPERLINK("https://my.pitchbook.com?c=161179-84", "View company online")</f>
      </c>
    </row>
    <row r="670">
      <c r="A670" s="25" t="inlineStr">
        <is>
          <t>173364-22</t>
        </is>
      </c>
      <c r="B670" s="26" t="inlineStr">
        <is>
          <t>Tooreen Dancer</t>
        </is>
      </c>
      <c r="C670" s="27" t="inlineStr">
        <is>
          <t/>
        </is>
      </c>
      <c r="D670" s="28" t="inlineStr">
        <is>
          <t/>
        </is>
      </c>
      <c r="E670" s="29" t="inlineStr">
        <is>
          <t/>
        </is>
      </c>
      <c r="F670" s="30" t="inlineStr">
        <is>
          <t/>
        </is>
      </c>
      <c r="G670" s="31" t="inlineStr">
        <is>
          <t/>
        </is>
      </c>
      <c r="H670" s="32" t="inlineStr">
        <is>
          <t/>
        </is>
      </c>
      <c r="I670" s="33" t="inlineStr">
        <is>
          <t/>
        </is>
      </c>
      <c r="J670" s="34" t="inlineStr">
        <is>
          <t/>
        </is>
      </c>
      <c r="K670" s="35" t="inlineStr">
        <is>
          <t>Privately Held (backing)</t>
        </is>
      </c>
      <c r="L670" s="36" t="inlineStr">
        <is>
          <t>Angel-Backed</t>
        </is>
      </c>
      <c r="M670" s="37" t="n">
        <v>42800.0</v>
      </c>
      <c r="N670" s="38" t="inlineStr">
        <is>
          <t>Angel (individual)</t>
        </is>
      </c>
      <c r="O670" s="39" t="n">
        <v>0.21</v>
      </c>
      <c r="P670" s="102">
        <f>HYPERLINK("https://my.pitchbook.com?c=173364-22", "View company online")</f>
      </c>
    </row>
    <row r="671">
      <c r="A671" s="9" t="inlineStr">
        <is>
          <t>156925-63</t>
        </is>
      </c>
      <c r="B671" s="10" t="inlineStr">
        <is>
          <t>Toolow</t>
        </is>
      </c>
      <c r="C671" s="11" t="inlineStr">
        <is>
          <t/>
        </is>
      </c>
      <c r="D671" s="12" t="inlineStr">
        <is>
          <t/>
        </is>
      </c>
      <c r="E671" s="13" t="inlineStr">
        <is>
          <t/>
        </is>
      </c>
      <c r="F671" s="14" t="inlineStr">
        <is>
          <t/>
        </is>
      </c>
      <c r="G671" s="15" t="inlineStr">
        <is>
          <t/>
        </is>
      </c>
      <c r="H671" s="16" t="inlineStr">
        <is>
          <t/>
        </is>
      </c>
      <c r="I671" s="17" t="inlineStr">
        <is>
          <t/>
        </is>
      </c>
      <c r="J671" s="18" t="inlineStr">
        <is>
          <t/>
        </is>
      </c>
      <c r="K671" s="19" t="inlineStr">
        <is>
          <t>Privately Held (backing)</t>
        </is>
      </c>
      <c r="L671" s="20" t="inlineStr">
        <is>
          <t>Angel-Backed</t>
        </is>
      </c>
      <c r="M671" s="21" t="n">
        <v>42471.0</v>
      </c>
      <c r="N671" s="22" t="inlineStr">
        <is>
          <t>Angel (individual)</t>
        </is>
      </c>
      <c r="O671" s="23" t="n">
        <v>0.05</v>
      </c>
      <c r="P671" s="101">
        <f>HYPERLINK("https://my.pitchbook.com?c=156925-63", "View company online")</f>
      </c>
    </row>
    <row r="672">
      <c r="A672" s="25" t="inlineStr">
        <is>
          <t>169761-16</t>
        </is>
      </c>
      <c r="B672" s="26" t="inlineStr">
        <is>
          <t>ToolBox Genomics</t>
        </is>
      </c>
      <c r="C672" s="27" t="inlineStr">
        <is>
          <t/>
        </is>
      </c>
      <c r="D672" s="28" t="inlineStr">
        <is>
          <t/>
        </is>
      </c>
      <c r="E672" s="29" t="inlineStr">
        <is>
          <t/>
        </is>
      </c>
      <c r="F672" s="30" t="inlineStr">
        <is>
          <t/>
        </is>
      </c>
      <c r="G672" s="31" t="inlineStr">
        <is>
          <t/>
        </is>
      </c>
      <c r="H672" s="32" t="inlineStr">
        <is>
          <t/>
        </is>
      </c>
      <c r="I672" s="33" t="inlineStr">
        <is>
          <t/>
        </is>
      </c>
      <c r="J672" s="34" t="inlineStr">
        <is>
          <t/>
        </is>
      </c>
      <c r="K672" s="35" t="inlineStr">
        <is>
          <t>Privately Held (backing)</t>
        </is>
      </c>
      <c r="L672" s="36" t="inlineStr">
        <is>
          <t>Angel-Backed</t>
        </is>
      </c>
      <c r="M672" s="37" t="n">
        <v>42746.0</v>
      </c>
      <c r="N672" s="38" t="inlineStr">
        <is>
          <t>Seed Round</t>
        </is>
      </c>
      <c r="O672" s="39" t="inlineStr">
        <is>
          <t/>
        </is>
      </c>
      <c r="P672" s="102">
        <f>HYPERLINK("https://my.pitchbook.com?c=169761-16", "View company online")</f>
      </c>
    </row>
    <row r="673">
      <c r="A673" s="9" t="inlineStr">
        <is>
          <t>160966-36</t>
        </is>
      </c>
      <c r="B673" s="10" t="inlineStr">
        <is>
          <t>Took That</t>
        </is>
      </c>
      <c r="C673" s="11" t="inlineStr">
        <is>
          <t/>
        </is>
      </c>
      <c r="D673" s="12" t="inlineStr">
        <is>
          <t/>
        </is>
      </c>
      <c r="E673" s="13" t="inlineStr">
        <is>
          <t/>
        </is>
      </c>
      <c r="F673" s="14" t="inlineStr">
        <is>
          <t/>
        </is>
      </c>
      <c r="G673" s="15" t="inlineStr">
        <is>
          <t/>
        </is>
      </c>
      <c r="H673" s="16" t="inlineStr">
        <is>
          <t/>
        </is>
      </c>
      <c r="I673" s="17" t="inlineStr">
        <is>
          <t/>
        </is>
      </c>
      <c r="J673" s="18" t="inlineStr">
        <is>
          <t/>
        </is>
      </c>
      <c r="K673" s="19" t="inlineStr">
        <is>
          <t>Privately Held (backing)</t>
        </is>
      </c>
      <c r="L673" s="20" t="inlineStr">
        <is>
          <t>Angel-Backed</t>
        </is>
      </c>
      <c r="M673" s="21" t="n">
        <v>42523.0</v>
      </c>
      <c r="N673" s="22" t="inlineStr">
        <is>
          <t>Angel (individual)</t>
        </is>
      </c>
      <c r="O673" s="23" t="n">
        <v>0.2</v>
      </c>
      <c r="P673" s="101">
        <f>HYPERLINK("https://my.pitchbook.com?c=160966-36", "View company online")</f>
      </c>
    </row>
    <row r="674">
      <c r="A674" s="25" t="inlineStr">
        <is>
          <t>170839-27</t>
        </is>
      </c>
      <c r="B674" s="26" t="inlineStr">
        <is>
          <t>ToobPlus</t>
        </is>
      </c>
      <c r="C674" s="27" t="inlineStr">
        <is>
          <t/>
        </is>
      </c>
      <c r="D674" s="28" t="inlineStr">
        <is>
          <t/>
        </is>
      </c>
      <c r="E674" s="29" t="inlineStr">
        <is>
          <t/>
        </is>
      </c>
      <c r="F674" s="30" t="inlineStr">
        <is>
          <t/>
        </is>
      </c>
      <c r="G674" s="31" t="inlineStr">
        <is>
          <t/>
        </is>
      </c>
      <c r="H674" s="32" t="inlineStr">
        <is>
          <t/>
        </is>
      </c>
      <c r="I674" s="33" t="inlineStr">
        <is>
          <t/>
        </is>
      </c>
      <c r="J674" s="34" t="inlineStr">
        <is>
          <t/>
        </is>
      </c>
      <c r="K674" s="35" t="inlineStr">
        <is>
          <t>Privately Held (backing)</t>
        </is>
      </c>
      <c r="L674" s="36" t="inlineStr">
        <is>
          <t>Accelerator/Incubator Backed</t>
        </is>
      </c>
      <c r="M674" s="37" t="inlineStr">
        <is>
          <t/>
        </is>
      </c>
      <c r="N674" s="38" t="inlineStr">
        <is>
          <t>Accelerator/Incubator</t>
        </is>
      </c>
      <c r="O674" s="39" t="inlineStr">
        <is>
          <t/>
        </is>
      </c>
      <c r="P674" s="102">
        <f>HYPERLINK("https://my.pitchbook.com?c=170839-27", "View company online")</f>
      </c>
    </row>
    <row r="675">
      <c r="A675" s="9" t="inlineStr">
        <is>
          <t>117890-20</t>
        </is>
      </c>
      <c r="B675" s="10" t="inlineStr">
        <is>
          <t>Tonkean</t>
        </is>
      </c>
      <c r="C675" s="11" t="inlineStr">
        <is>
          <t/>
        </is>
      </c>
      <c r="D675" s="12" t="inlineStr">
        <is>
          <t/>
        </is>
      </c>
      <c r="E675" s="13" t="inlineStr">
        <is>
          <t/>
        </is>
      </c>
      <c r="F675" s="14" t="inlineStr">
        <is>
          <t/>
        </is>
      </c>
      <c r="G675" s="15" t="inlineStr">
        <is>
          <t/>
        </is>
      </c>
      <c r="H675" s="16" t="inlineStr">
        <is>
          <t/>
        </is>
      </c>
      <c r="I675" s="17" t="inlineStr">
        <is>
          <t/>
        </is>
      </c>
      <c r="J675" s="18" t="inlineStr">
        <is>
          <t/>
        </is>
      </c>
      <c r="K675" s="19" t="inlineStr">
        <is>
          <t>Privately Held (backing)</t>
        </is>
      </c>
      <c r="L675" s="20" t="inlineStr">
        <is>
          <t>Angel-Backed</t>
        </is>
      </c>
      <c r="M675" s="21" t="n">
        <v>42754.0</v>
      </c>
      <c r="N675" s="22" t="inlineStr">
        <is>
          <t>Accelerator/Incubator</t>
        </is>
      </c>
      <c r="O675" s="23" t="inlineStr">
        <is>
          <t/>
        </is>
      </c>
      <c r="P675" s="101">
        <f>HYPERLINK("https://my.pitchbook.com?c=117890-20", "View company online")</f>
      </c>
    </row>
    <row r="676">
      <c r="A676" s="25" t="inlineStr">
        <is>
          <t>94387-87</t>
        </is>
      </c>
      <c r="B676" s="26" t="inlineStr">
        <is>
          <t>ToneDen</t>
        </is>
      </c>
      <c r="C676" s="27" t="inlineStr">
        <is>
          <t/>
        </is>
      </c>
      <c r="D676" s="28" t="inlineStr">
        <is>
          <t/>
        </is>
      </c>
      <c r="E676" s="29" t="inlineStr">
        <is>
          <t/>
        </is>
      </c>
      <c r="F676" s="30" t="inlineStr">
        <is>
          <t/>
        </is>
      </c>
      <c r="G676" s="31" t="inlineStr">
        <is>
          <t/>
        </is>
      </c>
      <c r="H676" s="32" t="inlineStr">
        <is>
          <t/>
        </is>
      </c>
      <c r="I676" s="33" t="inlineStr">
        <is>
          <t/>
        </is>
      </c>
      <c r="J676" s="34" t="inlineStr">
        <is>
          <t/>
        </is>
      </c>
      <c r="K676" s="35" t="inlineStr">
        <is>
          <t>Privately Held (backing)</t>
        </is>
      </c>
      <c r="L676" s="36" t="inlineStr">
        <is>
          <t>Accelerator/Incubator Backed</t>
        </is>
      </c>
      <c r="M676" s="37" t="n">
        <v>42250.0</v>
      </c>
      <c r="N676" s="38" t="inlineStr">
        <is>
          <t>Angel (individual)</t>
        </is>
      </c>
      <c r="O676" s="39" t="n">
        <v>1.0</v>
      </c>
      <c r="P676" s="102">
        <f>HYPERLINK("https://my.pitchbook.com?c=94387-87", "View company online")</f>
      </c>
    </row>
    <row r="677">
      <c r="A677" s="9" t="inlineStr">
        <is>
          <t>103226-41</t>
        </is>
      </c>
      <c r="B677" s="10" t="inlineStr">
        <is>
          <t>Tomobox</t>
        </is>
      </c>
      <c r="C677" s="11" t="inlineStr">
        <is>
          <t/>
        </is>
      </c>
      <c r="D677" s="12" t="inlineStr">
        <is>
          <t/>
        </is>
      </c>
      <c r="E677" s="13" t="inlineStr">
        <is>
          <t/>
        </is>
      </c>
      <c r="F677" s="14" t="inlineStr">
        <is>
          <t/>
        </is>
      </c>
      <c r="G677" s="15" t="inlineStr">
        <is>
          <t/>
        </is>
      </c>
      <c r="H677" s="16" t="inlineStr">
        <is>
          <t/>
        </is>
      </c>
      <c r="I677" s="17" t="inlineStr">
        <is>
          <t/>
        </is>
      </c>
      <c r="J677" s="18" t="inlineStr">
        <is>
          <t/>
        </is>
      </c>
      <c r="K677" s="19" t="inlineStr">
        <is>
          <t>Privately Held (backing)</t>
        </is>
      </c>
      <c r="L677" s="20" t="inlineStr">
        <is>
          <t>Accelerator/Incubator Backed</t>
        </is>
      </c>
      <c r="M677" s="21" t="inlineStr">
        <is>
          <t/>
        </is>
      </c>
      <c r="N677" s="22" t="inlineStr">
        <is>
          <t>Seed Round</t>
        </is>
      </c>
      <c r="O677" s="23" t="n">
        <v>0.87</v>
      </c>
      <c r="P677" s="101">
        <f>HYPERLINK("https://my.pitchbook.com?c=103226-41", "View company online")</f>
      </c>
    </row>
    <row r="678">
      <c r="A678" s="25" t="inlineStr">
        <is>
          <t>166950-73</t>
        </is>
      </c>
      <c r="B678" s="26" t="inlineStr">
        <is>
          <t>Tombo</t>
        </is>
      </c>
      <c r="C678" s="27" t="inlineStr">
        <is>
          <t/>
        </is>
      </c>
      <c r="D678" s="28" t="inlineStr">
        <is>
          <t/>
        </is>
      </c>
      <c r="E678" s="29" t="inlineStr">
        <is>
          <t/>
        </is>
      </c>
      <c r="F678" s="30" t="inlineStr">
        <is>
          <t/>
        </is>
      </c>
      <c r="G678" s="31" t="inlineStr">
        <is>
          <t/>
        </is>
      </c>
      <c r="H678" s="32" t="inlineStr">
        <is>
          <t/>
        </is>
      </c>
      <c r="I678" s="33" t="inlineStr">
        <is>
          <t/>
        </is>
      </c>
      <c r="J678" s="34" t="inlineStr">
        <is>
          <t/>
        </is>
      </c>
      <c r="K678" s="35" t="inlineStr">
        <is>
          <t>Privately Held (backing)</t>
        </is>
      </c>
      <c r="L678" s="36" t="inlineStr">
        <is>
          <t>Accelerator/Incubator Backed</t>
        </is>
      </c>
      <c r="M678" s="37" t="inlineStr">
        <is>
          <t/>
        </is>
      </c>
      <c r="N678" s="38" t="inlineStr">
        <is>
          <t>Accelerator/Incubator</t>
        </is>
      </c>
      <c r="O678" s="39" t="inlineStr">
        <is>
          <t/>
        </is>
      </c>
      <c r="P678" s="102">
        <f>HYPERLINK("https://my.pitchbook.com?c=166950-73", "View company online")</f>
      </c>
    </row>
    <row r="679">
      <c r="A679" s="9" t="inlineStr">
        <is>
          <t>113584-51</t>
        </is>
      </c>
      <c r="B679" s="10" t="inlineStr">
        <is>
          <t>Toky</t>
        </is>
      </c>
      <c r="C679" s="11" t="inlineStr">
        <is>
          <t/>
        </is>
      </c>
      <c r="D679" s="12" t="inlineStr">
        <is>
          <t/>
        </is>
      </c>
      <c r="E679" s="13" t="inlineStr">
        <is>
          <t/>
        </is>
      </c>
      <c r="F679" s="14" t="inlineStr">
        <is>
          <t/>
        </is>
      </c>
      <c r="G679" s="15" t="inlineStr">
        <is>
          <t/>
        </is>
      </c>
      <c r="H679" s="16" t="inlineStr">
        <is>
          <t/>
        </is>
      </c>
      <c r="I679" s="17" t="inlineStr">
        <is>
          <t/>
        </is>
      </c>
      <c r="J679" s="18" t="inlineStr">
        <is>
          <t/>
        </is>
      </c>
      <c r="K679" s="19" t="inlineStr">
        <is>
          <t>Privately Held (backing)</t>
        </is>
      </c>
      <c r="L679" s="20" t="inlineStr">
        <is>
          <t>Accelerator/Incubator Backed</t>
        </is>
      </c>
      <c r="M679" s="21" t="n">
        <v>42125.0</v>
      </c>
      <c r="N679" s="22" t="inlineStr">
        <is>
          <t>Accelerator/Incubator</t>
        </is>
      </c>
      <c r="O679" s="23" t="n">
        <v>0.04</v>
      </c>
      <c r="P679" s="101">
        <f>HYPERLINK("https://my.pitchbook.com?c=113584-51", "View company online")</f>
      </c>
    </row>
    <row r="680">
      <c r="A680" s="25" t="inlineStr">
        <is>
          <t>118855-81</t>
        </is>
      </c>
      <c r="B680" s="26" t="inlineStr">
        <is>
          <t>Tokenly</t>
        </is>
      </c>
      <c r="C680" s="27" t="inlineStr">
        <is>
          <t/>
        </is>
      </c>
      <c r="D680" s="28" t="inlineStr">
        <is>
          <t/>
        </is>
      </c>
      <c r="E680" s="29" t="inlineStr">
        <is>
          <t/>
        </is>
      </c>
      <c r="F680" s="30" t="inlineStr">
        <is>
          <t/>
        </is>
      </c>
      <c r="G680" s="31" t="inlineStr">
        <is>
          <t/>
        </is>
      </c>
      <c r="H680" s="32" t="inlineStr">
        <is>
          <t/>
        </is>
      </c>
      <c r="I680" s="33" t="inlineStr">
        <is>
          <t/>
        </is>
      </c>
      <c r="J680" s="34" t="inlineStr">
        <is>
          <t/>
        </is>
      </c>
      <c r="K680" s="35" t="inlineStr">
        <is>
          <t>Privately Held (backing)</t>
        </is>
      </c>
      <c r="L680" s="36" t="inlineStr">
        <is>
          <t>Angel-Backed</t>
        </is>
      </c>
      <c r="M680" s="37" t="n">
        <v>42843.0</v>
      </c>
      <c r="N680" s="38" t="inlineStr">
        <is>
          <t>Angel (individual)</t>
        </is>
      </c>
      <c r="O680" s="39" t="inlineStr">
        <is>
          <t/>
        </is>
      </c>
      <c r="P680" s="102">
        <f>HYPERLINK("https://my.pitchbook.com?c=118855-81", "View company online")</f>
      </c>
    </row>
    <row r="681">
      <c r="A681" s="9" t="inlineStr">
        <is>
          <t>157416-85</t>
        </is>
      </c>
      <c r="B681" s="10" t="inlineStr">
        <is>
          <t>Token Transit</t>
        </is>
      </c>
      <c r="C681" s="11" t="inlineStr">
        <is>
          <t/>
        </is>
      </c>
      <c r="D681" s="12" t="inlineStr">
        <is>
          <t/>
        </is>
      </c>
      <c r="E681" s="13" t="inlineStr">
        <is>
          <t/>
        </is>
      </c>
      <c r="F681" s="14" t="inlineStr">
        <is>
          <t/>
        </is>
      </c>
      <c r="G681" s="15" t="inlineStr">
        <is>
          <t/>
        </is>
      </c>
      <c r="H681" s="16" t="inlineStr">
        <is>
          <t/>
        </is>
      </c>
      <c r="I681" s="17" t="inlineStr">
        <is>
          <t/>
        </is>
      </c>
      <c r="J681" s="18" t="inlineStr">
        <is>
          <t/>
        </is>
      </c>
      <c r="K681" s="19" t="inlineStr">
        <is>
          <t>Privately Held (backing)</t>
        </is>
      </c>
      <c r="L681" s="20" t="inlineStr">
        <is>
          <t>Accelerator/Incubator Backed</t>
        </is>
      </c>
      <c r="M681" s="21" t="n">
        <v>42814.0</v>
      </c>
      <c r="N681" s="22" t="inlineStr">
        <is>
          <t>Accelerator/Incubator</t>
        </is>
      </c>
      <c r="O681" s="23" t="n">
        <v>0.12</v>
      </c>
      <c r="P681" s="101">
        <f>HYPERLINK("https://my.pitchbook.com?c=157416-85", "View company online")</f>
      </c>
    </row>
    <row r="682">
      <c r="A682" s="25" t="inlineStr">
        <is>
          <t>100119-52</t>
        </is>
      </c>
      <c r="B682" s="26" t="inlineStr">
        <is>
          <t>Toggle</t>
        </is>
      </c>
      <c r="C682" s="27" t="inlineStr">
        <is>
          <t/>
        </is>
      </c>
      <c r="D682" s="28" t="inlineStr">
        <is>
          <t/>
        </is>
      </c>
      <c r="E682" s="29" t="inlineStr">
        <is>
          <t/>
        </is>
      </c>
      <c r="F682" s="30" t="inlineStr">
        <is>
          <t/>
        </is>
      </c>
      <c r="G682" s="31" t="inlineStr">
        <is>
          <t/>
        </is>
      </c>
      <c r="H682" s="32" t="inlineStr">
        <is>
          <t/>
        </is>
      </c>
      <c r="I682" s="33" t="inlineStr">
        <is>
          <t/>
        </is>
      </c>
      <c r="J682" s="34" t="inlineStr">
        <is>
          <t/>
        </is>
      </c>
      <c r="K682" s="35" t="inlineStr">
        <is>
          <t>Privately Held (backing)</t>
        </is>
      </c>
      <c r="L682" s="36" t="inlineStr">
        <is>
          <t>Accelerator/Incubator Backed</t>
        </is>
      </c>
      <c r="M682" s="37" t="n">
        <v>41788.0</v>
      </c>
      <c r="N682" s="38" t="inlineStr">
        <is>
          <t>Accelerator/Incubator</t>
        </is>
      </c>
      <c r="O682" s="39" t="inlineStr">
        <is>
          <t/>
        </is>
      </c>
      <c r="P682" s="102">
        <f>HYPERLINK("https://my.pitchbook.com?c=100119-52", "View company online")</f>
      </c>
    </row>
    <row r="683">
      <c r="A683" s="9" t="inlineStr">
        <is>
          <t>170862-58</t>
        </is>
      </c>
      <c r="B683" s="10" t="inlineStr">
        <is>
          <t>Togg</t>
        </is>
      </c>
      <c r="C683" s="11" t="inlineStr">
        <is>
          <t/>
        </is>
      </c>
      <c r="D683" s="12" t="inlineStr">
        <is>
          <t/>
        </is>
      </c>
      <c r="E683" s="13" t="inlineStr">
        <is>
          <t/>
        </is>
      </c>
      <c r="F683" s="14" t="inlineStr">
        <is>
          <t/>
        </is>
      </c>
      <c r="G683" s="15" t="inlineStr">
        <is>
          <t/>
        </is>
      </c>
      <c r="H683" s="16" t="inlineStr">
        <is>
          <t/>
        </is>
      </c>
      <c r="I683" s="17" t="inlineStr">
        <is>
          <t/>
        </is>
      </c>
      <c r="J683" s="18" t="inlineStr">
        <is>
          <t/>
        </is>
      </c>
      <c r="K683" s="19" t="inlineStr">
        <is>
          <t>Privately Held (backing)</t>
        </is>
      </c>
      <c r="L683" s="20" t="inlineStr">
        <is>
          <t>Accelerator/Incubator Backed</t>
        </is>
      </c>
      <c r="M683" s="21" t="inlineStr">
        <is>
          <t/>
        </is>
      </c>
      <c r="N683" s="22" t="inlineStr">
        <is>
          <t>Angel (individual)</t>
        </is>
      </c>
      <c r="O683" s="23" t="inlineStr">
        <is>
          <t/>
        </is>
      </c>
      <c r="P683" s="101">
        <f>HYPERLINK("https://my.pitchbook.com?c=170862-58", "View company online")</f>
      </c>
    </row>
    <row r="684">
      <c r="A684" s="25" t="inlineStr">
        <is>
          <t>103226-32</t>
        </is>
      </c>
      <c r="B684" s="26" t="inlineStr">
        <is>
          <t>Togally</t>
        </is>
      </c>
      <c r="C684" s="27" t="inlineStr">
        <is>
          <t/>
        </is>
      </c>
      <c r="D684" s="28" t="inlineStr">
        <is>
          <t/>
        </is>
      </c>
      <c r="E684" s="29" t="inlineStr">
        <is>
          <t/>
        </is>
      </c>
      <c r="F684" s="30" t="inlineStr">
        <is>
          <t/>
        </is>
      </c>
      <c r="G684" s="31" t="inlineStr">
        <is>
          <t/>
        </is>
      </c>
      <c r="H684" s="32" t="inlineStr">
        <is>
          <t/>
        </is>
      </c>
      <c r="I684" s="33" t="inlineStr">
        <is>
          <t/>
        </is>
      </c>
      <c r="J684" s="34" t="inlineStr">
        <is>
          <t/>
        </is>
      </c>
      <c r="K684" s="35" t="inlineStr">
        <is>
          <t>Privately Held (backing)</t>
        </is>
      </c>
      <c r="L684" s="36" t="inlineStr">
        <is>
          <t>Accelerator/Incubator Backed</t>
        </is>
      </c>
      <c r="M684" s="37" t="n">
        <v>42177.0</v>
      </c>
      <c r="N684" s="38" t="inlineStr">
        <is>
          <t>Accelerator/Incubator</t>
        </is>
      </c>
      <c r="O684" s="39" t="inlineStr">
        <is>
          <t/>
        </is>
      </c>
      <c r="P684" s="102">
        <f>HYPERLINK("https://my.pitchbook.com?c=103226-32", "View company online")</f>
      </c>
    </row>
    <row r="685">
      <c r="A685" s="9" t="inlineStr">
        <is>
          <t>121369-60</t>
        </is>
      </c>
      <c r="B685" s="10" t="inlineStr">
        <is>
          <t>Toga</t>
        </is>
      </c>
      <c r="C685" s="77">
        <f>HYPERLINK("https://my.pitchbook.com?rrp=121369-60&amp;type=c", "This Company's information is not available to download. Need this Company? Request availability")</f>
      </c>
      <c r="D685" s="12" t="inlineStr">
        <is>
          <t/>
        </is>
      </c>
      <c r="E685" s="13" t="inlineStr">
        <is>
          <t/>
        </is>
      </c>
      <c r="F685" s="14" t="inlineStr">
        <is>
          <t/>
        </is>
      </c>
      <c r="G685" s="15" t="inlineStr">
        <is>
          <t/>
        </is>
      </c>
      <c r="H685" s="16" t="inlineStr">
        <is>
          <t/>
        </is>
      </c>
      <c r="I685" s="17" t="inlineStr">
        <is>
          <t/>
        </is>
      </c>
      <c r="J685" s="18" t="inlineStr">
        <is>
          <t/>
        </is>
      </c>
      <c r="K685" s="19" t="inlineStr">
        <is>
          <t/>
        </is>
      </c>
      <c r="L685" s="20" t="inlineStr">
        <is>
          <t/>
        </is>
      </c>
      <c r="M685" s="21" t="inlineStr">
        <is>
          <t/>
        </is>
      </c>
      <c r="N685" s="22" t="inlineStr">
        <is>
          <t/>
        </is>
      </c>
      <c r="O685" s="23" t="inlineStr">
        <is>
          <t/>
        </is>
      </c>
      <c r="P685" s="24" t="inlineStr">
        <is>
          <t/>
        </is>
      </c>
    </row>
    <row r="686">
      <c r="A686" s="25" t="inlineStr">
        <is>
          <t>148713-76</t>
        </is>
      </c>
      <c r="B686" s="26" t="inlineStr">
        <is>
          <t>To The Stars</t>
        </is>
      </c>
      <c r="C686" s="27" t="inlineStr">
        <is>
          <t/>
        </is>
      </c>
      <c r="D686" s="28" t="inlineStr">
        <is>
          <t/>
        </is>
      </c>
      <c r="E686" s="29" t="inlineStr">
        <is>
          <t/>
        </is>
      </c>
      <c r="F686" s="30" t="inlineStr">
        <is>
          <t/>
        </is>
      </c>
      <c r="G686" s="31" t="inlineStr">
        <is>
          <t/>
        </is>
      </c>
      <c r="H686" s="32" t="inlineStr">
        <is>
          <t/>
        </is>
      </c>
      <c r="I686" s="33" t="inlineStr">
        <is>
          <t/>
        </is>
      </c>
      <c r="J686" s="34" t="inlineStr">
        <is>
          <t/>
        </is>
      </c>
      <c r="K686" s="35" t="inlineStr">
        <is>
          <t>Privately Held (backing)</t>
        </is>
      </c>
      <c r="L686" s="36" t="inlineStr">
        <is>
          <t>Angel-Backed</t>
        </is>
      </c>
      <c r="M686" s="37" t="inlineStr">
        <is>
          <t/>
        </is>
      </c>
      <c r="N686" s="38" t="inlineStr">
        <is>
          <t>Angel (individual)</t>
        </is>
      </c>
      <c r="O686" s="39" t="inlineStr">
        <is>
          <t/>
        </is>
      </c>
      <c r="P686" s="102">
        <f>HYPERLINK("https://my.pitchbook.com?c=148713-76", "View company online")</f>
      </c>
    </row>
    <row r="687">
      <c r="A687" s="9" t="inlineStr">
        <is>
          <t>56961-64</t>
        </is>
      </c>
      <c r="B687" s="10" t="inlineStr">
        <is>
          <t>TixTrack</t>
        </is>
      </c>
      <c r="C687" s="11" t="inlineStr">
        <is>
          <t/>
        </is>
      </c>
      <c r="D687" s="12" t="inlineStr">
        <is>
          <t/>
        </is>
      </c>
      <c r="E687" s="13" t="inlineStr">
        <is>
          <t/>
        </is>
      </c>
      <c r="F687" s="14" t="inlineStr">
        <is>
          <t/>
        </is>
      </c>
      <c r="G687" s="15" t="inlineStr">
        <is>
          <t/>
        </is>
      </c>
      <c r="H687" s="16" t="inlineStr">
        <is>
          <t/>
        </is>
      </c>
      <c r="I687" s="17" t="inlineStr">
        <is>
          <t/>
        </is>
      </c>
      <c r="J687" s="18" t="inlineStr">
        <is>
          <t/>
        </is>
      </c>
      <c r="K687" s="19" t="inlineStr">
        <is>
          <t>Privately Held (backing)</t>
        </is>
      </c>
      <c r="L687" s="20" t="inlineStr">
        <is>
          <t>Angel-Backed</t>
        </is>
      </c>
      <c r="M687" s="21" t="n">
        <v>39724.0</v>
      </c>
      <c r="N687" s="22" t="inlineStr">
        <is>
          <t>Angel (individual)</t>
        </is>
      </c>
      <c r="O687" s="23" t="n">
        <v>0.5</v>
      </c>
      <c r="P687" s="101">
        <f>HYPERLINK("https://my.pitchbook.com?c=56961-64", "View company online")</f>
      </c>
    </row>
    <row r="688">
      <c r="A688" s="25" t="inlineStr">
        <is>
          <t>92954-44</t>
        </is>
      </c>
      <c r="B688" s="26" t="inlineStr">
        <is>
          <t>TixAlert</t>
        </is>
      </c>
      <c r="C688" s="27" t="inlineStr">
        <is>
          <t/>
        </is>
      </c>
      <c r="D688" s="28" t="inlineStr">
        <is>
          <t/>
        </is>
      </c>
      <c r="E688" s="29" t="inlineStr">
        <is>
          <t/>
        </is>
      </c>
      <c r="F688" s="30" t="inlineStr">
        <is>
          <t/>
        </is>
      </c>
      <c r="G688" s="31" t="inlineStr">
        <is>
          <t/>
        </is>
      </c>
      <c r="H688" s="32" t="inlineStr">
        <is>
          <t/>
        </is>
      </c>
      <c r="I688" s="33" t="inlineStr">
        <is>
          <t/>
        </is>
      </c>
      <c r="J688" s="34" t="inlineStr">
        <is>
          <t/>
        </is>
      </c>
      <c r="K688" s="35" t="inlineStr">
        <is>
          <t>Privately Held (backing)</t>
        </is>
      </c>
      <c r="L688" s="36" t="inlineStr">
        <is>
          <t>Angel-Backed</t>
        </is>
      </c>
      <c r="M688" s="37" t="n">
        <v>41853.0</v>
      </c>
      <c r="N688" s="38" t="inlineStr">
        <is>
          <t>Angel (individual)</t>
        </is>
      </c>
      <c r="O688" s="39" t="n">
        <v>0.01</v>
      </c>
      <c r="P688" s="102">
        <f>HYPERLINK("https://my.pitchbook.com?c=92954-44", "View company online")</f>
      </c>
    </row>
    <row r="689">
      <c r="A689" s="9" t="inlineStr">
        <is>
          <t>95460-13</t>
        </is>
      </c>
      <c r="B689" s="10" t="inlineStr">
        <is>
          <t>Tivix</t>
        </is>
      </c>
      <c r="C689" s="11" t="inlineStr">
        <is>
          <t/>
        </is>
      </c>
      <c r="D689" s="12" t="inlineStr">
        <is>
          <t/>
        </is>
      </c>
      <c r="E689" s="13" t="inlineStr">
        <is>
          <t/>
        </is>
      </c>
      <c r="F689" s="14" t="inlineStr">
        <is>
          <t/>
        </is>
      </c>
      <c r="G689" s="15" t="inlineStr">
        <is>
          <t/>
        </is>
      </c>
      <c r="H689" s="16" t="inlineStr">
        <is>
          <t/>
        </is>
      </c>
      <c r="I689" s="17" t="inlineStr">
        <is>
          <t/>
        </is>
      </c>
      <c r="J689" s="18" t="inlineStr">
        <is>
          <t/>
        </is>
      </c>
      <c r="K689" s="19" t="inlineStr">
        <is>
          <t>Privately Held (backing)</t>
        </is>
      </c>
      <c r="L689" s="20" t="inlineStr">
        <is>
          <t>Angel-Backed</t>
        </is>
      </c>
      <c r="M689" s="21" t="n">
        <v>40528.0</v>
      </c>
      <c r="N689" s="22" t="inlineStr">
        <is>
          <t>Convertible Debt</t>
        </is>
      </c>
      <c r="O689" s="23" t="n">
        <v>0.24</v>
      </c>
      <c r="P689" s="101">
        <f>HYPERLINK("https://my.pitchbook.com?c=95460-13", "View company online")</f>
      </c>
    </row>
    <row r="690">
      <c r="A690" s="25" t="inlineStr">
        <is>
          <t>180775-45</t>
        </is>
      </c>
      <c r="B690" s="26" t="inlineStr">
        <is>
          <t>Tivic Health Systems</t>
        </is>
      </c>
      <c r="C690" s="78">
        <f>HYPERLINK("https://my.pitchbook.com?rrp=180775-45&amp;type=c", "This Company's information is not available to download. Need this Company? Request availability")</f>
      </c>
      <c r="D690" s="28" t="inlineStr">
        <is>
          <t/>
        </is>
      </c>
      <c r="E690" s="29" t="inlineStr">
        <is>
          <t/>
        </is>
      </c>
      <c r="F690" s="30" t="inlineStr">
        <is>
          <t/>
        </is>
      </c>
      <c r="G690" s="31" t="inlineStr">
        <is>
          <t/>
        </is>
      </c>
      <c r="H690" s="32" t="inlineStr">
        <is>
          <t/>
        </is>
      </c>
      <c r="I690" s="33" t="inlineStr">
        <is>
          <t/>
        </is>
      </c>
      <c r="J690" s="34" t="inlineStr">
        <is>
          <t/>
        </is>
      </c>
      <c r="K690" s="35" t="inlineStr">
        <is>
          <t/>
        </is>
      </c>
      <c r="L690" s="36" t="inlineStr">
        <is>
          <t/>
        </is>
      </c>
      <c r="M690" s="37" t="inlineStr">
        <is>
          <t/>
        </is>
      </c>
      <c r="N690" s="38" t="inlineStr">
        <is>
          <t/>
        </is>
      </c>
      <c r="O690" s="39" t="inlineStr">
        <is>
          <t/>
        </is>
      </c>
      <c r="P690" s="40" t="inlineStr">
        <is>
          <t/>
        </is>
      </c>
    </row>
    <row r="691">
      <c r="A691" s="9" t="inlineStr">
        <is>
          <t>131357-98</t>
        </is>
      </c>
      <c r="B691" s="10" t="inlineStr">
        <is>
          <t>Titanium Falcon</t>
        </is>
      </c>
      <c r="C691" s="11" t="inlineStr">
        <is>
          <t/>
        </is>
      </c>
      <c r="D691" s="12" t="inlineStr">
        <is>
          <t/>
        </is>
      </c>
      <c r="E691" s="13" t="inlineStr">
        <is>
          <t/>
        </is>
      </c>
      <c r="F691" s="14" t="inlineStr">
        <is>
          <t/>
        </is>
      </c>
      <c r="G691" s="15" t="inlineStr">
        <is>
          <t/>
        </is>
      </c>
      <c r="H691" s="16" t="inlineStr">
        <is>
          <t/>
        </is>
      </c>
      <c r="I691" s="17" t="inlineStr">
        <is>
          <t/>
        </is>
      </c>
      <c r="J691" s="18" t="inlineStr">
        <is>
          <t/>
        </is>
      </c>
      <c r="K691" s="19" t="inlineStr">
        <is>
          <t>Privately Held (backing)</t>
        </is>
      </c>
      <c r="L691" s="20" t="inlineStr">
        <is>
          <t>Angel-Backed</t>
        </is>
      </c>
      <c r="M691" s="21" t="n">
        <v>42488.0</v>
      </c>
      <c r="N691" s="22" t="inlineStr">
        <is>
          <t>Angel (individual)</t>
        </is>
      </c>
      <c r="O691" s="23" t="n">
        <v>0.05</v>
      </c>
      <c r="P691" s="101">
        <f>HYPERLINK("https://my.pitchbook.com?c=131357-98", "View company online")</f>
      </c>
    </row>
    <row r="692">
      <c r="A692" s="25" t="inlineStr">
        <is>
          <t>99213-40</t>
        </is>
      </c>
      <c r="B692" s="26" t="inlineStr">
        <is>
          <t>Titan Oil Recovery</t>
        </is>
      </c>
      <c r="C692" s="27" t="inlineStr">
        <is>
          <t/>
        </is>
      </c>
      <c r="D692" s="28" t="inlineStr">
        <is>
          <t/>
        </is>
      </c>
      <c r="E692" s="29" t="inlineStr">
        <is>
          <t/>
        </is>
      </c>
      <c r="F692" s="30" t="inlineStr">
        <is>
          <t/>
        </is>
      </c>
      <c r="G692" s="31" t="inlineStr">
        <is>
          <t/>
        </is>
      </c>
      <c r="H692" s="32" t="inlineStr">
        <is>
          <t/>
        </is>
      </c>
      <c r="I692" s="33" t="inlineStr">
        <is>
          <t/>
        </is>
      </c>
      <c r="J692" s="34" t="inlineStr">
        <is>
          <t/>
        </is>
      </c>
      <c r="K692" s="35" t="inlineStr">
        <is>
          <t>Privately Held (backing)</t>
        </is>
      </c>
      <c r="L692" s="36" t="inlineStr">
        <is>
          <t>Accelerator/Incubator Backed</t>
        </is>
      </c>
      <c r="M692" s="37" t="inlineStr">
        <is>
          <t/>
        </is>
      </c>
      <c r="N692" s="38" t="inlineStr">
        <is>
          <t>Accelerator/Incubator</t>
        </is>
      </c>
      <c r="O692" s="39" t="inlineStr">
        <is>
          <t/>
        </is>
      </c>
      <c r="P692" s="102">
        <f>HYPERLINK("https://my.pitchbook.com?c=99213-40", "View company online")</f>
      </c>
    </row>
    <row r="693">
      <c r="A693" s="9" t="inlineStr">
        <is>
          <t>166262-86</t>
        </is>
      </c>
      <c r="B693" s="10" t="inlineStr">
        <is>
          <t>Tipsy Elves</t>
        </is>
      </c>
      <c r="C693" s="11" t="inlineStr">
        <is>
          <t/>
        </is>
      </c>
      <c r="D693" s="12" t="inlineStr">
        <is>
          <t/>
        </is>
      </c>
      <c r="E693" s="13" t="inlineStr">
        <is>
          <t>FY 2014</t>
        </is>
      </c>
      <c r="F693" s="14" t="n">
        <v>6.49</v>
      </c>
      <c r="G693" s="15" t="inlineStr">
        <is>
          <t/>
        </is>
      </c>
      <c r="H693" s="16" t="inlineStr">
        <is>
          <t/>
        </is>
      </c>
      <c r="I693" s="17" t="inlineStr">
        <is>
          <t/>
        </is>
      </c>
      <c r="J693" s="18" t="inlineStr">
        <is>
          <t/>
        </is>
      </c>
      <c r="K693" s="19" t="inlineStr">
        <is>
          <t>Privately Held (backing)</t>
        </is>
      </c>
      <c r="L693" s="20" t="inlineStr">
        <is>
          <t>Angel-Backed</t>
        </is>
      </c>
      <c r="M693" s="21" t="n">
        <v>41609.0</v>
      </c>
      <c r="N693" s="22" t="inlineStr">
        <is>
          <t>Angel (individual)</t>
        </is>
      </c>
      <c r="O693" s="23" t="n">
        <v>0.1</v>
      </c>
      <c r="P693" s="101">
        <f>HYPERLINK("https://my.pitchbook.com?c=166262-86", "View company online")</f>
      </c>
    </row>
    <row r="694">
      <c r="A694" s="25" t="inlineStr">
        <is>
          <t>92937-52</t>
        </is>
      </c>
      <c r="B694" s="26" t="inlineStr">
        <is>
          <t>Tip Network</t>
        </is>
      </c>
      <c r="C694" s="27" t="inlineStr">
        <is>
          <t/>
        </is>
      </c>
      <c r="D694" s="28" t="inlineStr">
        <is>
          <t/>
        </is>
      </c>
      <c r="E694" s="29" t="inlineStr">
        <is>
          <t/>
        </is>
      </c>
      <c r="F694" s="30" t="inlineStr">
        <is>
          <t/>
        </is>
      </c>
      <c r="G694" s="31" t="inlineStr">
        <is>
          <t/>
        </is>
      </c>
      <c r="H694" s="32" t="inlineStr">
        <is>
          <t/>
        </is>
      </c>
      <c r="I694" s="33" t="inlineStr">
        <is>
          <t/>
        </is>
      </c>
      <c r="J694" s="34" t="inlineStr">
        <is>
          <t/>
        </is>
      </c>
      <c r="K694" s="35" t="inlineStr">
        <is>
          <t>Privately Held (backing)</t>
        </is>
      </c>
      <c r="L694" s="36" t="inlineStr">
        <is>
          <t>Accelerator/Incubator Backed</t>
        </is>
      </c>
      <c r="M694" s="37" t="n">
        <v>42057.0</v>
      </c>
      <c r="N694" s="38" t="inlineStr">
        <is>
          <t>Angel (individual)</t>
        </is>
      </c>
      <c r="O694" s="39" t="inlineStr">
        <is>
          <t/>
        </is>
      </c>
      <c r="P694" s="102">
        <f>HYPERLINK("https://my.pitchbook.com?c=92937-52", "View company online")</f>
      </c>
    </row>
    <row r="695">
      <c r="A695" s="9" t="inlineStr">
        <is>
          <t>84779-47</t>
        </is>
      </c>
      <c r="B695" s="10" t="inlineStr">
        <is>
          <t>Tinyview</t>
        </is>
      </c>
      <c r="C695" s="11" t="inlineStr">
        <is>
          <t/>
        </is>
      </c>
      <c r="D695" s="12" t="inlineStr">
        <is>
          <t/>
        </is>
      </c>
      <c r="E695" s="13" t="inlineStr">
        <is>
          <t/>
        </is>
      </c>
      <c r="F695" s="14" t="inlineStr">
        <is>
          <t/>
        </is>
      </c>
      <c r="G695" s="15" t="inlineStr">
        <is>
          <t/>
        </is>
      </c>
      <c r="H695" s="16" t="inlineStr">
        <is>
          <t/>
        </is>
      </c>
      <c r="I695" s="17" t="inlineStr">
        <is>
          <t/>
        </is>
      </c>
      <c r="J695" s="18" t="inlineStr">
        <is>
          <t/>
        </is>
      </c>
      <c r="K695" s="19" t="inlineStr">
        <is>
          <t>Privately Held (backing)</t>
        </is>
      </c>
      <c r="L695" s="20" t="inlineStr">
        <is>
          <t>Accelerator/Incubator Backed</t>
        </is>
      </c>
      <c r="M695" s="21" t="n">
        <v>41527.0</v>
      </c>
      <c r="N695" s="22" t="inlineStr">
        <is>
          <t>Seed Round</t>
        </is>
      </c>
      <c r="O695" s="23" t="n">
        <v>0.78</v>
      </c>
      <c r="P695" s="101">
        <f>HYPERLINK("https://my.pitchbook.com?c=84779-47", "View company online")</f>
      </c>
    </row>
    <row r="696">
      <c r="A696" s="25" t="inlineStr">
        <is>
          <t>115406-20</t>
        </is>
      </c>
      <c r="B696" s="26" t="inlineStr">
        <is>
          <t>TinyKicks</t>
        </is>
      </c>
      <c r="C696" s="27" t="inlineStr">
        <is>
          <t/>
        </is>
      </c>
      <c r="D696" s="28" t="inlineStr">
        <is>
          <t/>
        </is>
      </c>
      <c r="E696" s="29" t="inlineStr">
        <is>
          <t/>
        </is>
      </c>
      <c r="F696" s="30" t="inlineStr">
        <is>
          <t/>
        </is>
      </c>
      <c r="G696" s="31" t="inlineStr">
        <is>
          <t/>
        </is>
      </c>
      <c r="H696" s="32" t="inlineStr">
        <is>
          <t/>
        </is>
      </c>
      <c r="I696" s="33" t="inlineStr">
        <is>
          <t/>
        </is>
      </c>
      <c r="J696" s="34" t="inlineStr">
        <is>
          <t/>
        </is>
      </c>
      <c r="K696" s="35" t="inlineStr">
        <is>
          <t>Privately Held (backing)</t>
        </is>
      </c>
      <c r="L696" s="36" t="inlineStr">
        <is>
          <t>Angel-Backed</t>
        </is>
      </c>
      <c r="M696" s="37" t="n">
        <v>42732.0</v>
      </c>
      <c r="N696" s="38" t="inlineStr">
        <is>
          <t>Angel (individual)</t>
        </is>
      </c>
      <c r="O696" s="39" t="n">
        <v>0.59</v>
      </c>
      <c r="P696" s="102">
        <f>HYPERLINK("https://my.pitchbook.com?c=115406-20", "View company online")</f>
      </c>
    </row>
    <row r="697">
      <c r="A697" s="9" t="inlineStr">
        <is>
          <t>102713-77</t>
        </is>
      </c>
      <c r="B697" s="10" t="inlineStr">
        <is>
          <t>Tiny Farms</t>
        </is>
      </c>
      <c r="C697" s="11" t="inlineStr">
        <is>
          <t/>
        </is>
      </c>
      <c r="D697" s="12" t="inlineStr">
        <is>
          <t/>
        </is>
      </c>
      <c r="E697" s="13" t="inlineStr">
        <is>
          <t/>
        </is>
      </c>
      <c r="F697" s="14" t="inlineStr">
        <is>
          <t/>
        </is>
      </c>
      <c r="G697" s="15" t="inlineStr">
        <is>
          <t/>
        </is>
      </c>
      <c r="H697" s="16" t="inlineStr">
        <is>
          <t/>
        </is>
      </c>
      <c r="I697" s="17" t="inlineStr">
        <is>
          <t/>
        </is>
      </c>
      <c r="J697" s="18" t="inlineStr">
        <is>
          <t/>
        </is>
      </c>
      <c r="K697" s="19" t="inlineStr">
        <is>
          <t>Privately Held (backing)</t>
        </is>
      </c>
      <c r="L697" s="20" t="inlineStr">
        <is>
          <t>Angel-Backed</t>
        </is>
      </c>
      <c r="M697" s="21" t="inlineStr">
        <is>
          <t/>
        </is>
      </c>
      <c r="N697" s="22" t="inlineStr">
        <is>
          <t>Angel (individual)</t>
        </is>
      </c>
      <c r="O697" s="23" t="inlineStr">
        <is>
          <t/>
        </is>
      </c>
      <c r="P697" s="101">
        <f>HYPERLINK("https://my.pitchbook.com?c=102713-77", "View company online")</f>
      </c>
    </row>
    <row r="698">
      <c r="A698" s="25" t="inlineStr">
        <is>
          <t>126491-32</t>
        </is>
      </c>
      <c r="B698" s="26" t="inlineStr">
        <is>
          <t>Tinoro</t>
        </is>
      </c>
      <c r="C698" s="27" t="inlineStr">
        <is>
          <t/>
        </is>
      </c>
      <c r="D698" s="28" t="inlineStr">
        <is>
          <t/>
        </is>
      </c>
      <c r="E698" s="29" t="inlineStr">
        <is>
          <t/>
        </is>
      </c>
      <c r="F698" s="30" t="inlineStr">
        <is>
          <t/>
        </is>
      </c>
      <c r="G698" s="31" t="inlineStr">
        <is>
          <t/>
        </is>
      </c>
      <c r="H698" s="32" t="inlineStr">
        <is>
          <t/>
        </is>
      </c>
      <c r="I698" s="33" t="inlineStr">
        <is>
          <t/>
        </is>
      </c>
      <c r="J698" s="34" t="inlineStr">
        <is>
          <t/>
        </is>
      </c>
      <c r="K698" s="35" t="inlineStr">
        <is>
          <t>Privately Held (backing)</t>
        </is>
      </c>
      <c r="L698" s="36" t="inlineStr">
        <is>
          <t>Accelerator/Incubator Backed</t>
        </is>
      </c>
      <c r="M698" s="37" t="n">
        <v>42300.0</v>
      </c>
      <c r="N698" s="38" t="inlineStr">
        <is>
          <t>Accelerator/Incubator</t>
        </is>
      </c>
      <c r="O698" s="39" t="inlineStr">
        <is>
          <t/>
        </is>
      </c>
      <c r="P698" s="102">
        <f>HYPERLINK("https://my.pitchbook.com?c=126491-32", "View company online")</f>
      </c>
    </row>
    <row r="699">
      <c r="A699" s="9" t="inlineStr">
        <is>
          <t>171378-01</t>
        </is>
      </c>
      <c r="B699" s="10" t="inlineStr">
        <is>
          <t>Tino IQ</t>
        </is>
      </c>
      <c r="C699" s="77">
        <f>HYPERLINK("https://my.pitchbook.com?rrp=171378-01&amp;type=c", "This Company's information is not available to download. Need this Company? Request availability")</f>
      </c>
      <c r="D699" s="12" t="inlineStr">
        <is>
          <t/>
        </is>
      </c>
      <c r="E699" s="13" t="inlineStr">
        <is>
          <t/>
        </is>
      </c>
      <c r="F699" s="14" t="inlineStr">
        <is>
          <t/>
        </is>
      </c>
      <c r="G699" s="15" t="inlineStr">
        <is>
          <t/>
        </is>
      </c>
      <c r="H699" s="16" t="inlineStr">
        <is>
          <t/>
        </is>
      </c>
      <c r="I699" s="17" t="inlineStr">
        <is>
          <t/>
        </is>
      </c>
      <c r="J699" s="18" t="inlineStr">
        <is>
          <t/>
        </is>
      </c>
      <c r="K699" s="19" t="inlineStr">
        <is>
          <t/>
        </is>
      </c>
      <c r="L699" s="20" t="inlineStr">
        <is>
          <t/>
        </is>
      </c>
      <c r="M699" s="21" t="inlineStr">
        <is>
          <t/>
        </is>
      </c>
      <c r="N699" s="22" t="inlineStr">
        <is>
          <t/>
        </is>
      </c>
      <c r="O699" s="23" t="inlineStr">
        <is>
          <t/>
        </is>
      </c>
      <c r="P699" s="24" t="inlineStr">
        <is>
          <t/>
        </is>
      </c>
    </row>
    <row r="700">
      <c r="A700" s="25" t="inlineStr">
        <is>
          <t>118806-04</t>
        </is>
      </c>
      <c r="B700" s="26" t="inlineStr">
        <is>
          <t>Tinkering Labs</t>
        </is>
      </c>
      <c r="C700" s="27" t="inlineStr">
        <is>
          <t/>
        </is>
      </c>
      <c r="D700" s="28" t="inlineStr">
        <is>
          <t/>
        </is>
      </c>
      <c r="E700" s="29" t="inlineStr">
        <is>
          <t/>
        </is>
      </c>
      <c r="F700" s="30" t="inlineStr">
        <is>
          <t/>
        </is>
      </c>
      <c r="G700" s="31" t="inlineStr">
        <is>
          <t/>
        </is>
      </c>
      <c r="H700" s="32" t="inlineStr">
        <is>
          <t/>
        </is>
      </c>
      <c r="I700" s="33" t="inlineStr">
        <is>
          <t/>
        </is>
      </c>
      <c r="J700" s="34" t="inlineStr">
        <is>
          <t/>
        </is>
      </c>
      <c r="K700" s="35" t="inlineStr">
        <is>
          <t>Privately Held (backing)</t>
        </is>
      </c>
      <c r="L700" s="36" t="inlineStr">
        <is>
          <t>Accelerator/Incubator Backed</t>
        </is>
      </c>
      <c r="M700" s="37" t="n">
        <v>42155.0</v>
      </c>
      <c r="N700" s="38" t="inlineStr">
        <is>
          <t>Product Crowdfunding</t>
        </is>
      </c>
      <c r="O700" s="39" t="n">
        <v>0.06</v>
      </c>
      <c r="P700" s="102">
        <f>HYPERLINK("https://my.pitchbook.com?c=118806-04", "View company online")</f>
      </c>
    </row>
    <row r="701">
      <c r="A701" s="9" t="inlineStr">
        <is>
          <t>98844-31</t>
        </is>
      </c>
      <c r="B701" s="10" t="inlineStr">
        <is>
          <t>Tinj</t>
        </is>
      </c>
      <c r="C701" s="11" t="inlineStr">
        <is>
          <t/>
        </is>
      </c>
      <c r="D701" s="12" t="inlineStr">
        <is>
          <t/>
        </is>
      </c>
      <c r="E701" s="13" t="inlineStr">
        <is>
          <t/>
        </is>
      </c>
      <c r="F701" s="14" t="inlineStr">
        <is>
          <t/>
        </is>
      </c>
      <c r="G701" s="15" t="inlineStr">
        <is>
          <t/>
        </is>
      </c>
      <c r="H701" s="16" t="inlineStr">
        <is>
          <t/>
        </is>
      </c>
      <c r="I701" s="17" t="inlineStr">
        <is>
          <t/>
        </is>
      </c>
      <c r="J701" s="18" t="inlineStr">
        <is>
          <t/>
        </is>
      </c>
      <c r="K701" s="19" t="inlineStr">
        <is>
          <t>Privately Held (backing)</t>
        </is>
      </c>
      <c r="L701" s="20" t="inlineStr">
        <is>
          <t>Accelerator/Incubator Backed</t>
        </is>
      </c>
      <c r="M701" s="21" t="n">
        <v>41859.0</v>
      </c>
      <c r="N701" s="22" t="inlineStr">
        <is>
          <t>Accelerator/Incubator</t>
        </is>
      </c>
      <c r="O701" s="23" t="inlineStr">
        <is>
          <t/>
        </is>
      </c>
      <c r="P701" s="101">
        <f>HYPERLINK("https://my.pitchbook.com?c=98844-31", "View company online")</f>
      </c>
    </row>
    <row r="702">
      <c r="A702" s="25" t="inlineStr">
        <is>
          <t>180664-12</t>
        </is>
      </c>
      <c r="B702" s="26" t="inlineStr">
        <is>
          <t>Tine Health</t>
        </is>
      </c>
      <c r="C702" s="78">
        <f>HYPERLINK("https://my.pitchbook.com?rrp=180664-12&amp;type=c", "This Company's information is not available to download. Need this Company? Request availability")</f>
      </c>
      <c r="D702" s="28" t="inlineStr">
        <is>
          <t/>
        </is>
      </c>
      <c r="E702" s="29" t="inlineStr">
        <is>
          <t/>
        </is>
      </c>
      <c r="F702" s="30" t="inlineStr">
        <is>
          <t/>
        </is>
      </c>
      <c r="G702" s="31" t="inlineStr">
        <is>
          <t/>
        </is>
      </c>
      <c r="H702" s="32" t="inlineStr">
        <is>
          <t/>
        </is>
      </c>
      <c r="I702" s="33" t="inlineStr">
        <is>
          <t/>
        </is>
      </c>
      <c r="J702" s="34" t="inlineStr">
        <is>
          <t/>
        </is>
      </c>
      <c r="K702" s="35" t="inlineStr">
        <is>
          <t/>
        </is>
      </c>
      <c r="L702" s="36" t="inlineStr">
        <is>
          <t/>
        </is>
      </c>
      <c r="M702" s="37" t="inlineStr">
        <is>
          <t/>
        </is>
      </c>
      <c r="N702" s="38" t="inlineStr">
        <is>
          <t/>
        </is>
      </c>
      <c r="O702" s="39" t="inlineStr">
        <is>
          <t/>
        </is>
      </c>
      <c r="P702" s="40" t="inlineStr">
        <is>
          <t/>
        </is>
      </c>
    </row>
    <row r="703">
      <c r="A703" s="9" t="inlineStr">
        <is>
          <t>113468-32</t>
        </is>
      </c>
      <c r="B703" s="10" t="inlineStr">
        <is>
          <t>TimePlace</t>
        </is>
      </c>
      <c r="C703" s="77">
        <f>HYPERLINK("https://my.pitchbook.com?rrp=113468-32&amp;type=c", "This Company's information is not available to download. Need this Company? Request availability")</f>
      </c>
      <c r="D703" s="12" t="inlineStr">
        <is>
          <t/>
        </is>
      </c>
      <c r="E703" s="13" t="inlineStr">
        <is>
          <t/>
        </is>
      </c>
      <c r="F703" s="14" t="inlineStr">
        <is>
          <t/>
        </is>
      </c>
      <c r="G703" s="15" t="inlineStr">
        <is>
          <t/>
        </is>
      </c>
      <c r="H703" s="16" t="inlineStr">
        <is>
          <t/>
        </is>
      </c>
      <c r="I703" s="17" t="inlineStr">
        <is>
          <t/>
        </is>
      </c>
      <c r="J703" s="18" t="inlineStr">
        <is>
          <t/>
        </is>
      </c>
      <c r="K703" s="19" t="inlineStr">
        <is>
          <t/>
        </is>
      </c>
      <c r="L703" s="20" t="inlineStr">
        <is>
          <t/>
        </is>
      </c>
      <c r="M703" s="21" t="inlineStr">
        <is>
          <t/>
        </is>
      </c>
      <c r="N703" s="22" t="inlineStr">
        <is>
          <t/>
        </is>
      </c>
      <c r="O703" s="23" t="inlineStr">
        <is>
          <t/>
        </is>
      </c>
      <c r="P703" s="24" t="inlineStr">
        <is>
          <t/>
        </is>
      </c>
    </row>
    <row r="704">
      <c r="A704" s="25" t="inlineStr">
        <is>
          <t>118326-70</t>
        </is>
      </c>
      <c r="B704" s="26" t="inlineStr">
        <is>
          <t>Timejoy</t>
        </is>
      </c>
      <c r="C704" s="27" t="inlineStr">
        <is>
          <t/>
        </is>
      </c>
      <c r="D704" s="28" t="inlineStr">
        <is>
          <t/>
        </is>
      </c>
      <c r="E704" s="29" t="inlineStr">
        <is>
          <t/>
        </is>
      </c>
      <c r="F704" s="30" t="inlineStr">
        <is>
          <t/>
        </is>
      </c>
      <c r="G704" s="31" t="inlineStr">
        <is>
          <t/>
        </is>
      </c>
      <c r="H704" s="32" t="inlineStr">
        <is>
          <t/>
        </is>
      </c>
      <c r="I704" s="33" t="inlineStr">
        <is>
          <t/>
        </is>
      </c>
      <c r="J704" s="34" t="inlineStr">
        <is>
          <t/>
        </is>
      </c>
      <c r="K704" s="35" t="inlineStr">
        <is>
          <t>Privately Held (backing)</t>
        </is>
      </c>
      <c r="L704" s="36" t="inlineStr">
        <is>
          <t>Accelerator/Incubator Backed</t>
        </is>
      </c>
      <c r="M704" s="37" t="n">
        <v>42182.0</v>
      </c>
      <c r="N704" s="38" t="inlineStr">
        <is>
          <t>Accelerator/Incubator</t>
        </is>
      </c>
      <c r="O704" s="39" t="n">
        <v>0.04</v>
      </c>
      <c r="P704" s="102">
        <f>HYPERLINK("https://my.pitchbook.com?c=118326-70", "View company online")</f>
      </c>
    </row>
    <row r="705">
      <c r="A705" s="9" t="inlineStr">
        <is>
          <t>175627-90</t>
        </is>
      </c>
      <c r="B705" s="10" t="inlineStr">
        <is>
          <t>Tiltsta</t>
        </is>
      </c>
      <c r="C705" s="77">
        <f>HYPERLINK("https://my.pitchbook.com?rrp=175627-90&amp;type=c", "This Company's information is not available to download. Need this Company? Request availability")</f>
      </c>
      <c r="D705" s="12" t="inlineStr">
        <is>
          <t/>
        </is>
      </c>
      <c r="E705" s="13" t="inlineStr">
        <is>
          <t/>
        </is>
      </c>
      <c r="F705" s="14" t="inlineStr">
        <is>
          <t/>
        </is>
      </c>
      <c r="G705" s="15" t="inlineStr">
        <is>
          <t/>
        </is>
      </c>
      <c r="H705" s="16" t="inlineStr">
        <is>
          <t/>
        </is>
      </c>
      <c r="I705" s="17" t="inlineStr">
        <is>
          <t/>
        </is>
      </c>
      <c r="J705" s="18" t="inlineStr">
        <is>
          <t/>
        </is>
      </c>
      <c r="K705" s="19" t="inlineStr">
        <is>
          <t/>
        </is>
      </c>
      <c r="L705" s="20" t="inlineStr">
        <is>
          <t/>
        </is>
      </c>
      <c r="M705" s="21" t="inlineStr">
        <is>
          <t/>
        </is>
      </c>
      <c r="N705" s="22" t="inlineStr">
        <is>
          <t/>
        </is>
      </c>
      <c r="O705" s="23" t="inlineStr">
        <is>
          <t/>
        </is>
      </c>
      <c r="P705" s="24" t="inlineStr">
        <is>
          <t/>
        </is>
      </c>
    </row>
    <row r="706">
      <c r="A706" s="25" t="inlineStr">
        <is>
          <t>122763-43</t>
        </is>
      </c>
      <c r="B706" s="26" t="inlineStr">
        <is>
          <t>Till Mobile</t>
        </is>
      </c>
      <c r="C706" s="27" t="inlineStr">
        <is>
          <t/>
        </is>
      </c>
      <c r="D706" s="28" t="inlineStr">
        <is>
          <t/>
        </is>
      </c>
      <c r="E706" s="29" t="inlineStr">
        <is>
          <t/>
        </is>
      </c>
      <c r="F706" s="30" t="inlineStr">
        <is>
          <t/>
        </is>
      </c>
      <c r="G706" s="31" t="inlineStr">
        <is>
          <t/>
        </is>
      </c>
      <c r="H706" s="32" t="inlineStr">
        <is>
          <t/>
        </is>
      </c>
      <c r="I706" s="33" t="inlineStr">
        <is>
          <t/>
        </is>
      </c>
      <c r="J706" s="34" t="inlineStr">
        <is>
          <t/>
        </is>
      </c>
      <c r="K706" s="35" t="inlineStr">
        <is>
          <t>Privately Held (backing)</t>
        </is>
      </c>
      <c r="L706" s="36" t="inlineStr">
        <is>
          <t>Accelerator/Incubator Backed</t>
        </is>
      </c>
      <c r="M706" s="37" t="n">
        <v>42767.0</v>
      </c>
      <c r="N706" s="38" t="inlineStr">
        <is>
          <t>Accelerator/Incubator</t>
        </is>
      </c>
      <c r="O706" s="39" t="n">
        <v>0.1</v>
      </c>
      <c r="P706" s="102">
        <f>HYPERLINK("https://my.pitchbook.com?c=122763-43", "View company online")</f>
      </c>
    </row>
    <row r="707">
      <c r="A707" s="9" t="inlineStr">
        <is>
          <t>95591-71</t>
        </is>
      </c>
      <c r="B707" s="10" t="inlineStr">
        <is>
          <t>Tilana Systems</t>
        </is>
      </c>
      <c r="C707" s="11" t="inlineStr">
        <is>
          <t/>
        </is>
      </c>
      <c r="D707" s="12" t="inlineStr">
        <is>
          <t/>
        </is>
      </c>
      <c r="E707" s="13" t="inlineStr">
        <is>
          <t/>
        </is>
      </c>
      <c r="F707" s="14" t="inlineStr">
        <is>
          <t/>
        </is>
      </c>
      <c r="G707" s="15" t="inlineStr">
        <is>
          <t/>
        </is>
      </c>
      <c r="H707" s="16" t="inlineStr">
        <is>
          <t/>
        </is>
      </c>
      <c r="I707" s="17" t="inlineStr">
        <is>
          <t/>
        </is>
      </c>
      <c r="J707" s="18" t="inlineStr">
        <is>
          <t/>
        </is>
      </c>
      <c r="K707" s="19" t="inlineStr">
        <is>
          <t>Privately Held (backing)</t>
        </is>
      </c>
      <c r="L707" s="20" t="inlineStr">
        <is>
          <t>Angel-Backed</t>
        </is>
      </c>
      <c r="M707" s="21" t="n">
        <v>40406.0</v>
      </c>
      <c r="N707" s="22" t="inlineStr">
        <is>
          <t>Angel (individual)</t>
        </is>
      </c>
      <c r="O707" s="23" t="n">
        <v>0.12</v>
      </c>
      <c r="P707" s="101">
        <f>HYPERLINK("https://my.pitchbook.com?c=95591-71", "View company online")</f>
      </c>
    </row>
    <row r="708">
      <c r="A708" s="25" t="inlineStr">
        <is>
          <t>110269-00</t>
        </is>
      </c>
      <c r="B708" s="26" t="inlineStr">
        <is>
          <t>Tiger Paw Beverages</t>
        </is>
      </c>
      <c r="C708" s="27" t="inlineStr">
        <is>
          <t/>
        </is>
      </c>
      <c r="D708" s="28" t="inlineStr">
        <is>
          <t/>
        </is>
      </c>
      <c r="E708" s="29" t="inlineStr">
        <is>
          <t/>
        </is>
      </c>
      <c r="F708" s="30" t="inlineStr">
        <is>
          <t/>
        </is>
      </c>
      <c r="G708" s="31" t="inlineStr">
        <is>
          <t/>
        </is>
      </c>
      <c r="H708" s="32" t="inlineStr">
        <is>
          <t/>
        </is>
      </c>
      <c r="I708" s="33" t="inlineStr">
        <is>
          <t/>
        </is>
      </c>
      <c r="J708" s="34" t="inlineStr">
        <is>
          <t/>
        </is>
      </c>
      <c r="K708" s="35" t="inlineStr">
        <is>
          <t>Privately Held (backing)</t>
        </is>
      </c>
      <c r="L708" s="36" t="inlineStr">
        <is>
          <t>Angel-Backed</t>
        </is>
      </c>
      <c r="M708" s="37" t="n">
        <v>42081.0</v>
      </c>
      <c r="N708" s="38" t="inlineStr">
        <is>
          <t>Angel (individual)</t>
        </is>
      </c>
      <c r="O708" s="39" t="n">
        <v>0.2</v>
      </c>
      <c r="P708" s="102">
        <f>HYPERLINK("https://my.pitchbook.com?c=110269-00", "View company online")</f>
      </c>
    </row>
    <row r="709">
      <c r="A709" s="9" t="inlineStr">
        <is>
          <t>130532-50</t>
        </is>
      </c>
      <c r="B709" s="10" t="inlineStr">
        <is>
          <t>TidyMktr</t>
        </is>
      </c>
      <c r="C709" s="11" t="inlineStr">
        <is>
          <t/>
        </is>
      </c>
      <c r="D709" s="12" t="inlineStr">
        <is>
          <t/>
        </is>
      </c>
      <c r="E709" s="13" t="inlineStr">
        <is>
          <t/>
        </is>
      </c>
      <c r="F709" s="14" t="inlineStr">
        <is>
          <t/>
        </is>
      </c>
      <c r="G709" s="15" t="inlineStr">
        <is>
          <t/>
        </is>
      </c>
      <c r="H709" s="16" t="inlineStr">
        <is>
          <t/>
        </is>
      </c>
      <c r="I709" s="17" t="inlineStr">
        <is>
          <t/>
        </is>
      </c>
      <c r="J709" s="18" t="inlineStr">
        <is>
          <t/>
        </is>
      </c>
      <c r="K709" s="19" t="inlineStr">
        <is>
          <t>Privately Held (backing)</t>
        </is>
      </c>
      <c r="L709" s="20" t="inlineStr">
        <is>
          <t>Accelerator/Incubator Backed</t>
        </is>
      </c>
      <c r="M709" s="21" t="n">
        <v>42309.0</v>
      </c>
      <c r="N709" s="22" t="inlineStr">
        <is>
          <t>Accelerator/Incubator</t>
        </is>
      </c>
      <c r="O709" s="23" t="n">
        <v>0.25</v>
      </c>
      <c r="P709" s="101">
        <f>HYPERLINK("https://my.pitchbook.com?c=130532-50", "View company online")</f>
      </c>
    </row>
    <row r="710">
      <c r="A710" s="25" t="inlineStr">
        <is>
          <t>118140-40</t>
        </is>
      </c>
      <c r="B710" s="26" t="inlineStr">
        <is>
          <t>Ticktate</t>
        </is>
      </c>
      <c r="C710" s="27" t="inlineStr">
        <is>
          <t/>
        </is>
      </c>
      <c r="D710" s="28" t="inlineStr">
        <is>
          <t/>
        </is>
      </c>
      <c r="E710" s="29" t="inlineStr">
        <is>
          <t/>
        </is>
      </c>
      <c r="F710" s="30" t="inlineStr">
        <is>
          <t/>
        </is>
      </c>
      <c r="G710" s="31" t="inlineStr">
        <is>
          <t/>
        </is>
      </c>
      <c r="H710" s="32" t="inlineStr">
        <is>
          <t/>
        </is>
      </c>
      <c r="I710" s="33" t="inlineStr">
        <is>
          <t/>
        </is>
      </c>
      <c r="J710" s="34" t="inlineStr">
        <is>
          <t/>
        </is>
      </c>
      <c r="K710" s="35" t="inlineStr">
        <is>
          <t>Privately Held (backing)</t>
        </is>
      </c>
      <c r="L710" s="36" t="inlineStr">
        <is>
          <t>Accelerator/Incubator Backed</t>
        </is>
      </c>
      <c r="M710" s="37" t="n">
        <v>42396.0</v>
      </c>
      <c r="N710" s="38" t="inlineStr">
        <is>
          <t>Accelerator/Incubator</t>
        </is>
      </c>
      <c r="O710" s="39" t="n">
        <v>0.13</v>
      </c>
      <c r="P710" s="102">
        <f>HYPERLINK("https://my.pitchbook.com?c=118140-40", "View company online")</f>
      </c>
    </row>
    <row r="711">
      <c r="A711" s="9" t="inlineStr">
        <is>
          <t>114835-96</t>
        </is>
      </c>
      <c r="B711" s="10" t="inlineStr">
        <is>
          <t>Tickle Labs</t>
        </is>
      </c>
      <c r="C711" s="11" t="inlineStr">
        <is>
          <t/>
        </is>
      </c>
      <c r="D711" s="12" t="inlineStr">
        <is>
          <t/>
        </is>
      </c>
      <c r="E711" s="13" t="inlineStr">
        <is>
          <t/>
        </is>
      </c>
      <c r="F711" s="14" t="inlineStr">
        <is>
          <t/>
        </is>
      </c>
      <c r="G711" s="15" t="inlineStr">
        <is>
          <t/>
        </is>
      </c>
      <c r="H711" s="16" t="inlineStr">
        <is>
          <t/>
        </is>
      </c>
      <c r="I711" s="17" t="inlineStr">
        <is>
          <t/>
        </is>
      </c>
      <c r="J711" s="18" t="inlineStr">
        <is>
          <t/>
        </is>
      </c>
      <c r="K711" s="19" t="inlineStr">
        <is>
          <t>Privately Held (backing)</t>
        </is>
      </c>
      <c r="L711" s="20" t="inlineStr">
        <is>
          <t>Accelerator/Incubator Backed</t>
        </is>
      </c>
      <c r="M711" s="21" t="n">
        <v>42018.0</v>
      </c>
      <c r="N711" s="22" t="inlineStr">
        <is>
          <t>Accelerator/Incubator</t>
        </is>
      </c>
      <c r="O711" s="23" t="n">
        <v>0.1</v>
      </c>
      <c r="P711" s="101">
        <f>HYPERLINK("https://my.pitchbook.com?c=114835-96", "View company online")</f>
      </c>
    </row>
    <row r="712">
      <c r="A712" s="25" t="inlineStr">
        <is>
          <t>113391-37</t>
        </is>
      </c>
      <c r="B712" s="26" t="inlineStr">
        <is>
          <t>TicketKarma</t>
        </is>
      </c>
      <c r="C712" s="27" t="inlineStr">
        <is>
          <t/>
        </is>
      </c>
      <c r="D712" s="28" t="inlineStr">
        <is>
          <t/>
        </is>
      </c>
      <c r="E712" s="29" t="inlineStr">
        <is>
          <t/>
        </is>
      </c>
      <c r="F712" s="30" t="inlineStr">
        <is>
          <t/>
        </is>
      </c>
      <c r="G712" s="31" t="inlineStr">
        <is>
          <t/>
        </is>
      </c>
      <c r="H712" s="32" t="inlineStr">
        <is>
          <t/>
        </is>
      </c>
      <c r="I712" s="33" t="inlineStr">
        <is>
          <t/>
        </is>
      </c>
      <c r="J712" s="34" t="inlineStr">
        <is>
          <t/>
        </is>
      </c>
      <c r="K712" s="35" t="inlineStr">
        <is>
          <t>Privately Held (backing)</t>
        </is>
      </c>
      <c r="L712" s="36" t="inlineStr">
        <is>
          <t>Accelerator/Incubator Backed</t>
        </is>
      </c>
      <c r="M712" s="37" t="n">
        <v>42295.0</v>
      </c>
      <c r="N712" s="38" t="inlineStr">
        <is>
          <t>Accelerator/Incubator</t>
        </is>
      </c>
      <c r="O712" s="39" t="inlineStr">
        <is>
          <t/>
        </is>
      </c>
      <c r="P712" s="102">
        <f>HYPERLINK("https://my.pitchbook.com?c=113391-37", "View company online")</f>
      </c>
    </row>
    <row r="713">
      <c r="A713" s="9" t="inlineStr">
        <is>
          <t>155031-76</t>
        </is>
      </c>
      <c r="B713" s="10" t="inlineStr">
        <is>
          <t>Thunkable</t>
        </is>
      </c>
      <c r="C713" s="11" t="inlineStr">
        <is>
          <t/>
        </is>
      </c>
      <c r="D713" s="12" t="inlineStr">
        <is>
          <t/>
        </is>
      </c>
      <c r="E713" s="13" t="inlineStr">
        <is>
          <t/>
        </is>
      </c>
      <c r="F713" s="14" t="inlineStr">
        <is>
          <t/>
        </is>
      </c>
      <c r="G713" s="15" t="inlineStr">
        <is>
          <t/>
        </is>
      </c>
      <c r="H713" s="16" t="inlineStr">
        <is>
          <t/>
        </is>
      </c>
      <c r="I713" s="17" t="inlineStr">
        <is>
          <t/>
        </is>
      </c>
      <c r="J713" s="18" t="inlineStr">
        <is>
          <t/>
        </is>
      </c>
      <c r="K713" s="19" t="inlineStr">
        <is>
          <t>Privately Held (backing)</t>
        </is>
      </c>
      <c r="L713" s="20" t="inlineStr">
        <is>
          <t>Accelerator/Incubator Backed</t>
        </is>
      </c>
      <c r="M713" s="21" t="n">
        <v>42370.0</v>
      </c>
      <c r="N713" s="22" t="inlineStr">
        <is>
          <t>Accelerator/Incubator</t>
        </is>
      </c>
      <c r="O713" s="23" t="n">
        <v>0.12</v>
      </c>
      <c r="P713" s="101">
        <f>HYPERLINK("https://my.pitchbook.com?c=155031-76", "View company online")</f>
      </c>
    </row>
    <row r="714">
      <c r="A714" s="25" t="inlineStr">
        <is>
          <t>155723-05</t>
        </is>
      </c>
      <c r="B714" s="26" t="inlineStr">
        <is>
          <t>Thunder Capital Management</t>
        </is>
      </c>
      <c r="C714" s="27" t="inlineStr">
        <is>
          <t/>
        </is>
      </c>
      <c r="D714" s="28" t="inlineStr">
        <is>
          <t/>
        </is>
      </c>
      <c r="E714" s="29" t="inlineStr">
        <is>
          <t/>
        </is>
      </c>
      <c r="F714" s="30" t="inlineStr">
        <is>
          <t/>
        </is>
      </c>
      <c r="G714" s="31" t="inlineStr">
        <is>
          <t/>
        </is>
      </c>
      <c r="H714" s="32" t="inlineStr">
        <is>
          <t/>
        </is>
      </c>
      <c r="I714" s="33" t="inlineStr">
        <is>
          <t/>
        </is>
      </c>
      <c r="J714" s="34" t="inlineStr">
        <is>
          <t/>
        </is>
      </c>
      <c r="K714" s="35" t="inlineStr">
        <is>
          <t>Privately Held (backing)</t>
        </is>
      </c>
      <c r="L714" s="36" t="inlineStr">
        <is>
          <t>Angel-Backed</t>
        </is>
      </c>
      <c r="M714" s="37" t="n">
        <v>42446.0</v>
      </c>
      <c r="N714" s="38" t="inlineStr">
        <is>
          <t>Angel (individual)</t>
        </is>
      </c>
      <c r="O714" s="39" t="inlineStr">
        <is>
          <t/>
        </is>
      </c>
      <c r="P714" s="102">
        <f>HYPERLINK("https://my.pitchbook.com?c=155723-05", "View company online")</f>
      </c>
    </row>
    <row r="715">
      <c r="A715" s="9" t="inlineStr">
        <is>
          <t>97933-24</t>
        </is>
      </c>
      <c r="B715" s="10" t="inlineStr">
        <is>
          <t>Thumbkandi</t>
        </is>
      </c>
      <c r="C715" s="11" t="inlineStr">
        <is>
          <t/>
        </is>
      </c>
      <c r="D715" s="12" t="inlineStr">
        <is>
          <t/>
        </is>
      </c>
      <c r="E715" s="13" t="inlineStr">
        <is>
          <t/>
        </is>
      </c>
      <c r="F715" s="14" t="inlineStr">
        <is>
          <t/>
        </is>
      </c>
      <c r="G715" s="15" t="inlineStr">
        <is>
          <t/>
        </is>
      </c>
      <c r="H715" s="16" t="inlineStr">
        <is>
          <t/>
        </is>
      </c>
      <c r="I715" s="17" t="inlineStr">
        <is>
          <t/>
        </is>
      </c>
      <c r="J715" s="18" t="inlineStr">
        <is>
          <t/>
        </is>
      </c>
      <c r="K715" s="19" t="inlineStr">
        <is>
          <t>Privately Held (backing)</t>
        </is>
      </c>
      <c r="L715" s="20" t="inlineStr">
        <is>
          <t>Angel-Backed</t>
        </is>
      </c>
      <c r="M715" s="21" t="n">
        <v>41912.0</v>
      </c>
      <c r="N715" s="22" t="inlineStr">
        <is>
          <t>Angel (individual)</t>
        </is>
      </c>
      <c r="O715" s="23" t="n">
        <v>0.88</v>
      </c>
      <c r="P715" s="101">
        <f>HYPERLINK("https://my.pitchbook.com?c=97933-24", "View company online")</f>
      </c>
    </row>
    <row r="716">
      <c r="A716" s="25" t="inlineStr">
        <is>
          <t>118301-32</t>
        </is>
      </c>
      <c r="B716" s="26" t="inlineStr">
        <is>
          <t>ThumbChat</t>
        </is>
      </c>
      <c r="C716" s="78">
        <f>HYPERLINK("https://my.pitchbook.com?rrp=118301-32&amp;type=c", "This Company's information is not available to download. Need this Company? Request availability")</f>
      </c>
      <c r="D716" s="28" t="inlineStr">
        <is>
          <t/>
        </is>
      </c>
      <c r="E716" s="29" t="inlineStr">
        <is>
          <t/>
        </is>
      </c>
      <c r="F716" s="30" t="inlineStr">
        <is>
          <t/>
        </is>
      </c>
      <c r="G716" s="31" t="inlineStr">
        <is>
          <t/>
        </is>
      </c>
      <c r="H716" s="32" t="inlineStr">
        <is>
          <t/>
        </is>
      </c>
      <c r="I716" s="33" t="inlineStr">
        <is>
          <t/>
        </is>
      </c>
      <c r="J716" s="34" t="inlineStr">
        <is>
          <t/>
        </is>
      </c>
      <c r="K716" s="35" t="inlineStr">
        <is>
          <t/>
        </is>
      </c>
      <c r="L716" s="36" t="inlineStr">
        <is>
          <t/>
        </is>
      </c>
      <c r="M716" s="37" t="inlineStr">
        <is>
          <t/>
        </is>
      </c>
      <c r="N716" s="38" t="inlineStr">
        <is>
          <t/>
        </is>
      </c>
      <c r="O716" s="39" t="inlineStr">
        <is>
          <t/>
        </is>
      </c>
      <c r="P716" s="40" t="inlineStr">
        <is>
          <t/>
        </is>
      </c>
    </row>
    <row r="717">
      <c r="A717" s="9" t="inlineStr">
        <is>
          <t>90910-81</t>
        </is>
      </c>
      <c r="B717" s="10" t="inlineStr">
        <is>
          <t>ThrowMotion</t>
        </is>
      </c>
      <c r="C717" s="11" t="inlineStr">
        <is>
          <t/>
        </is>
      </c>
      <c r="D717" s="12" t="inlineStr">
        <is>
          <t/>
        </is>
      </c>
      <c r="E717" s="13" t="inlineStr">
        <is>
          <t/>
        </is>
      </c>
      <c r="F717" s="14" t="inlineStr">
        <is>
          <t/>
        </is>
      </c>
      <c r="G717" s="15" t="inlineStr">
        <is>
          <t/>
        </is>
      </c>
      <c r="H717" s="16" t="inlineStr">
        <is>
          <t/>
        </is>
      </c>
      <c r="I717" s="17" t="inlineStr">
        <is>
          <t/>
        </is>
      </c>
      <c r="J717" s="18" t="inlineStr">
        <is>
          <t/>
        </is>
      </c>
      <c r="K717" s="19" t="inlineStr">
        <is>
          <t>Privately Held (backing)</t>
        </is>
      </c>
      <c r="L717" s="20" t="inlineStr">
        <is>
          <t>Angel-Backed</t>
        </is>
      </c>
      <c r="M717" s="21" t="n">
        <v>40548.0</v>
      </c>
      <c r="N717" s="22" t="inlineStr">
        <is>
          <t>Angel (individual)</t>
        </is>
      </c>
      <c r="O717" s="23" t="n">
        <v>0.45</v>
      </c>
      <c r="P717" s="101">
        <f>HYPERLINK("https://my.pitchbook.com?c=90910-81", "View company online")</f>
      </c>
    </row>
    <row r="718">
      <c r="A718" s="25" t="inlineStr">
        <is>
          <t>150632-02</t>
        </is>
      </c>
      <c r="B718" s="26" t="inlineStr">
        <is>
          <t>Throwdown Labs</t>
        </is>
      </c>
      <c r="C718" s="27" t="inlineStr">
        <is>
          <t/>
        </is>
      </c>
      <c r="D718" s="28" t="inlineStr">
        <is>
          <t/>
        </is>
      </c>
      <c r="E718" s="29" t="inlineStr">
        <is>
          <t/>
        </is>
      </c>
      <c r="F718" s="30" t="inlineStr">
        <is>
          <t/>
        </is>
      </c>
      <c r="G718" s="31" t="inlineStr">
        <is>
          <t/>
        </is>
      </c>
      <c r="H718" s="32" t="inlineStr">
        <is>
          <t/>
        </is>
      </c>
      <c r="I718" s="33" t="inlineStr">
        <is>
          <t/>
        </is>
      </c>
      <c r="J718" s="34" t="inlineStr">
        <is>
          <t/>
        </is>
      </c>
      <c r="K718" s="35" t="inlineStr">
        <is>
          <t>Privately Held (backing)</t>
        </is>
      </c>
      <c r="L718" s="36" t="inlineStr">
        <is>
          <t>Angel-Backed</t>
        </is>
      </c>
      <c r="M718" s="37" t="n">
        <v>42643.0</v>
      </c>
      <c r="N718" s="38" t="inlineStr">
        <is>
          <t>Seed Round</t>
        </is>
      </c>
      <c r="O718" s="39" t="n">
        <v>1.0</v>
      </c>
      <c r="P718" s="102">
        <f>HYPERLINK("https://my.pitchbook.com?c=150632-02", "View company online")</f>
      </c>
    </row>
    <row r="719">
      <c r="A719" s="9" t="inlineStr">
        <is>
          <t>118169-38</t>
        </is>
      </c>
      <c r="B719" s="10" t="inlineStr">
        <is>
          <t>Throne VIP</t>
        </is>
      </c>
      <c r="C719" s="77">
        <f>HYPERLINK("https://my.pitchbook.com?rrp=118169-38&amp;type=c", "This Company's information is not available to download. Need this Company? Request availability")</f>
      </c>
      <c r="D719" s="12" t="inlineStr">
        <is>
          <t/>
        </is>
      </c>
      <c r="E719" s="13" t="inlineStr">
        <is>
          <t/>
        </is>
      </c>
      <c r="F719" s="14" t="inlineStr">
        <is>
          <t/>
        </is>
      </c>
      <c r="G719" s="15" t="inlineStr">
        <is>
          <t/>
        </is>
      </c>
      <c r="H719" s="16" t="inlineStr">
        <is>
          <t/>
        </is>
      </c>
      <c r="I719" s="17" t="inlineStr">
        <is>
          <t/>
        </is>
      </c>
      <c r="J719" s="18" t="inlineStr">
        <is>
          <t/>
        </is>
      </c>
      <c r="K719" s="19" t="inlineStr">
        <is>
          <t/>
        </is>
      </c>
      <c r="L719" s="20" t="inlineStr">
        <is>
          <t/>
        </is>
      </c>
      <c r="M719" s="21" t="inlineStr">
        <is>
          <t/>
        </is>
      </c>
      <c r="N719" s="22" t="inlineStr">
        <is>
          <t/>
        </is>
      </c>
      <c r="O719" s="23" t="inlineStr">
        <is>
          <t/>
        </is>
      </c>
      <c r="P719" s="24" t="inlineStr">
        <is>
          <t/>
        </is>
      </c>
    </row>
    <row r="720">
      <c r="A720" s="25" t="inlineStr">
        <is>
          <t>152278-12</t>
        </is>
      </c>
      <c r="B720" s="26" t="inlineStr">
        <is>
          <t>Thrive Feeding</t>
        </is>
      </c>
      <c r="C720" s="27" t="inlineStr">
        <is>
          <t/>
        </is>
      </c>
      <c r="D720" s="28" t="inlineStr">
        <is>
          <t/>
        </is>
      </c>
      <c r="E720" s="29" t="inlineStr">
        <is>
          <t/>
        </is>
      </c>
      <c r="F720" s="30" t="inlineStr">
        <is>
          <t/>
        </is>
      </c>
      <c r="G720" s="31" t="inlineStr">
        <is>
          <t/>
        </is>
      </c>
      <c r="H720" s="32" t="inlineStr">
        <is>
          <t/>
        </is>
      </c>
      <c r="I720" s="33" t="inlineStr">
        <is>
          <t/>
        </is>
      </c>
      <c r="J720" s="34" t="inlineStr">
        <is>
          <t/>
        </is>
      </c>
      <c r="K720" s="35" t="inlineStr">
        <is>
          <t>Privately Held (backing)</t>
        </is>
      </c>
      <c r="L720" s="36" t="inlineStr">
        <is>
          <t>Angel-Backed</t>
        </is>
      </c>
      <c r="M720" s="37" t="n">
        <v>42390.0</v>
      </c>
      <c r="N720" s="38" t="inlineStr">
        <is>
          <t>Seed Round</t>
        </is>
      </c>
      <c r="O720" s="39" t="n">
        <v>0.5</v>
      </c>
      <c r="P720" s="102">
        <f>HYPERLINK("https://my.pitchbook.com?c=152278-12", "View company online")</f>
      </c>
    </row>
    <row r="721">
      <c r="A721" s="9" t="inlineStr">
        <is>
          <t>156911-68</t>
        </is>
      </c>
      <c r="B721" s="10" t="inlineStr">
        <is>
          <t>Thrive Agrobiotics</t>
        </is>
      </c>
      <c r="C721" s="11" t="inlineStr">
        <is>
          <t/>
        </is>
      </c>
      <c r="D721" s="12" t="inlineStr">
        <is>
          <t/>
        </is>
      </c>
      <c r="E721" s="13" t="inlineStr">
        <is>
          <t/>
        </is>
      </c>
      <c r="F721" s="14" t="inlineStr">
        <is>
          <t/>
        </is>
      </c>
      <c r="G721" s="15" t="inlineStr">
        <is>
          <t/>
        </is>
      </c>
      <c r="H721" s="16" t="inlineStr">
        <is>
          <t/>
        </is>
      </c>
      <c r="I721" s="17" t="inlineStr">
        <is>
          <t/>
        </is>
      </c>
      <c r="J721" s="18" t="inlineStr">
        <is>
          <t/>
        </is>
      </c>
      <c r="K721" s="19" t="inlineStr">
        <is>
          <t>Privately Held (backing)</t>
        </is>
      </c>
      <c r="L721" s="20" t="inlineStr">
        <is>
          <t>Angel-Backed</t>
        </is>
      </c>
      <c r="M721" s="21" t="n">
        <v>42468.0</v>
      </c>
      <c r="N721" s="22" t="inlineStr">
        <is>
          <t>Angel (individual)</t>
        </is>
      </c>
      <c r="O721" s="23" t="n">
        <v>6.67</v>
      </c>
      <c r="P721" s="101">
        <f>HYPERLINK("https://my.pitchbook.com?c=156911-68", "View company online")</f>
      </c>
    </row>
    <row r="722">
      <c r="A722" s="25" t="inlineStr">
        <is>
          <t>109408-33</t>
        </is>
      </c>
      <c r="B722" s="26" t="inlineStr">
        <is>
          <t>Three Twins Organic</t>
        </is>
      </c>
      <c r="C722" s="27" t="inlineStr">
        <is>
          <t/>
        </is>
      </c>
      <c r="D722" s="28" t="inlineStr">
        <is>
          <t/>
        </is>
      </c>
      <c r="E722" s="29" t="inlineStr">
        <is>
          <t>FY 2015</t>
        </is>
      </c>
      <c r="F722" s="30" t="n">
        <v>11.28</v>
      </c>
      <c r="G722" s="31" t="inlineStr">
        <is>
          <t/>
        </is>
      </c>
      <c r="H722" s="32" t="inlineStr">
        <is>
          <t/>
        </is>
      </c>
      <c r="I722" s="33" t="inlineStr">
        <is>
          <t/>
        </is>
      </c>
      <c r="J722" s="34" t="inlineStr">
        <is>
          <t/>
        </is>
      </c>
      <c r="K722" s="35" t="inlineStr">
        <is>
          <t>Privately Held (backing)</t>
        </is>
      </c>
      <c r="L722" s="36" t="inlineStr">
        <is>
          <t>Angel-Backed</t>
        </is>
      </c>
      <c r="M722" s="37" t="n">
        <v>42058.0</v>
      </c>
      <c r="N722" s="38" t="inlineStr">
        <is>
          <t>Convertible Debt</t>
        </is>
      </c>
      <c r="O722" s="39" t="n">
        <v>1.5</v>
      </c>
      <c r="P722" s="102">
        <f>HYPERLINK("https://my.pitchbook.com?c=109408-33", "View company online")</f>
      </c>
    </row>
    <row r="723">
      <c r="A723" s="9" t="inlineStr">
        <is>
          <t>129013-75</t>
        </is>
      </c>
      <c r="B723" s="10" t="inlineStr">
        <is>
          <t>Three Rivers Medical</t>
        </is>
      </c>
      <c r="C723" s="11" t="inlineStr">
        <is>
          <t/>
        </is>
      </c>
      <c r="D723" s="12" t="inlineStr">
        <is>
          <t/>
        </is>
      </c>
      <c r="E723" s="13" t="inlineStr">
        <is>
          <t/>
        </is>
      </c>
      <c r="F723" s="14" t="inlineStr">
        <is>
          <t/>
        </is>
      </c>
      <c r="G723" s="15" t="inlineStr">
        <is>
          <t/>
        </is>
      </c>
      <c r="H723" s="16" t="inlineStr">
        <is>
          <t/>
        </is>
      </c>
      <c r="I723" s="17" t="inlineStr">
        <is>
          <t/>
        </is>
      </c>
      <c r="J723" s="18" t="inlineStr">
        <is>
          <t/>
        </is>
      </c>
      <c r="K723" s="19" t="inlineStr">
        <is>
          <t>Privately Held (backing)</t>
        </is>
      </c>
      <c r="L723" s="20" t="inlineStr">
        <is>
          <t>Angel-Backed</t>
        </is>
      </c>
      <c r="M723" s="21" t="n">
        <v>42608.0</v>
      </c>
      <c r="N723" s="22" t="inlineStr">
        <is>
          <t>Angel (individual)</t>
        </is>
      </c>
      <c r="O723" s="23" t="n">
        <v>0.48</v>
      </c>
      <c r="P723" s="101">
        <f>HYPERLINK("https://my.pitchbook.com?c=129013-75", "View company online")</f>
      </c>
    </row>
    <row r="724">
      <c r="A724" s="25" t="inlineStr">
        <is>
          <t>64341-19</t>
        </is>
      </c>
      <c r="B724" s="26" t="inlineStr">
        <is>
          <t>Three Day Rule</t>
        </is>
      </c>
      <c r="C724" s="27" t="inlineStr">
        <is>
          <t/>
        </is>
      </c>
      <c r="D724" s="28" t="inlineStr">
        <is>
          <t/>
        </is>
      </c>
      <c r="E724" s="29" t="inlineStr">
        <is>
          <t/>
        </is>
      </c>
      <c r="F724" s="30" t="inlineStr">
        <is>
          <t/>
        </is>
      </c>
      <c r="G724" s="31" t="inlineStr">
        <is>
          <t/>
        </is>
      </c>
      <c r="H724" s="32" t="inlineStr">
        <is>
          <t/>
        </is>
      </c>
      <c r="I724" s="33" t="inlineStr">
        <is>
          <t/>
        </is>
      </c>
      <c r="J724" s="34" t="inlineStr">
        <is>
          <t/>
        </is>
      </c>
      <c r="K724" s="35" t="inlineStr">
        <is>
          <t>Privately Held (backing)</t>
        </is>
      </c>
      <c r="L724" s="36" t="inlineStr">
        <is>
          <t>Angel-Backed</t>
        </is>
      </c>
      <c r="M724" s="37" t="n">
        <v>42458.0</v>
      </c>
      <c r="N724" s="38" t="inlineStr">
        <is>
          <t>Angel (individual)</t>
        </is>
      </c>
      <c r="O724" s="39" t="n">
        <v>1.19</v>
      </c>
      <c r="P724" s="102">
        <f>HYPERLINK("https://my.pitchbook.com?c=64341-19", "View company online")</f>
      </c>
    </row>
    <row r="725">
      <c r="A725" s="9" t="inlineStr">
        <is>
          <t>62007-67</t>
        </is>
      </c>
      <c r="B725" s="10" t="inlineStr">
        <is>
          <t>Threadable</t>
        </is>
      </c>
      <c r="C725" s="11" t="inlineStr">
        <is>
          <t/>
        </is>
      </c>
      <c r="D725" s="12" t="inlineStr">
        <is>
          <t/>
        </is>
      </c>
      <c r="E725" s="13" t="inlineStr">
        <is>
          <t/>
        </is>
      </c>
      <c r="F725" s="14" t="inlineStr">
        <is>
          <t/>
        </is>
      </c>
      <c r="G725" s="15" t="inlineStr">
        <is>
          <t/>
        </is>
      </c>
      <c r="H725" s="16" t="inlineStr">
        <is>
          <t/>
        </is>
      </c>
      <c r="I725" s="17" t="inlineStr">
        <is>
          <t/>
        </is>
      </c>
      <c r="J725" s="18" t="inlineStr">
        <is>
          <t/>
        </is>
      </c>
      <c r="K725" s="19" t="inlineStr">
        <is>
          <t>Privately Held (backing)</t>
        </is>
      </c>
      <c r="L725" s="20" t="inlineStr">
        <is>
          <t>Accelerator/Incubator Backed</t>
        </is>
      </c>
      <c r="M725" s="21" t="n">
        <v>41716.0</v>
      </c>
      <c r="N725" s="22" t="inlineStr">
        <is>
          <t>Accelerator/Incubator</t>
        </is>
      </c>
      <c r="O725" s="23" t="n">
        <v>0.12</v>
      </c>
      <c r="P725" s="101">
        <f>HYPERLINK("https://my.pitchbook.com?c=62007-67", "View company online")</f>
      </c>
    </row>
    <row r="726">
      <c r="A726" s="25" t="inlineStr">
        <is>
          <t>126101-53</t>
        </is>
      </c>
      <c r="B726" s="26" t="inlineStr">
        <is>
          <t>Thread Council</t>
        </is>
      </c>
      <c r="C726" s="27" t="inlineStr">
        <is>
          <t/>
        </is>
      </c>
      <c r="D726" s="28" t="inlineStr">
        <is>
          <t/>
        </is>
      </c>
      <c r="E726" s="29" t="inlineStr">
        <is>
          <t/>
        </is>
      </c>
      <c r="F726" s="30" t="inlineStr">
        <is>
          <t/>
        </is>
      </c>
      <c r="G726" s="31" t="inlineStr">
        <is>
          <t/>
        </is>
      </c>
      <c r="H726" s="32" t="inlineStr">
        <is>
          <t/>
        </is>
      </c>
      <c r="I726" s="33" t="inlineStr">
        <is>
          <t/>
        </is>
      </c>
      <c r="J726" s="34" t="inlineStr">
        <is>
          <t/>
        </is>
      </c>
      <c r="K726" s="35" t="inlineStr">
        <is>
          <t>Privately Held (backing)</t>
        </is>
      </c>
      <c r="L726" s="36" t="inlineStr">
        <is>
          <t>Angel-Backed</t>
        </is>
      </c>
      <c r="M726" s="37" t="n">
        <v>41456.0</v>
      </c>
      <c r="N726" s="38" t="inlineStr">
        <is>
          <t>Product Crowdfunding</t>
        </is>
      </c>
      <c r="O726" s="39" t="n">
        <v>0.06</v>
      </c>
      <c r="P726" s="102">
        <f>HYPERLINK("https://my.pitchbook.com?c=126101-53", "View company online")</f>
      </c>
    </row>
    <row r="727">
      <c r="A727" s="9" t="inlineStr">
        <is>
          <t>54773-38</t>
        </is>
      </c>
      <c r="B727" s="10" t="inlineStr">
        <is>
          <t>thrdPlace</t>
        </is>
      </c>
      <c r="C727" s="11" t="inlineStr">
        <is>
          <t/>
        </is>
      </c>
      <c r="D727" s="12" t="inlineStr">
        <is>
          <t/>
        </is>
      </c>
      <c r="E727" s="13" t="inlineStr">
        <is>
          <t/>
        </is>
      </c>
      <c r="F727" s="14" t="inlineStr">
        <is>
          <t/>
        </is>
      </c>
      <c r="G727" s="15" t="inlineStr">
        <is>
          <t/>
        </is>
      </c>
      <c r="H727" s="16" t="inlineStr">
        <is>
          <t/>
        </is>
      </c>
      <c r="I727" s="17" t="inlineStr">
        <is>
          <t/>
        </is>
      </c>
      <c r="J727" s="18" t="inlineStr">
        <is>
          <t/>
        </is>
      </c>
      <c r="K727" s="19" t="inlineStr">
        <is>
          <t>Privately Held (backing)</t>
        </is>
      </c>
      <c r="L727" s="20" t="inlineStr">
        <is>
          <t>Accelerator/Incubator Backed</t>
        </is>
      </c>
      <c r="M727" s="21" t="n">
        <v>40918.0</v>
      </c>
      <c r="N727" s="22" t="inlineStr">
        <is>
          <t>Accelerator/Incubator</t>
        </is>
      </c>
      <c r="O727" s="23" t="n">
        <v>0.02</v>
      </c>
      <c r="P727" s="101">
        <f>HYPERLINK("https://my.pitchbook.com?c=54773-38", "View company online")</f>
      </c>
    </row>
    <row r="728">
      <c r="A728" s="25" t="inlineStr">
        <is>
          <t>108696-25</t>
        </is>
      </c>
      <c r="B728" s="26" t="inlineStr">
        <is>
          <t>ThoughtStem</t>
        </is>
      </c>
      <c r="C728" s="27" t="inlineStr">
        <is>
          <t/>
        </is>
      </c>
      <c r="D728" s="28" t="inlineStr">
        <is>
          <t/>
        </is>
      </c>
      <c r="E728" s="29" t="inlineStr">
        <is>
          <t/>
        </is>
      </c>
      <c r="F728" s="30" t="inlineStr">
        <is>
          <t/>
        </is>
      </c>
      <c r="G728" s="31" t="inlineStr">
        <is>
          <t/>
        </is>
      </c>
      <c r="H728" s="32" t="inlineStr">
        <is>
          <t/>
        </is>
      </c>
      <c r="I728" s="33" t="inlineStr">
        <is>
          <t/>
        </is>
      </c>
      <c r="J728" s="34" t="inlineStr">
        <is>
          <t/>
        </is>
      </c>
      <c r="K728" s="35" t="inlineStr">
        <is>
          <t>Privately Held (backing)</t>
        </is>
      </c>
      <c r="L728" s="36" t="inlineStr">
        <is>
          <t>Angel-Backed</t>
        </is>
      </c>
      <c r="M728" s="37" t="n">
        <v>42585.0</v>
      </c>
      <c r="N728" s="38" t="inlineStr">
        <is>
          <t>Grant</t>
        </is>
      </c>
      <c r="O728" s="39" t="n">
        <v>0.75</v>
      </c>
      <c r="P728" s="102">
        <f>HYPERLINK("https://my.pitchbook.com?c=108696-25", "View company online")</f>
      </c>
    </row>
    <row r="729">
      <c r="A729" s="9" t="inlineStr">
        <is>
          <t>153813-70</t>
        </is>
      </c>
      <c r="B729" s="10" t="inlineStr">
        <is>
          <t>Thoughtfull Toys</t>
        </is>
      </c>
      <c r="C729" s="11" t="inlineStr">
        <is>
          <t/>
        </is>
      </c>
      <c r="D729" s="12" t="inlineStr">
        <is>
          <t/>
        </is>
      </c>
      <c r="E729" s="13" t="inlineStr">
        <is>
          <t/>
        </is>
      </c>
      <c r="F729" s="14" t="inlineStr">
        <is>
          <t/>
        </is>
      </c>
      <c r="G729" s="15" t="inlineStr">
        <is>
          <t/>
        </is>
      </c>
      <c r="H729" s="16" t="inlineStr">
        <is>
          <t/>
        </is>
      </c>
      <c r="I729" s="17" t="inlineStr">
        <is>
          <t/>
        </is>
      </c>
      <c r="J729" s="18" t="inlineStr">
        <is>
          <t/>
        </is>
      </c>
      <c r="K729" s="19" t="inlineStr">
        <is>
          <t>Privately Held (backing)</t>
        </is>
      </c>
      <c r="L729" s="20" t="inlineStr">
        <is>
          <t>Angel-Backed</t>
        </is>
      </c>
      <c r="M729" s="21" t="n">
        <v>42397.0</v>
      </c>
      <c r="N729" s="22" t="inlineStr">
        <is>
          <t>Angel (individual)</t>
        </is>
      </c>
      <c r="O729" s="23" t="n">
        <v>1.02</v>
      </c>
      <c r="P729" s="101">
        <f>HYPERLINK("https://my.pitchbook.com?c=153813-70", "View company online")</f>
      </c>
    </row>
    <row r="730">
      <c r="A730" s="25" t="inlineStr">
        <is>
          <t>155156-32</t>
        </is>
      </c>
      <c r="B730" s="26" t="inlineStr">
        <is>
          <t>ThoughtBase</t>
        </is>
      </c>
      <c r="C730" s="27" t="inlineStr">
        <is>
          <t/>
        </is>
      </c>
      <c r="D730" s="28" t="inlineStr">
        <is>
          <t/>
        </is>
      </c>
      <c r="E730" s="29" t="inlineStr">
        <is>
          <t/>
        </is>
      </c>
      <c r="F730" s="30" t="inlineStr">
        <is>
          <t/>
        </is>
      </c>
      <c r="G730" s="31" t="inlineStr">
        <is>
          <t/>
        </is>
      </c>
      <c r="H730" s="32" t="inlineStr">
        <is>
          <t/>
        </is>
      </c>
      <c r="I730" s="33" t="inlineStr">
        <is>
          <t/>
        </is>
      </c>
      <c r="J730" s="34" t="inlineStr">
        <is>
          <t/>
        </is>
      </c>
      <c r="K730" s="35" t="inlineStr">
        <is>
          <t>Privately Held (backing)</t>
        </is>
      </c>
      <c r="L730" s="36" t="inlineStr">
        <is>
          <t>Angel-Backed</t>
        </is>
      </c>
      <c r="M730" s="37" t="n">
        <v>42436.0</v>
      </c>
      <c r="N730" s="38" t="inlineStr">
        <is>
          <t>Convertible Debt</t>
        </is>
      </c>
      <c r="O730" s="39" t="n">
        <v>0.02</v>
      </c>
      <c r="P730" s="102">
        <f>HYPERLINK("https://my.pitchbook.com?c=155156-32", "View company online")</f>
      </c>
    </row>
    <row r="731">
      <c r="A731" s="9" t="inlineStr">
        <is>
          <t>134917-48</t>
        </is>
      </c>
      <c r="B731" s="10" t="inlineStr">
        <is>
          <t>Thorn Street Brewery</t>
        </is>
      </c>
      <c r="C731" s="11" t="inlineStr">
        <is>
          <t/>
        </is>
      </c>
      <c r="D731" s="12" t="inlineStr">
        <is>
          <t/>
        </is>
      </c>
      <c r="E731" s="13" t="inlineStr">
        <is>
          <t/>
        </is>
      </c>
      <c r="F731" s="14" t="inlineStr">
        <is>
          <t/>
        </is>
      </c>
      <c r="G731" s="15" t="inlineStr">
        <is>
          <t/>
        </is>
      </c>
      <c r="H731" s="16" t="inlineStr">
        <is>
          <t/>
        </is>
      </c>
      <c r="I731" s="17" t="inlineStr">
        <is>
          <t/>
        </is>
      </c>
      <c r="J731" s="18" t="inlineStr">
        <is>
          <t/>
        </is>
      </c>
      <c r="K731" s="19" t="inlineStr">
        <is>
          <t>Privately Held (backing)</t>
        </is>
      </c>
      <c r="L731" s="20" t="inlineStr">
        <is>
          <t>Angel-Backed</t>
        </is>
      </c>
      <c r="M731" s="21" t="n">
        <v>42214.0</v>
      </c>
      <c r="N731" s="22" t="inlineStr">
        <is>
          <t>Angel (individual)</t>
        </is>
      </c>
      <c r="O731" s="23" t="n">
        <v>0.25</v>
      </c>
      <c r="P731" s="101">
        <f>HYPERLINK("https://my.pitchbook.com?c=134917-48", "View company online")</f>
      </c>
    </row>
    <row r="732">
      <c r="A732" s="25" t="inlineStr">
        <is>
          <t>119594-17</t>
        </is>
      </c>
      <c r="B732" s="26" t="inlineStr">
        <is>
          <t>Thomson Power</t>
        </is>
      </c>
      <c r="C732" s="27" t="inlineStr">
        <is>
          <t/>
        </is>
      </c>
      <c r="D732" s="28" t="inlineStr">
        <is>
          <t/>
        </is>
      </c>
      <c r="E732" s="29" t="inlineStr">
        <is>
          <t/>
        </is>
      </c>
      <c r="F732" s="30" t="inlineStr">
        <is>
          <t/>
        </is>
      </c>
      <c r="G732" s="31" t="inlineStr">
        <is>
          <t/>
        </is>
      </c>
      <c r="H732" s="32" t="inlineStr">
        <is>
          <t/>
        </is>
      </c>
      <c r="I732" s="33" t="inlineStr">
        <is>
          <t/>
        </is>
      </c>
      <c r="J732" s="34" t="inlineStr">
        <is>
          <t/>
        </is>
      </c>
      <c r="K732" s="35" t="inlineStr">
        <is>
          <t>Privately Held (backing)</t>
        </is>
      </c>
      <c r="L732" s="36" t="inlineStr">
        <is>
          <t>Accelerator/Incubator Backed</t>
        </is>
      </c>
      <c r="M732" s="37" t="n">
        <v>42678.0</v>
      </c>
      <c r="N732" s="38" t="inlineStr">
        <is>
          <t>Reverse Merger</t>
        </is>
      </c>
      <c r="O732" s="39" t="inlineStr">
        <is>
          <t/>
        </is>
      </c>
      <c r="P732" s="102">
        <f>HYPERLINK("https://my.pitchbook.com?c=119594-17", "View company online")</f>
      </c>
    </row>
    <row r="733">
      <c r="A733" s="9" t="inlineStr">
        <is>
          <t>90909-28</t>
        </is>
      </c>
      <c r="B733" s="10" t="inlineStr">
        <is>
          <t>Thompson Aerospace</t>
        </is>
      </c>
      <c r="C733" s="11" t="inlineStr">
        <is>
          <t/>
        </is>
      </c>
      <c r="D733" s="12" t="inlineStr">
        <is>
          <t/>
        </is>
      </c>
      <c r="E733" s="13" t="inlineStr">
        <is>
          <t/>
        </is>
      </c>
      <c r="F733" s="14" t="inlineStr">
        <is>
          <t/>
        </is>
      </c>
      <c r="G733" s="15" t="inlineStr">
        <is>
          <t/>
        </is>
      </c>
      <c r="H733" s="16" t="inlineStr">
        <is>
          <t/>
        </is>
      </c>
      <c r="I733" s="17" t="inlineStr">
        <is>
          <t/>
        </is>
      </c>
      <c r="J733" s="18" t="inlineStr">
        <is>
          <t/>
        </is>
      </c>
      <c r="K733" s="19" t="inlineStr">
        <is>
          <t>Privately Held (backing)</t>
        </is>
      </c>
      <c r="L733" s="20" t="inlineStr">
        <is>
          <t>Angel-Backed</t>
        </is>
      </c>
      <c r="M733" s="21" t="n">
        <v>40500.0</v>
      </c>
      <c r="N733" s="22" t="inlineStr">
        <is>
          <t>Angel (individual)</t>
        </is>
      </c>
      <c r="O733" s="23" t="n">
        <v>2.0</v>
      </c>
      <c r="P733" s="101">
        <f>HYPERLINK("https://my.pitchbook.com?c=90909-28", "View company online")</f>
      </c>
    </row>
    <row r="734">
      <c r="A734" s="25" t="inlineStr">
        <is>
          <t>102712-42</t>
        </is>
      </c>
      <c r="B734" s="26" t="inlineStr">
        <is>
          <t>Thistle Health</t>
        </is>
      </c>
      <c r="C734" s="27" t="inlineStr">
        <is>
          <t/>
        </is>
      </c>
      <c r="D734" s="28" t="inlineStr">
        <is>
          <t/>
        </is>
      </c>
      <c r="E734" s="29" t="inlineStr">
        <is>
          <t/>
        </is>
      </c>
      <c r="F734" s="30" t="inlineStr">
        <is>
          <t/>
        </is>
      </c>
      <c r="G734" s="31" t="inlineStr">
        <is>
          <t/>
        </is>
      </c>
      <c r="H734" s="32" t="inlineStr">
        <is>
          <t/>
        </is>
      </c>
      <c r="I734" s="33" t="inlineStr">
        <is>
          <t/>
        </is>
      </c>
      <c r="J734" s="34" t="inlineStr">
        <is>
          <t/>
        </is>
      </c>
      <c r="K734" s="35" t="inlineStr">
        <is>
          <t>Privately Held (backing)</t>
        </is>
      </c>
      <c r="L734" s="36" t="inlineStr">
        <is>
          <t>Angel-Backed</t>
        </is>
      </c>
      <c r="M734" s="37" t="n">
        <v>42289.0</v>
      </c>
      <c r="N734" s="38" t="inlineStr">
        <is>
          <t>Seed Round</t>
        </is>
      </c>
      <c r="O734" s="39" t="n">
        <v>1.0</v>
      </c>
      <c r="P734" s="102">
        <f>HYPERLINK("https://my.pitchbook.com?c=102712-42", "View company online")</f>
      </c>
    </row>
    <row r="735">
      <c r="A735" s="9" t="inlineStr">
        <is>
          <t>158735-08</t>
        </is>
      </c>
      <c r="B735" s="10" t="inlineStr">
        <is>
          <t>ThisIsMe</t>
        </is>
      </c>
      <c r="C735" s="11" t="inlineStr">
        <is>
          <t/>
        </is>
      </c>
      <c r="D735" s="12" t="inlineStr">
        <is>
          <t/>
        </is>
      </c>
      <c r="E735" s="13" t="inlineStr">
        <is>
          <t/>
        </is>
      </c>
      <c r="F735" s="14" t="inlineStr">
        <is>
          <t/>
        </is>
      </c>
      <c r="G735" s="15" t="inlineStr">
        <is>
          <t/>
        </is>
      </c>
      <c r="H735" s="16" t="inlineStr">
        <is>
          <t/>
        </is>
      </c>
      <c r="I735" s="17" t="inlineStr">
        <is>
          <t/>
        </is>
      </c>
      <c r="J735" s="18" t="inlineStr">
        <is>
          <t/>
        </is>
      </c>
      <c r="K735" s="19" t="inlineStr">
        <is>
          <t>Privately Held (backing)</t>
        </is>
      </c>
      <c r="L735" s="20" t="inlineStr">
        <is>
          <t>Angel-Backed</t>
        </is>
      </c>
      <c r="M735" s="21" t="n">
        <v>42499.0</v>
      </c>
      <c r="N735" s="22" t="inlineStr">
        <is>
          <t>Angel (individual)</t>
        </is>
      </c>
      <c r="O735" s="23" t="n">
        <v>2.5</v>
      </c>
      <c r="P735" s="101">
        <f>HYPERLINK("https://my.pitchbook.com?c=158735-08", "View company online")</f>
      </c>
    </row>
    <row r="736">
      <c r="A736" s="25" t="inlineStr">
        <is>
          <t>166160-98</t>
        </is>
      </c>
      <c r="B736" s="26" t="inlineStr">
        <is>
          <t>Thirsty Thread</t>
        </is>
      </c>
      <c r="C736" s="27" t="inlineStr">
        <is>
          <t/>
        </is>
      </c>
      <c r="D736" s="28" t="inlineStr">
        <is>
          <t/>
        </is>
      </c>
      <c r="E736" s="29" t="inlineStr">
        <is>
          <t/>
        </is>
      </c>
      <c r="F736" s="30" t="inlineStr">
        <is>
          <t/>
        </is>
      </c>
      <c r="G736" s="31" t="inlineStr">
        <is>
          <t/>
        </is>
      </c>
      <c r="H736" s="32" t="inlineStr">
        <is>
          <t/>
        </is>
      </c>
      <c r="I736" s="33" t="inlineStr">
        <is>
          <t/>
        </is>
      </c>
      <c r="J736" s="34" t="inlineStr">
        <is>
          <t/>
        </is>
      </c>
      <c r="K736" s="35" t="inlineStr">
        <is>
          <t>Privately Held (backing)</t>
        </is>
      </c>
      <c r="L736" s="36" t="inlineStr">
        <is>
          <t>Accelerator/Incubator Backed</t>
        </is>
      </c>
      <c r="M736" s="37" t="n">
        <v>42500.0</v>
      </c>
      <c r="N736" s="38" t="inlineStr">
        <is>
          <t>Accelerator/Incubator</t>
        </is>
      </c>
      <c r="O736" s="39" t="n">
        <v>0.03</v>
      </c>
      <c r="P736" s="102">
        <f>HYPERLINK("https://my.pitchbook.com?c=166160-98", "View company online")</f>
      </c>
    </row>
    <row r="737">
      <c r="A737" s="9" t="inlineStr">
        <is>
          <t>172742-05</t>
        </is>
      </c>
      <c r="B737" s="10" t="inlineStr">
        <is>
          <t>Third Window Brewing</t>
        </is>
      </c>
      <c r="C737" s="77">
        <f>HYPERLINK("https://my.pitchbook.com?rrp=172742-05&amp;type=c", "This Company's information is not available to download. Need this Company? Request availability")</f>
      </c>
      <c r="D737" s="12" t="inlineStr">
        <is>
          <t/>
        </is>
      </c>
      <c r="E737" s="13" t="inlineStr">
        <is>
          <t/>
        </is>
      </c>
      <c r="F737" s="14" t="inlineStr">
        <is>
          <t/>
        </is>
      </c>
      <c r="G737" s="15" t="inlineStr">
        <is>
          <t/>
        </is>
      </c>
      <c r="H737" s="16" t="inlineStr">
        <is>
          <t/>
        </is>
      </c>
      <c r="I737" s="17" t="inlineStr">
        <is>
          <t/>
        </is>
      </c>
      <c r="J737" s="18" t="inlineStr">
        <is>
          <t/>
        </is>
      </c>
      <c r="K737" s="19" t="inlineStr">
        <is>
          <t/>
        </is>
      </c>
      <c r="L737" s="20" t="inlineStr">
        <is>
          <t/>
        </is>
      </c>
      <c r="M737" s="21" t="inlineStr">
        <is>
          <t/>
        </is>
      </c>
      <c r="N737" s="22" t="inlineStr">
        <is>
          <t/>
        </is>
      </c>
      <c r="O737" s="23" t="inlineStr">
        <is>
          <t/>
        </is>
      </c>
      <c r="P737" s="24" t="inlineStr">
        <is>
          <t/>
        </is>
      </c>
    </row>
    <row r="738">
      <c r="A738" s="25" t="inlineStr">
        <is>
          <t>100283-32</t>
        </is>
      </c>
      <c r="B738" s="26" t="inlineStr">
        <is>
          <t>Third Ear</t>
        </is>
      </c>
      <c r="C738" s="27" t="inlineStr">
        <is>
          <t/>
        </is>
      </c>
      <c r="D738" s="28" t="inlineStr">
        <is>
          <t/>
        </is>
      </c>
      <c r="E738" s="29" t="inlineStr">
        <is>
          <t/>
        </is>
      </c>
      <c r="F738" s="30" t="inlineStr">
        <is>
          <t/>
        </is>
      </c>
      <c r="G738" s="31" t="inlineStr">
        <is>
          <t/>
        </is>
      </c>
      <c r="H738" s="32" t="inlineStr">
        <is>
          <t/>
        </is>
      </c>
      <c r="I738" s="33" t="inlineStr">
        <is>
          <t/>
        </is>
      </c>
      <c r="J738" s="34" t="inlineStr">
        <is>
          <t/>
        </is>
      </c>
      <c r="K738" s="35" t="inlineStr">
        <is>
          <t>Privately Held (backing)</t>
        </is>
      </c>
      <c r="L738" s="36" t="inlineStr">
        <is>
          <t>Accelerator/Incubator Backed</t>
        </is>
      </c>
      <c r="M738" s="37" t="n">
        <v>41771.0</v>
      </c>
      <c r="N738" s="38" t="inlineStr">
        <is>
          <t>Accelerator/Incubator</t>
        </is>
      </c>
      <c r="O738" s="39" t="n">
        <v>0.03</v>
      </c>
      <c r="P738" s="102">
        <f>HYPERLINK("https://my.pitchbook.com?c=100283-32", "View company online")</f>
      </c>
    </row>
    <row r="739">
      <c r="A739" s="9" t="inlineStr">
        <is>
          <t>102476-35</t>
        </is>
      </c>
      <c r="B739" s="10" t="inlineStr">
        <is>
          <t>ThinkLab</t>
        </is>
      </c>
      <c r="C739" s="77">
        <f>HYPERLINK("https://my.pitchbook.com?rrp=102476-35&amp;type=c", "This Company's information is not available to download. Need this Company? Request availability")</f>
      </c>
      <c r="D739" s="12" t="inlineStr">
        <is>
          <t/>
        </is>
      </c>
      <c r="E739" s="13" t="inlineStr">
        <is>
          <t/>
        </is>
      </c>
      <c r="F739" s="14" t="inlineStr">
        <is>
          <t/>
        </is>
      </c>
      <c r="G739" s="15" t="inlineStr">
        <is>
          <t/>
        </is>
      </c>
      <c r="H739" s="16" t="inlineStr">
        <is>
          <t/>
        </is>
      </c>
      <c r="I739" s="17" t="inlineStr">
        <is>
          <t/>
        </is>
      </c>
      <c r="J739" s="18" t="inlineStr">
        <is>
          <t/>
        </is>
      </c>
      <c r="K739" s="19" t="inlineStr">
        <is>
          <t/>
        </is>
      </c>
      <c r="L739" s="20" t="inlineStr">
        <is>
          <t/>
        </is>
      </c>
      <c r="M739" s="21" t="inlineStr">
        <is>
          <t/>
        </is>
      </c>
      <c r="N739" s="22" t="inlineStr">
        <is>
          <t/>
        </is>
      </c>
      <c r="O739" s="23" t="inlineStr">
        <is>
          <t/>
        </is>
      </c>
      <c r="P739" s="24" t="inlineStr">
        <is>
          <t/>
        </is>
      </c>
    </row>
    <row r="740">
      <c r="A740" s="25" t="inlineStr">
        <is>
          <t>175233-52</t>
        </is>
      </c>
      <c r="B740" s="26" t="inlineStr">
        <is>
          <t>ThinkINside</t>
        </is>
      </c>
      <c r="C740" s="78">
        <f>HYPERLINK("https://my.pitchbook.com?rrp=175233-52&amp;type=c", "This Company's information is not available to download. Need this Company? Request availability")</f>
      </c>
      <c r="D740" s="28" t="inlineStr">
        <is>
          <t/>
        </is>
      </c>
      <c r="E740" s="29" t="inlineStr">
        <is>
          <t/>
        </is>
      </c>
      <c r="F740" s="30" t="inlineStr">
        <is>
          <t/>
        </is>
      </c>
      <c r="G740" s="31" t="inlineStr">
        <is>
          <t/>
        </is>
      </c>
      <c r="H740" s="32" t="inlineStr">
        <is>
          <t/>
        </is>
      </c>
      <c r="I740" s="33" t="inlineStr">
        <is>
          <t/>
        </is>
      </c>
      <c r="J740" s="34" t="inlineStr">
        <is>
          <t/>
        </is>
      </c>
      <c r="K740" s="35" t="inlineStr">
        <is>
          <t/>
        </is>
      </c>
      <c r="L740" s="36" t="inlineStr">
        <is>
          <t/>
        </is>
      </c>
      <c r="M740" s="37" t="inlineStr">
        <is>
          <t/>
        </is>
      </c>
      <c r="N740" s="38" t="inlineStr">
        <is>
          <t/>
        </is>
      </c>
      <c r="O740" s="39" t="inlineStr">
        <is>
          <t/>
        </is>
      </c>
      <c r="P740" s="40" t="inlineStr">
        <is>
          <t/>
        </is>
      </c>
    </row>
    <row r="741">
      <c r="A741" s="9" t="inlineStr">
        <is>
          <t>96840-46</t>
        </is>
      </c>
      <c r="B741" s="10" t="inlineStr">
        <is>
          <t>Thinkingvoice</t>
        </is>
      </c>
      <c r="C741" s="11" t="inlineStr">
        <is>
          <t/>
        </is>
      </c>
      <c r="D741" s="12" t="inlineStr">
        <is>
          <t/>
        </is>
      </c>
      <c r="E741" s="13" t="inlineStr">
        <is>
          <t/>
        </is>
      </c>
      <c r="F741" s="14" t="inlineStr">
        <is>
          <t/>
        </is>
      </c>
      <c r="G741" s="15" t="inlineStr">
        <is>
          <t/>
        </is>
      </c>
      <c r="H741" s="16" t="inlineStr">
        <is>
          <t/>
        </is>
      </c>
      <c r="I741" s="17" t="inlineStr">
        <is>
          <t/>
        </is>
      </c>
      <c r="J741" s="18" t="inlineStr">
        <is>
          <t/>
        </is>
      </c>
      <c r="K741" s="19" t="inlineStr">
        <is>
          <t>Privately Held (backing)</t>
        </is>
      </c>
      <c r="L741" s="20" t="inlineStr">
        <is>
          <t>Angel-Backed</t>
        </is>
      </c>
      <c r="M741" s="21" t="n">
        <v>40966.0</v>
      </c>
      <c r="N741" s="22" t="inlineStr">
        <is>
          <t>Angel (individual)</t>
        </is>
      </c>
      <c r="O741" s="23" t="inlineStr">
        <is>
          <t/>
        </is>
      </c>
      <c r="P741" s="101">
        <f>HYPERLINK("https://my.pitchbook.com?c=96840-46", "View company online")</f>
      </c>
    </row>
    <row r="742">
      <c r="A742" s="25" t="inlineStr">
        <is>
          <t>171637-03</t>
        </is>
      </c>
      <c r="B742" s="26" t="inlineStr">
        <is>
          <t>ThinkFit</t>
        </is>
      </c>
      <c r="C742" s="27" t="inlineStr">
        <is>
          <t/>
        </is>
      </c>
      <c r="D742" s="28" t="inlineStr">
        <is>
          <t/>
        </is>
      </c>
      <c r="E742" s="29" t="inlineStr">
        <is>
          <t/>
        </is>
      </c>
      <c r="F742" s="30" t="inlineStr">
        <is>
          <t/>
        </is>
      </c>
      <c r="G742" s="31" t="inlineStr">
        <is>
          <t/>
        </is>
      </c>
      <c r="H742" s="32" t="inlineStr">
        <is>
          <t/>
        </is>
      </c>
      <c r="I742" s="33" t="inlineStr">
        <is>
          <t/>
        </is>
      </c>
      <c r="J742" s="34" t="inlineStr">
        <is>
          <t/>
        </is>
      </c>
      <c r="K742" s="35" t="inlineStr">
        <is>
          <t>Privately Held (backing)</t>
        </is>
      </c>
      <c r="L742" s="36" t="inlineStr">
        <is>
          <t>Accelerator/Incubator Backed</t>
        </is>
      </c>
      <c r="M742" s="37" t="inlineStr">
        <is>
          <t/>
        </is>
      </c>
      <c r="N742" s="38" t="inlineStr">
        <is>
          <t>Accelerator/Incubator</t>
        </is>
      </c>
      <c r="O742" s="39" t="inlineStr">
        <is>
          <t/>
        </is>
      </c>
      <c r="P742" s="102">
        <f>HYPERLINK("https://my.pitchbook.com?c=171637-03", "View company online")</f>
      </c>
    </row>
    <row r="743">
      <c r="A743" s="9" t="inlineStr">
        <is>
          <t>95586-22</t>
        </is>
      </c>
      <c r="B743" s="10" t="inlineStr">
        <is>
          <t>ThinkApps</t>
        </is>
      </c>
      <c r="C743" s="11" t="inlineStr">
        <is>
          <t/>
        </is>
      </c>
      <c r="D743" s="12" t="inlineStr">
        <is>
          <t/>
        </is>
      </c>
      <c r="E743" s="13" t="inlineStr">
        <is>
          <t/>
        </is>
      </c>
      <c r="F743" s="14" t="inlineStr">
        <is>
          <t/>
        </is>
      </c>
      <c r="G743" s="15" t="inlineStr">
        <is>
          <t/>
        </is>
      </c>
      <c r="H743" s="16" t="inlineStr">
        <is>
          <t/>
        </is>
      </c>
      <c r="I743" s="17" t="inlineStr">
        <is>
          <t/>
        </is>
      </c>
      <c r="J743" s="18" t="inlineStr">
        <is>
          <t/>
        </is>
      </c>
      <c r="K743" s="19" t="inlineStr">
        <is>
          <t>Privately Held (backing)</t>
        </is>
      </c>
      <c r="L743" s="20" t="inlineStr">
        <is>
          <t>Accelerator/Incubator Backed</t>
        </is>
      </c>
      <c r="M743" s="21" t="inlineStr">
        <is>
          <t/>
        </is>
      </c>
      <c r="N743" s="22" t="inlineStr">
        <is>
          <t>Accelerator/Incubator</t>
        </is>
      </c>
      <c r="O743" s="23" t="inlineStr">
        <is>
          <t/>
        </is>
      </c>
      <c r="P743" s="101">
        <f>HYPERLINK("https://my.pitchbook.com?c=95586-22", "View company online")</f>
      </c>
    </row>
    <row r="744">
      <c r="A744" s="25" t="inlineStr">
        <is>
          <t>112825-81</t>
        </is>
      </c>
      <c r="B744" s="26" t="inlineStr">
        <is>
          <t>Think Spider</t>
        </is>
      </c>
      <c r="C744" s="27" t="inlineStr">
        <is>
          <t/>
        </is>
      </c>
      <c r="D744" s="28" t="inlineStr">
        <is>
          <t/>
        </is>
      </c>
      <c r="E744" s="29" t="inlineStr">
        <is>
          <t/>
        </is>
      </c>
      <c r="F744" s="30" t="inlineStr">
        <is>
          <t/>
        </is>
      </c>
      <c r="G744" s="31" t="inlineStr">
        <is>
          <t/>
        </is>
      </c>
      <c r="H744" s="32" t="inlineStr">
        <is>
          <t/>
        </is>
      </c>
      <c r="I744" s="33" t="inlineStr">
        <is>
          <t/>
        </is>
      </c>
      <c r="J744" s="34" t="inlineStr">
        <is>
          <t/>
        </is>
      </c>
      <c r="K744" s="35" t="inlineStr">
        <is>
          <t>Privately Held (backing)</t>
        </is>
      </c>
      <c r="L744" s="36" t="inlineStr">
        <is>
          <t>Accelerator/Incubator Backed</t>
        </is>
      </c>
      <c r="M744" s="37" t="n">
        <v>42522.0</v>
      </c>
      <c r="N744" s="38" t="inlineStr">
        <is>
          <t>Angel (individual)</t>
        </is>
      </c>
      <c r="O744" s="39" t="inlineStr">
        <is>
          <t/>
        </is>
      </c>
      <c r="P744" s="102">
        <f>HYPERLINK("https://my.pitchbook.com?c=112825-81", "View company online")</f>
      </c>
    </row>
    <row r="745">
      <c r="A745" s="9" t="inlineStr">
        <is>
          <t>168523-39</t>
        </is>
      </c>
      <c r="B745" s="10" t="inlineStr">
        <is>
          <t>Think Rich Films</t>
        </is>
      </c>
      <c r="C745" s="11" t="inlineStr">
        <is>
          <t/>
        </is>
      </c>
      <c r="D745" s="12" t="inlineStr">
        <is>
          <t/>
        </is>
      </c>
      <c r="E745" s="13" t="inlineStr">
        <is>
          <t/>
        </is>
      </c>
      <c r="F745" s="14" t="inlineStr">
        <is>
          <t/>
        </is>
      </c>
      <c r="G745" s="15" t="inlineStr">
        <is>
          <t/>
        </is>
      </c>
      <c r="H745" s="16" t="inlineStr">
        <is>
          <t/>
        </is>
      </c>
      <c r="I745" s="17" t="inlineStr">
        <is>
          <t/>
        </is>
      </c>
      <c r="J745" s="18" t="inlineStr">
        <is>
          <t/>
        </is>
      </c>
      <c r="K745" s="19" t="inlineStr">
        <is>
          <t>Privately Held (backing)</t>
        </is>
      </c>
      <c r="L745" s="20" t="inlineStr">
        <is>
          <t>Angel-Backed</t>
        </is>
      </c>
      <c r="M745" s="21" t="n">
        <v>42693.0</v>
      </c>
      <c r="N745" s="22" t="inlineStr">
        <is>
          <t>Product Crowdfunding</t>
        </is>
      </c>
      <c r="O745" s="23" t="n">
        <v>0.36</v>
      </c>
      <c r="P745" s="101">
        <f>HYPERLINK("https://my.pitchbook.com?c=168523-39", "View company online")</f>
      </c>
    </row>
    <row r="746">
      <c r="A746" s="25" t="inlineStr">
        <is>
          <t>90800-65</t>
        </is>
      </c>
      <c r="B746" s="26" t="inlineStr">
        <is>
          <t>Think Now</t>
        </is>
      </c>
      <c r="C746" s="27" t="inlineStr">
        <is>
          <t/>
        </is>
      </c>
      <c r="D746" s="28" t="inlineStr">
        <is>
          <t/>
        </is>
      </c>
      <c r="E746" s="29" t="inlineStr">
        <is>
          <t/>
        </is>
      </c>
      <c r="F746" s="30" t="inlineStr">
        <is>
          <t/>
        </is>
      </c>
      <c r="G746" s="31" t="inlineStr">
        <is>
          <t/>
        </is>
      </c>
      <c r="H746" s="32" t="inlineStr">
        <is>
          <t/>
        </is>
      </c>
      <c r="I746" s="33" t="inlineStr">
        <is>
          <t/>
        </is>
      </c>
      <c r="J746" s="34" t="inlineStr">
        <is>
          <t/>
        </is>
      </c>
      <c r="K746" s="35" t="inlineStr">
        <is>
          <t>Privately Held (backing)</t>
        </is>
      </c>
      <c r="L746" s="36" t="inlineStr">
        <is>
          <t>Angel-Backed</t>
        </is>
      </c>
      <c r="M746" s="37" t="n">
        <v>42064.0</v>
      </c>
      <c r="N746" s="38" t="inlineStr">
        <is>
          <t>Grant</t>
        </is>
      </c>
      <c r="O746" s="39" t="inlineStr">
        <is>
          <t/>
        </is>
      </c>
      <c r="P746" s="102">
        <f>HYPERLINK("https://my.pitchbook.com?c=90800-65", "View company online")</f>
      </c>
    </row>
    <row r="747">
      <c r="A747" s="9" t="inlineStr">
        <is>
          <t>111799-99</t>
        </is>
      </c>
      <c r="B747" s="10" t="inlineStr">
        <is>
          <t>Thington</t>
        </is>
      </c>
      <c r="C747" s="11" t="inlineStr">
        <is>
          <t/>
        </is>
      </c>
      <c r="D747" s="12" t="inlineStr">
        <is>
          <t/>
        </is>
      </c>
      <c r="E747" s="13" t="inlineStr">
        <is>
          <t/>
        </is>
      </c>
      <c r="F747" s="14" t="inlineStr">
        <is>
          <t/>
        </is>
      </c>
      <c r="G747" s="15" t="inlineStr">
        <is>
          <t/>
        </is>
      </c>
      <c r="H747" s="16" t="inlineStr">
        <is>
          <t/>
        </is>
      </c>
      <c r="I747" s="17" t="inlineStr">
        <is>
          <t/>
        </is>
      </c>
      <c r="J747" s="18" t="inlineStr">
        <is>
          <t/>
        </is>
      </c>
      <c r="K747" s="19" t="inlineStr">
        <is>
          <t>Privately Held (backing)</t>
        </is>
      </c>
      <c r="L747" s="20" t="inlineStr">
        <is>
          <t>Angel-Backed</t>
        </is>
      </c>
      <c r="M747" s="21" t="n">
        <v>42110.0</v>
      </c>
      <c r="N747" s="22" t="inlineStr">
        <is>
          <t>Early Stage VC</t>
        </is>
      </c>
      <c r="O747" s="23" t="inlineStr">
        <is>
          <t/>
        </is>
      </c>
      <c r="P747" s="101">
        <f>HYPERLINK("https://my.pitchbook.com?c=111799-99", "View company online")</f>
      </c>
    </row>
    <row r="748">
      <c r="A748" s="25" t="inlineStr">
        <is>
          <t>118552-51</t>
        </is>
      </c>
      <c r="B748" s="26" t="inlineStr">
        <is>
          <t>Thing Tank</t>
        </is>
      </c>
      <c r="C748" s="27" t="inlineStr">
        <is>
          <t/>
        </is>
      </c>
      <c r="D748" s="28" t="inlineStr">
        <is>
          <t/>
        </is>
      </c>
      <c r="E748" s="29" t="inlineStr">
        <is>
          <t/>
        </is>
      </c>
      <c r="F748" s="30" t="inlineStr">
        <is>
          <t/>
        </is>
      </c>
      <c r="G748" s="31" t="inlineStr">
        <is>
          <t/>
        </is>
      </c>
      <c r="H748" s="32" t="inlineStr">
        <is>
          <t/>
        </is>
      </c>
      <c r="I748" s="33" t="inlineStr">
        <is>
          <t/>
        </is>
      </c>
      <c r="J748" s="34" t="inlineStr">
        <is>
          <t/>
        </is>
      </c>
      <c r="K748" s="35" t="inlineStr">
        <is>
          <t>Privately Held (backing)</t>
        </is>
      </c>
      <c r="L748" s="36" t="inlineStr">
        <is>
          <t>Accelerator/Incubator Backed</t>
        </is>
      </c>
      <c r="M748" s="37" t="n">
        <v>41640.0</v>
      </c>
      <c r="N748" s="38" t="inlineStr">
        <is>
          <t>Accelerator/Incubator</t>
        </is>
      </c>
      <c r="O748" s="39" t="inlineStr">
        <is>
          <t/>
        </is>
      </c>
      <c r="P748" s="102">
        <f>HYPERLINK("https://my.pitchbook.com?c=118552-51", "View company online")</f>
      </c>
    </row>
    <row r="749">
      <c r="A749" s="9" t="inlineStr">
        <is>
          <t>108962-74</t>
        </is>
      </c>
      <c r="B749" s="10" t="inlineStr">
        <is>
          <t>Thermodo</t>
        </is>
      </c>
      <c r="C749" s="11" t="inlineStr">
        <is>
          <t/>
        </is>
      </c>
      <c r="D749" s="12" t="inlineStr">
        <is>
          <t/>
        </is>
      </c>
      <c r="E749" s="13" t="inlineStr">
        <is>
          <t/>
        </is>
      </c>
      <c r="F749" s="14" t="inlineStr">
        <is>
          <t/>
        </is>
      </c>
      <c r="G749" s="15" t="inlineStr">
        <is>
          <t/>
        </is>
      </c>
      <c r="H749" s="16" t="inlineStr">
        <is>
          <t/>
        </is>
      </c>
      <c r="I749" s="17" t="inlineStr">
        <is>
          <t/>
        </is>
      </c>
      <c r="J749" s="18" t="inlineStr">
        <is>
          <t/>
        </is>
      </c>
      <c r="K749" s="19" t="inlineStr">
        <is>
          <t>Privately Held (backing)</t>
        </is>
      </c>
      <c r="L749" s="20" t="inlineStr">
        <is>
          <t>Accelerator/Incubator Backed</t>
        </is>
      </c>
      <c r="M749" s="21" t="n">
        <v>42005.0</v>
      </c>
      <c r="N749" s="22" t="inlineStr">
        <is>
          <t>Accelerator/Incubator</t>
        </is>
      </c>
      <c r="O749" s="23" t="inlineStr">
        <is>
          <t/>
        </is>
      </c>
      <c r="P749" s="101">
        <f>HYPERLINK("https://my.pitchbook.com?c=108962-74", "View company online")</f>
      </c>
    </row>
    <row r="750">
      <c r="A750" s="25" t="inlineStr">
        <is>
          <t>176448-25</t>
        </is>
      </c>
      <c r="B750" s="26" t="inlineStr">
        <is>
          <t>TheRightMargin</t>
        </is>
      </c>
      <c r="C750" s="78">
        <f>HYPERLINK("https://my.pitchbook.com?rrp=176448-25&amp;type=c", "This Company's information is not available to download. Need this Company? Request availability")</f>
      </c>
      <c r="D750" s="28" t="inlineStr">
        <is>
          <t/>
        </is>
      </c>
      <c r="E750" s="29" t="inlineStr">
        <is>
          <t/>
        </is>
      </c>
      <c r="F750" s="30" t="inlineStr">
        <is>
          <t/>
        </is>
      </c>
      <c r="G750" s="31" t="inlineStr">
        <is>
          <t/>
        </is>
      </c>
      <c r="H750" s="32" t="inlineStr">
        <is>
          <t/>
        </is>
      </c>
      <c r="I750" s="33" t="inlineStr">
        <is>
          <t/>
        </is>
      </c>
      <c r="J750" s="34" t="inlineStr">
        <is>
          <t/>
        </is>
      </c>
      <c r="K750" s="35" t="inlineStr">
        <is>
          <t/>
        </is>
      </c>
      <c r="L750" s="36" t="inlineStr">
        <is>
          <t/>
        </is>
      </c>
      <c r="M750" s="37" t="inlineStr">
        <is>
          <t/>
        </is>
      </c>
      <c r="N750" s="38" t="inlineStr">
        <is>
          <t/>
        </is>
      </c>
      <c r="O750" s="39" t="inlineStr">
        <is>
          <t/>
        </is>
      </c>
      <c r="P750" s="40" t="inlineStr">
        <is>
          <t/>
        </is>
      </c>
    </row>
    <row r="751">
      <c r="A751" s="9" t="inlineStr">
        <is>
          <t>92896-39</t>
        </is>
      </c>
      <c r="B751" s="10" t="inlineStr">
        <is>
          <t>Theragene Pharmaceuticals</t>
        </is>
      </c>
      <c r="C751" s="11" t="inlineStr">
        <is>
          <t/>
        </is>
      </c>
      <c r="D751" s="12" t="inlineStr">
        <is>
          <t/>
        </is>
      </c>
      <c r="E751" s="13" t="inlineStr">
        <is>
          <t/>
        </is>
      </c>
      <c r="F751" s="14" t="inlineStr">
        <is>
          <t/>
        </is>
      </c>
      <c r="G751" s="15" t="inlineStr">
        <is>
          <t/>
        </is>
      </c>
      <c r="H751" s="16" t="inlineStr">
        <is>
          <t/>
        </is>
      </c>
      <c r="I751" s="17" t="inlineStr">
        <is>
          <t/>
        </is>
      </c>
      <c r="J751" s="18" t="inlineStr">
        <is>
          <t/>
        </is>
      </c>
      <c r="K751" s="19" t="inlineStr">
        <is>
          <t>Privately Held (backing)</t>
        </is>
      </c>
      <c r="L751" s="20" t="inlineStr">
        <is>
          <t>Angel-Backed</t>
        </is>
      </c>
      <c r="M751" s="21" t="n">
        <v>42227.0</v>
      </c>
      <c r="N751" s="22" t="inlineStr">
        <is>
          <t>Angel (individual)</t>
        </is>
      </c>
      <c r="O751" s="23" t="n">
        <v>0.2</v>
      </c>
      <c r="P751" s="101">
        <f>HYPERLINK("https://my.pitchbook.com?c=92896-39", "View company online")</f>
      </c>
    </row>
    <row r="752">
      <c r="A752" s="25" t="inlineStr">
        <is>
          <t>94310-92</t>
        </is>
      </c>
      <c r="B752" s="26" t="inlineStr">
        <is>
          <t>TheraCell</t>
        </is>
      </c>
      <c r="C752" s="27" t="inlineStr">
        <is>
          <t/>
        </is>
      </c>
      <c r="D752" s="28" t="inlineStr">
        <is>
          <t/>
        </is>
      </c>
      <c r="E752" s="29" t="inlineStr">
        <is>
          <t/>
        </is>
      </c>
      <c r="F752" s="30" t="inlineStr">
        <is>
          <t/>
        </is>
      </c>
      <c r="G752" s="31" t="inlineStr">
        <is>
          <t/>
        </is>
      </c>
      <c r="H752" s="32" t="inlineStr">
        <is>
          <t/>
        </is>
      </c>
      <c r="I752" s="33" t="inlineStr">
        <is>
          <t/>
        </is>
      </c>
      <c r="J752" s="34" t="inlineStr">
        <is>
          <t/>
        </is>
      </c>
      <c r="K752" s="35" t="inlineStr">
        <is>
          <t>Privately Held (backing)</t>
        </is>
      </c>
      <c r="L752" s="36" t="inlineStr">
        <is>
          <t>Angel-Backed</t>
        </is>
      </c>
      <c r="M752" s="37" t="n">
        <v>42157.0</v>
      </c>
      <c r="N752" s="38" t="inlineStr">
        <is>
          <t>Angel (individual)</t>
        </is>
      </c>
      <c r="O752" s="39" t="n">
        <v>1.74</v>
      </c>
      <c r="P752" s="102">
        <f>HYPERLINK("https://my.pitchbook.com?c=94310-92", "View company online")</f>
      </c>
    </row>
    <row r="753">
      <c r="A753" s="9" t="inlineStr">
        <is>
          <t>160116-58</t>
        </is>
      </c>
      <c r="B753" s="10" t="inlineStr">
        <is>
          <t>Theracaine</t>
        </is>
      </c>
      <c r="C753" s="11" t="inlineStr">
        <is>
          <t/>
        </is>
      </c>
      <c r="D753" s="12" t="inlineStr">
        <is>
          <t/>
        </is>
      </c>
      <c r="E753" s="13" t="inlineStr">
        <is>
          <t/>
        </is>
      </c>
      <c r="F753" s="14" t="inlineStr">
        <is>
          <t/>
        </is>
      </c>
      <c r="G753" s="15" t="inlineStr">
        <is>
          <t/>
        </is>
      </c>
      <c r="H753" s="16" t="inlineStr">
        <is>
          <t/>
        </is>
      </c>
      <c r="I753" s="17" t="inlineStr">
        <is>
          <t/>
        </is>
      </c>
      <c r="J753" s="18" t="inlineStr">
        <is>
          <t/>
        </is>
      </c>
      <c r="K753" s="19" t="inlineStr">
        <is>
          <t>Privately Held (backing)</t>
        </is>
      </c>
      <c r="L753" s="20" t="inlineStr">
        <is>
          <t>Angel-Backed</t>
        </is>
      </c>
      <c r="M753" s="21" t="n">
        <v>42513.0</v>
      </c>
      <c r="N753" s="22" t="inlineStr">
        <is>
          <t>Angel (individual)</t>
        </is>
      </c>
      <c r="O753" s="23" t="n">
        <v>1.35</v>
      </c>
      <c r="P753" s="101">
        <f>HYPERLINK("https://my.pitchbook.com?c=160116-58", "View company online")</f>
      </c>
    </row>
    <row r="754">
      <c r="A754" s="25" t="inlineStr">
        <is>
          <t>103178-62</t>
        </is>
      </c>
      <c r="B754" s="26" t="inlineStr">
        <is>
          <t>TheraBiologics</t>
        </is>
      </c>
      <c r="C754" s="27" t="inlineStr">
        <is>
          <t/>
        </is>
      </c>
      <c r="D754" s="28" t="inlineStr">
        <is>
          <t/>
        </is>
      </c>
      <c r="E754" s="29" t="inlineStr">
        <is>
          <t/>
        </is>
      </c>
      <c r="F754" s="30" t="inlineStr">
        <is>
          <t/>
        </is>
      </c>
      <c r="G754" s="31" t="inlineStr">
        <is>
          <t/>
        </is>
      </c>
      <c r="H754" s="32" t="inlineStr">
        <is>
          <t/>
        </is>
      </c>
      <c r="I754" s="33" t="inlineStr">
        <is>
          <t/>
        </is>
      </c>
      <c r="J754" s="34" t="inlineStr">
        <is>
          <t/>
        </is>
      </c>
      <c r="K754" s="35" t="inlineStr">
        <is>
          <t>Privately Held (backing)</t>
        </is>
      </c>
      <c r="L754" s="36" t="inlineStr">
        <is>
          <t>Angel-Backed</t>
        </is>
      </c>
      <c r="M754" s="37" t="inlineStr">
        <is>
          <t/>
        </is>
      </c>
      <c r="N754" s="38" t="inlineStr">
        <is>
          <t>Grant</t>
        </is>
      </c>
      <c r="O754" s="39" t="n">
        <v>28.0</v>
      </c>
      <c r="P754" s="102">
        <f>HYPERLINK("https://my.pitchbook.com?c=103178-62", "View company online")</f>
      </c>
    </row>
    <row r="755">
      <c r="A755" s="9" t="inlineStr">
        <is>
          <t>90114-67</t>
        </is>
      </c>
      <c r="B755" s="10" t="inlineStr">
        <is>
          <t>Therabiol</t>
        </is>
      </c>
      <c r="C755" s="11" t="inlineStr">
        <is>
          <t/>
        </is>
      </c>
      <c r="D755" s="12" t="inlineStr">
        <is>
          <t/>
        </is>
      </c>
      <c r="E755" s="13" t="inlineStr">
        <is>
          <t/>
        </is>
      </c>
      <c r="F755" s="14" t="inlineStr">
        <is>
          <t/>
        </is>
      </c>
      <c r="G755" s="15" t="inlineStr">
        <is>
          <t/>
        </is>
      </c>
      <c r="H755" s="16" t="inlineStr">
        <is>
          <t/>
        </is>
      </c>
      <c r="I755" s="17" t="inlineStr">
        <is>
          <t/>
        </is>
      </c>
      <c r="J755" s="18" t="inlineStr">
        <is>
          <t/>
        </is>
      </c>
      <c r="K755" s="19" t="inlineStr">
        <is>
          <t>Privately Held (backing)</t>
        </is>
      </c>
      <c r="L755" s="20" t="inlineStr">
        <is>
          <t>Accelerator/Incubator Backed</t>
        </is>
      </c>
      <c r="M755" s="21" t="n">
        <v>41640.0</v>
      </c>
      <c r="N755" s="22" t="inlineStr">
        <is>
          <t>Accelerator/Incubator</t>
        </is>
      </c>
      <c r="O755" s="23" t="inlineStr">
        <is>
          <t/>
        </is>
      </c>
      <c r="P755" s="101">
        <f>HYPERLINK("https://my.pitchbook.com?c=90114-67", "View company online")</f>
      </c>
    </row>
    <row r="756">
      <c r="A756" s="25" t="inlineStr">
        <is>
          <t>103178-53</t>
        </is>
      </c>
      <c r="B756" s="26" t="inlineStr">
        <is>
          <t>Theo</t>
        </is>
      </c>
      <c r="C756" s="27" t="inlineStr">
        <is>
          <t/>
        </is>
      </c>
      <c r="D756" s="28" t="inlineStr">
        <is>
          <t/>
        </is>
      </c>
      <c r="E756" s="29" t="inlineStr">
        <is>
          <t/>
        </is>
      </c>
      <c r="F756" s="30" t="inlineStr">
        <is>
          <t/>
        </is>
      </c>
      <c r="G756" s="31" t="inlineStr">
        <is>
          <t/>
        </is>
      </c>
      <c r="H756" s="32" t="inlineStr">
        <is>
          <t/>
        </is>
      </c>
      <c r="I756" s="33" t="inlineStr">
        <is>
          <t/>
        </is>
      </c>
      <c r="J756" s="34" t="inlineStr">
        <is>
          <t/>
        </is>
      </c>
      <c r="K756" s="35" t="inlineStr">
        <is>
          <t>Privately Held (backing)</t>
        </is>
      </c>
      <c r="L756" s="36" t="inlineStr">
        <is>
          <t>Accelerator/Incubator Backed</t>
        </is>
      </c>
      <c r="M756" s="37" t="n">
        <v>42565.0</v>
      </c>
      <c r="N756" s="38" t="inlineStr">
        <is>
          <t>Angel (individual)</t>
        </is>
      </c>
      <c r="O756" s="39" t="n">
        <v>1.09</v>
      </c>
      <c r="P756" s="102">
        <f>HYPERLINK("https://my.pitchbook.com?c=103178-53", "View company online")</f>
      </c>
    </row>
    <row r="757">
      <c r="A757" s="9" t="inlineStr">
        <is>
          <t>163506-07</t>
        </is>
      </c>
      <c r="B757" s="10" t="inlineStr">
        <is>
          <t>TheMetaverseChannel</t>
        </is>
      </c>
      <c r="C757" s="11" t="inlineStr">
        <is>
          <t/>
        </is>
      </c>
      <c r="D757" s="12" t="inlineStr">
        <is>
          <t/>
        </is>
      </c>
      <c r="E757" s="13" t="inlineStr">
        <is>
          <t/>
        </is>
      </c>
      <c r="F757" s="14" t="inlineStr">
        <is>
          <t/>
        </is>
      </c>
      <c r="G757" s="15" t="inlineStr">
        <is>
          <t/>
        </is>
      </c>
      <c r="H757" s="16" t="inlineStr">
        <is>
          <t/>
        </is>
      </c>
      <c r="I757" s="17" t="inlineStr">
        <is>
          <t/>
        </is>
      </c>
      <c r="J757" s="18" t="inlineStr">
        <is>
          <t/>
        </is>
      </c>
      <c r="K757" s="19" t="inlineStr">
        <is>
          <t>Privately Held (backing)</t>
        </is>
      </c>
      <c r="L757" s="20" t="inlineStr">
        <is>
          <t>Accelerator/Incubator Backed</t>
        </is>
      </c>
      <c r="M757" s="21" t="n">
        <v>42583.0</v>
      </c>
      <c r="N757" s="22" t="inlineStr">
        <is>
          <t>Accelerator/Incubator</t>
        </is>
      </c>
      <c r="O757" s="23" t="inlineStr">
        <is>
          <t/>
        </is>
      </c>
      <c r="P757" s="101">
        <f>HYPERLINK("https://my.pitchbook.com?c=163506-07", "View company online")</f>
      </c>
    </row>
    <row r="758">
      <c r="A758" s="25" t="inlineStr">
        <is>
          <t>180358-39</t>
        </is>
      </c>
      <c r="B758" s="26" t="inlineStr">
        <is>
          <t>TheHintBox!</t>
        </is>
      </c>
      <c r="C758" s="78">
        <f>HYPERLINK("https://my.pitchbook.com?rrp=180358-39&amp;type=c", "This Company's information is not available to download. Need this Company? Request availability")</f>
      </c>
      <c r="D758" s="28" t="inlineStr">
        <is>
          <t/>
        </is>
      </c>
      <c r="E758" s="29" t="inlineStr">
        <is>
          <t/>
        </is>
      </c>
      <c r="F758" s="30" t="inlineStr">
        <is>
          <t/>
        </is>
      </c>
      <c r="G758" s="31" t="inlineStr">
        <is>
          <t/>
        </is>
      </c>
      <c r="H758" s="32" t="inlineStr">
        <is>
          <t/>
        </is>
      </c>
      <c r="I758" s="33" t="inlineStr">
        <is>
          <t/>
        </is>
      </c>
      <c r="J758" s="34" t="inlineStr">
        <is>
          <t/>
        </is>
      </c>
      <c r="K758" s="35" t="inlineStr">
        <is>
          <t/>
        </is>
      </c>
      <c r="L758" s="36" t="inlineStr">
        <is>
          <t/>
        </is>
      </c>
      <c r="M758" s="37" t="inlineStr">
        <is>
          <t/>
        </is>
      </c>
      <c r="N758" s="38" t="inlineStr">
        <is>
          <t/>
        </is>
      </c>
      <c r="O758" s="39" t="inlineStr">
        <is>
          <t/>
        </is>
      </c>
      <c r="P758" s="40" t="inlineStr">
        <is>
          <t/>
        </is>
      </c>
    </row>
    <row r="759">
      <c r="A759" s="9" t="inlineStr">
        <is>
          <t>95197-51</t>
        </is>
      </c>
      <c r="B759" s="10" t="inlineStr">
        <is>
          <t>TheBankCloud</t>
        </is>
      </c>
      <c r="C759" s="11" t="inlineStr">
        <is>
          <t/>
        </is>
      </c>
      <c r="D759" s="12" t="inlineStr">
        <is>
          <t/>
        </is>
      </c>
      <c r="E759" s="13" t="inlineStr">
        <is>
          <t/>
        </is>
      </c>
      <c r="F759" s="14" t="inlineStr">
        <is>
          <t/>
        </is>
      </c>
      <c r="G759" s="15" t="inlineStr">
        <is>
          <t/>
        </is>
      </c>
      <c r="H759" s="16" t="inlineStr">
        <is>
          <t/>
        </is>
      </c>
      <c r="I759" s="17" t="inlineStr">
        <is>
          <t/>
        </is>
      </c>
      <c r="J759" s="18" t="inlineStr">
        <is>
          <t/>
        </is>
      </c>
      <c r="K759" s="19" t="inlineStr">
        <is>
          <t>Privately Held (backing)</t>
        </is>
      </c>
      <c r="L759" s="20" t="inlineStr">
        <is>
          <t>Accelerator/Incubator Backed</t>
        </is>
      </c>
      <c r="M759" s="21" t="n">
        <v>41553.0</v>
      </c>
      <c r="N759" s="22" t="inlineStr">
        <is>
          <t>Debt - General</t>
        </is>
      </c>
      <c r="O759" s="23" t="n">
        <v>2.0</v>
      </c>
      <c r="P759" s="101">
        <f>HYPERLINK("https://my.pitchbook.com?c=95197-51", "View company online")</f>
      </c>
    </row>
    <row r="760">
      <c r="A760" s="25" t="inlineStr">
        <is>
          <t>62424-91</t>
        </is>
      </c>
      <c r="B760" s="26" t="inlineStr">
        <is>
          <t>The Young Turks</t>
        </is>
      </c>
      <c r="C760" s="27" t="inlineStr">
        <is>
          <t/>
        </is>
      </c>
      <c r="D760" s="28" t="inlineStr">
        <is>
          <t/>
        </is>
      </c>
      <c r="E760" s="29" t="inlineStr">
        <is>
          <t>FY 2013</t>
        </is>
      </c>
      <c r="F760" s="30" t="n">
        <v>4.2</v>
      </c>
      <c r="G760" s="31" t="inlineStr">
        <is>
          <t/>
        </is>
      </c>
      <c r="H760" s="32" t="inlineStr">
        <is>
          <t/>
        </is>
      </c>
      <c r="I760" s="33" t="inlineStr">
        <is>
          <t/>
        </is>
      </c>
      <c r="J760" s="34" t="inlineStr">
        <is>
          <t/>
        </is>
      </c>
      <c r="K760" s="35" t="inlineStr">
        <is>
          <t>Privately Held (backing)</t>
        </is>
      </c>
      <c r="L760" s="36" t="inlineStr">
        <is>
          <t>Angel-Backed</t>
        </is>
      </c>
      <c r="M760" s="37" t="n">
        <v>42338.0</v>
      </c>
      <c r="N760" s="38" t="inlineStr">
        <is>
          <t>Angel (individual)</t>
        </is>
      </c>
      <c r="O760" s="39" t="n">
        <v>3.25</v>
      </c>
      <c r="P760" s="102">
        <f>HYPERLINK("https://my.pitchbook.com?c=62424-91", "View company online")</f>
      </c>
    </row>
    <row r="761">
      <c r="A761" s="9" t="inlineStr">
        <is>
          <t>156501-28</t>
        </is>
      </c>
      <c r="B761" s="10" t="inlineStr">
        <is>
          <t>The Worldwide Exchange</t>
        </is>
      </c>
      <c r="C761" s="11" t="inlineStr">
        <is>
          <t/>
        </is>
      </c>
      <c r="D761" s="12" t="inlineStr">
        <is>
          <t/>
        </is>
      </c>
      <c r="E761" s="13" t="inlineStr">
        <is>
          <t/>
        </is>
      </c>
      <c r="F761" s="14" t="inlineStr">
        <is>
          <t/>
        </is>
      </c>
      <c r="G761" s="15" t="inlineStr">
        <is>
          <t/>
        </is>
      </c>
      <c r="H761" s="16" t="inlineStr">
        <is>
          <t/>
        </is>
      </c>
      <c r="I761" s="17" t="inlineStr">
        <is>
          <t/>
        </is>
      </c>
      <c r="J761" s="18" t="inlineStr">
        <is>
          <t/>
        </is>
      </c>
      <c r="K761" s="19" t="inlineStr">
        <is>
          <t>Privately Held (backing)</t>
        </is>
      </c>
      <c r="L761" s="20" t="inlineStr">
        <is>
          <t>Angel-Backed</t>
        </is>
      </c>
      <c r="M761" s="21" t="n">
        <v>42724.0</v>
      </c>
      <c r="N761" s="22" t="inlineStr">
        <is>
          <t>Angel (individual)</t>
        </is>
      </c>
      <c r="O761" s="23" t="inlineStr">
        <is>
          <t/>
        </is>
      </c>
      <c r="P761" s="101">
        <f>HYPERLINK("https://my.pitchbook.com?c=156501-28", "View company online")</f>
      </c>
    </row>
    <row r="762">
      <c r="A762" s="25" t="inlineStr">
        <is>
          <t>119961-82</t>
        </is>
      </c>
      <c r="B762" s="26" t="inlineStr">
        <is>
          <t>The Town Kitchen</t>
        </is>
      </c>
      <c r="C762" s="27" t="inlineStr">
        <is>
          <t/>
        </is>
      </c>
      <c r="D762" s="28" t="inlineStr">
        <is>
          <t/>
        </is>
      </c>
      <c r="E762" s="29" t="inlineStr">
        <is>
          <t/>
        </is>
      </c>
      <c r="F762" s="30" t="inlineStr">
        <is>
          <t/>
        </is>
      </c>
      <c r="G762" s="31" t="inlineStr">
        <is>
          <t/>
        </is>
      </c>
      <c r="H762" s="32" t="inlineStr">
        <is>
          <t/>
        </is>
      </c>
      <c r="I762" s="33" t="inlineStr">
        <is>
          <t/>
        </is>
      </c>
      <c r="J762" s="34" t="inlineStr">
        <is>
          <t/>
        </is>
      </c>
      <c r="K762" s="35" t="inlineStr">
        <is>
          <t>Privately Held (backing)</t>
        </is>
      </c>
      <c r="L762" s="36" t="inlineStr">
        <is>
          <t>Accelerator/Incubator Backed</t>
        </is>
      </c>
      <c r="M762" s="37" t="n">
        <v>42874.0</v>
      </c>
      <c r="N762" s="38" t="inlineStr">
        <is>
          <t>Angel (individual)</t>
        </is>
      </c>
      <c r="O762" s="39" t="n">
        <v>0.6</v>
      </c>
      <c r="P762" s="102">
        <f>HYPERLINK("https://my.pitchbook.com?c=119961-82", "View company online")</f>
      </c>
    </row>
    <row r="763">
      <c r="A763" s="9" t="inlineStr">
        <is>
          <t>109002-25</t>
        </is>
      </c>
      <c r="B763" s="10" t="inlineStr">
        <is>
          <t>The Swatch Box</t>
        </is>
      </c>
      <c r="C763" s="11" t="inlineStr">
        <is>
          <t/>
        </is>
      </c>
      <c r="D763" s="12" t="inlineStr">
        <is>
          <t/>
        </is>
      </c>
      <c r="E763" s="13" t="inlineStr">
        <is>
          <t/>
        </is>
      </c>
      <c r="F763" s="14" t="inlineStr">
        <is>
          <t/>
        </is>
      </c>
      <c r="G763" s="15" t="inlineStr">
        <is>
          <t/>
        </is>
      </c>
      <c r="H763" s="16" t="inlineStr">
        <is>
          <t/>
        </is>
      </c>
      <c r="I763" s="17" t="inlineStr">
        <is>
          <t/>
        </is>
      </c>
      <c r="J763" s="18" t="inlineStr">
        <is>
          <t/>
        </is>
      </c>
      <c r="K763" s="19" t="inlineStr">
        <is>
          <t>Privately Held (backing)</t>
        </is>
      </c>
      <c r="L763" s="20" t="inlineStr">
        <is>
          <t>Angel-Backed</t>
        </is>
      </c>
      <c r="M763" s="21" t="n">
        <v>42156.0</v>
      </c>
      <c r="N763" s="22" t="inlineStr">
        <is>
          <t>Seed Round</t>
        </is>
      </c>
      <c r="O763" s="23" t="n">
        <v>0.15</v>
      </c>
      <c r="P763" s="101">
        <f>HYPERLINK("https://my.pitchbook.com?c=109002-25", "View company online")</f>
      </c>
    </row>
    <row r="764">
      <c r="A764" s="25" t="inlineStr">
        <is>
          <t>54885-07</t>
        </is>
      </c>
      <c r="B764" s="26" t="inlineStr">
        <is>
          <t>The Style Club</t>
        </is>
      </c>
      <c r="C764" s="27" t="inlineStr">
        <is>
          <t/>
        </is>
      </c>
      <c r="D764" s="28" t="inlineStr">
        <is>
          <t/>
        </is>
      </c>
      <c r="E764" s="29" t="inlineStr">
        <is>
          <t/>
        </is>
      </c>
      <c r="F764" s="30" t="inlineStr">
        <is>
          <t/>
        </is>
      </c>
      <c r="G764" s="31" t="inlineStr">
        <is>
          <t/>
        </is>
      </c>
      <c r="H764" s="32" t="inlineStr">
        <is>
          <t/>
        </is>
      </c>
      <c r="I764" s="33" t="inlineStr">
        <is>
          <t/>
        </is>
      </c>
      <c r="J764" s="34" t="inlineStr">
        <is>
          <t/>
        </is>
      </c>
      <c r="K764" s="35" t="inlineStr">
        <is>
          <t>Privately Held (backing)</t>
        </is>
      </c>
      <c r="L764" s="36" t="inlineStr">
        <is>
          <t>Accelerator/Incubator Backed</t>
        </is>
      </c>
      <c r="M764" s="37" t="n">
        <v>41122.0</v>
      </c>
      <c r="N764" s="38" t="inlineStr">
        <is>
          <t>Accelerator/Incubator</t>
        </is>
      </c>
      <c r="O764" s="39" t="n">
        <v>0.02</v>
      </c>
      <c r="P764" s="102">
        <f>HYPERLINK("https://my.pitchbook.com?c=54885-07", "View company online")</f>
      </c>
    </row>
    <row r="765">
      <c r="A765" s="9" t="inlineStr">
        <is>
          <t>112510-90</t>
        </is>
      </c>
      <c r="B765" s="10" t="inlineStr">
        <is>
          <t>The Story of Stuff Project</t>
        </is>
      </c>
      <c r="C765" s="11" t="inlineStr">
        <is>
          <t/>
        </is>
      </c>
      <c r="D765" s="12" t="inlineStr">
        <is>
          <t/>
        </is>
      </c>
      <c r="E765" s="13" t="inlineStr">
        <is>
          <t/>
        </is>
      </c>
      <c r="F765" s="14" t="inlineStr">
        <is>
          <t/>
        </is>
      </c>
      <c r="G765" s="15" t="inlineStr">
        <is>
          <t/>
        </is>
      </c>
      <c r="H765" s="16" t="inlineStr">
        <is>
          <t/>
        </is>
      </c>
      <c r="I765" s="17" t="inlineStr">
        <is>
          <t/>
        </is>
      </c>
      <c r="J765" s="18" t="inlineStr">
        <is>
          <t/>
        </is>
      </c>
      <c r="K765" s="19" t="inlineStr">
        <is>
          <t>Privately Held (backing)</t>
        </is>
      </c>
      <c r="L765" s="20" t="inlineStr">
        <is>
          <t>Angel-Backed</t>
        </is>
      </c>
      <c r="M765" s="21" t="inlineStr">
        <is>
          <t/>
        </is>
      </c>
      <c r="N765" s="22" t="inlineStr">
        <is>
          <t>Angel (individual)</t>
        </is>
      </c>
      <c r="O765" s="23" t="inlineStr">
        <is>
          <t/>
        </is>
      </c>
      <c r="P765" s="101">
        <f>HYPERLINK("https://my.pitchbook.com?c=112510-90", "View company online")</f>
      </c>
    </row>
    <row r="766">
      <c r="A766" s="25" t="inlineStr">
        <is>
          <t>102654-28</t>
        </is>
      </c>
      <c r="B766" s="26" t="inlineStr">
        <is>
          <t>The Sports Skinny</t>
        </is>
      </c>
      <c r="C766" s="27" t="inlineStr">
        <is>
          <t/>
        </is>
      </c>
      <c r="D766" s="28" t="inlineStr">
        <is>
          <t/>
        </is>
      </c>
      <c r="E766" s="29" t="inlineStr">
        <is>
          <t/>
        </is>
      </c>
      <c r="F766" s="30" t="inlineStr">
        <is>
          <t/>
        </is>
      </c>
      <c r="G766" s="31" t="inlineStr">
        <is>
          <t/>
        </is>
      </c>
      <c r="H766" s="32" t="inlineStr">
        <is>
          <t/>
        </is>
      </c>
      <c r="I766" s="33" t="inlineStr">
        <is>
          <t/>
        </is>
      </c>
      <c r="J766" s="34" t="inlineStr">
        <is>
          <t/>
        </is>
      </c>
      <c r="K766" s="35" t="inlineStr">
        <is>
          <t>Privately Held (backing)</t>
        </is>
      </c>
      <c r="L766" s="36" t="inlineStr">
        <is>
          <t>Angel-Backed</t>
        </is>
      </c>
      <c r="M766" s="37" t="n">
        <v>42116.0</v>
      </c>
      <c r="N766" s="38" t="inlineStr">
        <is>
          <t>Angel (individual)</t>
        </is>
      </c>
      <c r="O766" s="39" t="inlineStr">
        <is>
          <t/>
        </is>
      </c>
      <c r="P766" s="102">
        <f>HYPERLINK("https://my.pitchbook.com?c=102654-28", "View company online")</f>
      </c>
    </row>
    <row r="767">
      <c r="A767" s="9" t="inlineStr">
        <is>
          <t>115537-15</t>
        </is>
      </c>
      <c r="B767" s="10" t="inlineStr">
        <is>
          <t>The Smooth Company</t>
        </is>
      </c>
      <c r="C767" s="11" t="inlineStr">
        <is>
          <t/>
        </is>
      </c>
      <c r="D767" s="12" t="inlineStr">
        <is>
          <t/>
        </is>
      </c>
      <c r="E767" s="13" t="inlineStr">
        <is>
          <t/>
        </is>
      </c>
      <c r="F767" s="14" t="inlineStr">
        <is>
          <t/>
        </is>
      </c>
      <c r="G767" s="15" t="inlineStr">
        <is>
          <t/>
        </is>
      </c>
      <c r="H767" s="16" t="inlineStr">
        <is>
          <t/>
        </is>
      </c>
      <c r="I767" s="17" t="inlineStr">
        <is>
          <t/>
        </is>
      </c>
      <c r="J767" s="18" t="inlineStr">
        <is>
          <t/>
        </is>
      </c>
      <c r="K767" s="19" t="inlineStr">
        <is>
          <t>Privately Held (backing)</t>
        </is>
      </c>
      <c r="L767" s="20" t="inlineStr">
        <is>
          <t>Angel-Backed</t>
        </is>
      </c>
      <c r="M767" s="21" t="n">
        <v>42181.0</v>
      </c>
      <c r="N767" s="22" t="inlineStr">
        <is>
          <t>Product Crowdfunding</t>
        </is>
      </c>
      <c r="O767" s="23" t="n">
        <v>0.03</v>
      </c>
      <c r="P767" s="101">
        <f>HYPERLINK("https://my.pitchbook.com?c=115537-15", "View company online")</f>
      </c>
    </row>
    <row r="768">
      <c r="A768" s="25" t="inlineStr">
        <is>
          <t>179457-76</t>
        </is>
      </c>
      <c r="B768" s="26" t="inlineStr">
        <is>
          <t>The Shade Room</t>
        </is>
      </c>
      <c r="C768" s="27" t="inlineStr">
        <is>
          <t/>
        </is>
      </c>
      <c r="D768" s="28" t="inlineStr">
        <is>
          <t/>
        </is>
      </c>
      <c r="E768" s="29" t="inlineStr">
        <is>
          <t/>
        </is>
      </c>
      <c r="F768" s="30" t="inlineStr">
        <is>
          <t/>
        </is>
      </c>
      <c r="G768" s="31" t="inlineStr">
        <is>
          <t/>
        </is>
      </c>
      <c r="H768" s="32" t="inlineStr">
        <is>
          <t/>
        </is>
      </c>
      <c r="I768" s="33" t="inlineStr">
        <is>
          <t/>
        </is>
      </c>
      <c r="J768" s="34" t="inlineStr">
        <is>
          <t/>
        </is>
      </c>
      <c r="K768" s="35" t="inlineStr">
        <is>
          <t>Privately Held (backing)</t>
        </is>
      </c>
      <c r="L768" s="36" t="inlineStr">
        <is>
          <t>Accelerator/Incubator Backed</t>
        </is>
      </c>
      <c r="M768" s="37" t="inlineStr">
        <is>
          <t/>
        </is>
      </c>
      <c r="N768" s="38" t="inlineStr">
        <is>
          <t>Accelerator/Incubator</t>
        </is>
      </c>
      <c r="O768" s="39" t="inlineStr">
        <is>
          <t/>
        </is>
      </c>
      <c r="P768" s="102">
        <f>HYPERLINK("https://my.pitchbook.com?c=179457-76", "View company online")</f>
      </c>
    </row>
    <row r="769">
      <c r="A769" s="9" t="inlineStr">
        <is>
          <t>161644-78</t>
        </is>
      </c>
      <c r="B769" s="10" t="inlineStr">
        <is>
          <t>The Rocket Fizz Soda Pop and Candy Shops</t>
        </is>
      </c>
      <c r="C769" s="11" t="inlineStr">
        <is>
          <t/>
        </is>
      </c>
      <c r="D769" s="12" t="inlineStr">
        <is>
          <t/>
        </is>
      </c>
      <c r="E769" s="13" t="inlineStr">
        <is>
          <t/>
        </is>
      </c>
      <c r="F769" s="14" t="inlineStr">
        <is>
          <t/>
        </is>
      </c>
      <c r="G769" s="15" t="inlineStr">
        <is>
          <t/>
        </is>
      </c>
      <c r="H769" s="16" t="inlineStr">
        <is>
          <t/>
        </is>
      </c>
      <c r="I769" s="17" t="inlineStr">
        <is>
          <t/>
        </is>
      </c>
      <c r="J769" s="18" t="inlineStr">
        <is>
          <t/>
        </is>
      </c>
      <c r="K769" s="19" t="inlineStr">
        <is>
          <t>Privately Held (backing)</t>
        </is>
      </c>
      <c r="L769" s="20" t="inlineStr">
        <is>
          <t>Angel-Backed</t>
        </is>
      </c>
      <c r="M769" s="21" t="inlineStr">
        <is>
          <t/>
        </is>
      </c>
      <c r="N769" s="22" t="inlineStr">
        <is>
          <t>Angel (individual)</t>
        </is>
      </c>
      <c r="O769" s="23" t="inlineStr">
        <is>
          <t/>
        </is>
      </c>
      <c r="P769" s="101">
        <f>HYPERLINK("https://my.pitchbook.com?c=161644-78", "View company online")</f>
      </c>
    </row>
    <row r="770">
      <c r="A770" s="25" t="inlineStr">
        <is>
          <t>118806-67</t>
        </is>
      </c>
      <c r="B770" s="26" t="inlineStr">
        <is>
          <t>The Reliant Group</t>
        </is>
      </c>
      <c r="C770" s="27" t="inlineStr">
        <is>
          <t/>
        </is>
      </c>
      <c r="D770" s="28" t="inlineStr">
        <is>
          <t/>
        </is>
      </c>
      <c r="E770" s="29" t="inlineStr">
        <is>
          <t/>
        </is>
      </c>
      <c r="F770" s="30" t="inlineStr">
        <is>
          <t/>
        </is>
      </c>
      <c r="G770" s="31" t="inlineStr">
        <is>
          <t/>
        </is>
      </c>
      <c r="H770" s="32" t="inlineStr">
        <is>
          <t/>
        </is>
      </c>
      <c r="I770" s="33" t="inlineStr">
        <is>
          <t/>
        </is>
      </c>
      <c r="J770" s="34" t="inlineStr">
        <is>
          <t/>
        </is>
      </c>
      <c r="K770" s="35" t="inlineStr">
        <is>
          <t>Privately Held (backing)</t>
        </is>
      </c>
      <c r="L770" s="36" t="inlineStr">
        <is>
          <t>Angel-Backed</t>
        </is>
      </c>
      <c r="M770" s="37" t="n">
        <v>41753.0</v>
      </c>
      <c r="N770" s="38" t="inlineStr">
        <is>
          <t>Angel (individual)</t>
        </is>
      </c>
      <c r="O770" s="39" t="inlineStr">
        <is>
          <t/>
        </is>
      </c>
      <c r="P770" s="102">
        <f>HYPERLINK("https://my.pitchbook.com?c=118806-67", "View company online")</f>
      </c>
    </row>
    <row r="771">
      <c r="A771" s="9" t="inlineStr">
        <is>
          <t>92710-18</t>
        </is>
      </c>
      <c r="B771" s="10" t="inlineStr">
        <is>
          <t>The Political Student</t>
        </is>
      </c>
      <c r="C771" s="11" t="inlineStr">
        <is>
          <t/>
        </is>
      </c>
      <c r="D771" s="12" t="inlineStr">
        <is>
          <t/>
        </is>
      </c>
      <c r="E771" s="13" t="inlineStr">
        <is>
          <t/>
        </is>
      </c>
      <c r="F771" s="14" t="inlineStr">
        <is>
          <t/>
        </is>
      </c>
      <c r="G771" s="15" t="inlineStr">
        <is>
          <t/>
        </is>
      </c>
      <c r="H771" s="16" t="inlineStr">
        <is>
          <t/>
        </is>
      </c>
      <c r="I771" s="17" t="inlineStr">
        <is>
          <t/>
        </is>
      </c>
      <c r="J771" s="18" t="inlineStr">
        <is>
          <t/>
        </is>
      </c>
      <c r="K771" s="19" t="inlineStr">
        <is>
          <t>Privately Held (backing)</t>
        </is>
      </c>
      <c r="L771" s="20" t="inlineStr">
        <is>
          <t>Angel-Backed</t>
        </is>
      </c>
      <c r="M771" s="21" t="inlineStr">
        <is>
          <t/>
        </is>
      </c>
      <c r="N771" s="22" t="inlineStr">
        <is>
          <t>Angel (individual)</t>
        </is>
      </c>
      <c r="O771" s="23" t="inlineStr">
        <is>
          <t/>
        </is>
      </c>
      <c r="P771" s="101">
        <f>HYPERLINK("https://my.pitchbook.com?c=92710-18", "View company online")</f>
      </c>
    </row>
    <row r="772">
      <c r="A772" s="25" t="inlineStr">
        <is>
          <t>176725-54</t>
        </is>
      </c>
      <c r="B772" s="26" t="inlineStr">
        <is>
          <t>The Players Guide</t>
        </is>
      </c>
      <c r="C772" s="78">
        <f>HYPERLINK("https://my.pitchbook.com?rrp=176725-54&amp;type=c", "This Company's information is not available to download. Need this Company? Request availability")</f>
      </c>
      <c r="D772" s="28" t="inlineStr">
        <is>
          <t/>
        </is>
      </c>
      <c r="E772" s="29" t="inlineStr">
        <is>
          <t/>
        </is>
      </c>
      <c r="F772" s="30" t="inlineStr">
        <is>
          <t/>
        </is>
      </c>
      <c r="G772" s="31" t="inlineStr">
        <is>
          <t/>
        </is>
      </c>
      <c r="H772" s="32" t="inlineStr">
        <is>
          <t/>
        </is>
      </c>
      <c r="I772" s="33" t="inlineStr">
        <is>
          <t/>
        </is>
      </c>
      <c r="J772" s="34" t="inlineStr">
        <is>
          <t/>
        </is>
      </c>
      <c r="K772" s="35" t="inlineStr">
        <is>
          <t/>
        </is>
      </c>
      <c r="L772" s="36" t="inlineStr">
        <is>
          <t/>
        </is>
      </c>
      <c r="M772" s="37" t="inlineStr">
        <is>
          <t/>
        </is>
      </c>
      <c r="N772" s="38" t="inlineStr">
        <is>
          <t/>
        </is>
      </c>
      <c r="O772" s="39" t="inlineStr">
        <is>
          <t/>
        </is>
      </c>
      <c r="P772" s="40" t="inlineStr">
        <is>
          <t/>
        </is>
      </c>
    </row>
    <row r="773">
      <c r="A773" s="9" t="inlineStr">
        <is>
          <t>102557-26</t>
        </is>
      </c>
      <c r="B773" s="10" t="inlineStr">
        <is>
          <t>The Planetary Society</t>
        </is>
      </c>
      <c r="C773" s="11" t="inlineStr">
        <is>
          <t/>
        </is>
      </c>
      <c r="D773" s="12" t="inlineStr">
        <is>
          <t/>
        </is>
      </c>
      <c r="E773" s="13" t="inlineStr">
        <is>
          <t/>
        </is>
      </c>
      <c r="F773" s="14" t="inlineStr">
        <is>
          <t/>
        </is>
      </c>
      <c r="G773" s="15" t="inlineStr">
        <is>
          <t/>
        </is>
      </c>
      <c r="H773" s="16" t="inlineStr">
        <is>
          <t/>
        </is>
      </c>
      <c r="I773" s="17" t="inlineStr">
        <is>
          <t/>
        </is>
      </c>
      <c r="J773" s="18" t="inlineStr">
        <is>
          <t/>
        </is>
      </c>
      <c r="K773" s="19" t="inlineStr">
        <is>
          <t>Privately Held (backing)</t>
        </is>
      </c>
      <c r="L773" s="20" t="inlineStr">
        <is>
          <t>Angel-Backed</t>
        </is>
      </c>
      <c r="M773" s="21" t="n">
        <v>42181.0</v>
      </c>
      <c r="N773" s="22" t="inlineStr">
        <is>
          <t>Product Crowdfunding</t>
        </is>
      </c>
      <c r="O773" s="23" t="n">
        <v>1.24</v>
      </c>
      <c r="P773" s="101">
        <f>HYPERLINK("https://my.pitchbook.com?c=102557-26", "View company online")</f>
      </c>
    </row>
    <row r="774">
      <c r="A774" s="25" t="inlineStr">
        <is>
          <t>115479-82</t>
        </is>
      </c>
      <c r="B774" s="26" t="inlineStr">
        <is>
          <t>The Pill Club</t>
        </is>
      </c>
      <c r="C774" s="27" t="inlineStr">
        <is>
          <t/>
        </is>
      </c>
      <c r="D774" s="28" t="inlineStr">
        <is>
          <t/>
        </is>
      </c>
      <c r="E774" s="29" t="inlineStr">
        <is>
          <t/>
        </is>
      </c>
      <c r="F774" s="30" t="inlineStr">
        <is>
          <t/>
        </is>
      </c>
      <c r="G774" s="31" t="inlineStr">
        <is>
          <t/>
        </is>
      </c>
      <c r="H774" s="32" t="inlineStr">
        <is>
          <t/>
        </is>
      </c>
      <c r="I774" s="33" t="inlineStr">
        <is>
          <t/>
        </is>
      </c>
      <c r="J774" s="34" t="inlineStr">
        <is>
          <t/>
        </is>
      </c>
      <c r="K774" s="35" t="inlineStr">
        <is>
          <t>Privately Held (backing)</t>
        </is>
      </c>
      <c r="L774" s="36" t="inlineStr">
        <is>
          <t>Accelerator/Incubator Backed</t>
        </is>
      </c>
      <c r="M774" s="37" t="n">
        <v>42740.0</v>
      </c>
      <c r="N774" s="38" t="inlineStr">
        <is>
          <t>Angel (individual)</t>
        </is>
      </c>
      <c r="O774" s="39" t="n">
        <v>3.18</v>
      </c>
      <c r="P774" s="102">
        <f>HYPERLINK("https://my.pitchbook.com?c=115479-82", "View company online")</f>
      </c>
    </row>
    <row r="775">
      <c r="A775" s="9" t="inlineStr">
        <is>
          <t>165984-49</t>
        </is>
      </c>
      <c r="B775" s="10" t="inlineStr">
        <is>
          <t>The Peak Beyond</t>
        </is>
      </c>
      <c r="C775" s="11" t="inlineStr">
        <is>
          <t/>
        </is>
      </c>
      <c r="D775" s="12" t="inlineStr">
        <is>
          <t/>
        </is>
      </c>
      <c r="E775" s="13" t="inlineStr">
        <is>
          <t/>
        </is>
      </c>
      <c r="F775" s="14" t="inlineStr">
        <is>
          <t/>
        </is>
      </c>
      <c r="G775" s="15" t="inlineStr">
        <is>
          <t/>
        </is>
      </c>
      <c r="H775" s="16" t="inlineStr">
        <is>
          <t/>
        </is>
      </c>
      <c r="I775" s="17" t="inlineStr">
        <is>
          <t/>
        </is>
      </c>
      <c r="J775" s="18" t="inlineStr">
        <is>
          <t/>
        </is>
      </c>
      <c r="K775" s="19" t="inlineStr">
        <is>
          <t>Privately Held (backing)</t>
        </is>
      </c>
      <c r="L775" s="20" t="inlineStr">
        <is>
          <t>Accelerator/Incubator Backed</t>
        </is>
      </c>
      <c r="M775" s="21" t="n">
        <v>42611.0</v>
      </c>
      <c r="N775" s="22" t="inlineStr">
        <is>
          <t>Accelerator/Incubator</t>
        </is>
      </c>
      <c r="O775" s="23" t="n">
        <v>0.02</v>
      </c>
      <c r="P775" s="101">
        <f>HYPERLINK("https://my.pitchbook.com?c=165984-49", "View company online")</f>
      </c>
    </row>
    <row r="776">
      <c r="A776" s="25" t="inlineStr">
        <is>
          <t>94165-66</t>
        </is>
      </c>
      <c r="B776" s="26" t="inlineStr">
        <is>
          <t>The Party Network</t>
        </is>
      </c>
      <c r="C776" s="27" t="inlineStr">
        <is>
          <t/>
        </is>
      </c>
      <c r="D776" s="28" t="inlineStr">
        <is>
          <t/>
        </is>
      </c>
      <c r="E776" s="29" t="inlineStr">
        <is>
          <t/>
        </is>
      </c>
      <c r="F776" s="30" t="inlineStr">
        <is>
          <t/>
        </is>
      </c>
      <c r="G776" s="31" t="inlineStr">
        <is>
          <t/>
        </is>
      </c>
      <c r="H776" s="32" t="inlineStr">
        <is>
          <t/>
        </is>
      </c>
      <c r="I776" s="33" t="inlineStr">
        <is>
          <t/>
        </is>
      </c>
      <c r="J776" s="34" t="inlineStr">
        <is>
          <t/>
        </is>
      </c>
      <c r="K776" s="35" t="inlineStr">
        <is>
          <t>Privately Held (backing)</t>
        </is>
      </c>
      <c r="L776" s="36" t="inlineStr">
        <is>
          <t>Angel-Backed</t>
        </is>
      </c>
      <c r="M776" s="37" t="n">
        <v>41913.0</v>
      </c>
      <c r="N776" s="38" t="inlineStr">
        <is>
          <t>Seed Round</t>
        </is>
      </c>
      <c r="O776" s="39" t="n">
        <v>0.05</v>
      </c>
      <c r="P776" s="102">
        <f>HYPERLINK("https://my.pitchbook.com?c=94165-66", "View company online")</f>
      </c>
    </row>
    <row r="777">
      <c r="A777" s="9" t="inlineStr">
        <is>
          <t>172135-00</t>
        </is>
      </c>
      <c r="B777" s="10" t="inlineStr">
        <is>
          <t>The ODIN</t>
        </is>
      </c>
      <c r="C777" s="77">
        <f>HYPERLINK("https://my.pitchbook.com?rrp=172135-00&amp;type=c", "This Company's information is not available to download. Need this Company? Request availability")</f>
      </c>
      <c r="D777" s="12" t="inlineStr">
        <is>
          <t/>
        </is>
      </c>
      <c r="E777" s="13" t="inlineStr">
        <is>
          <t/>
        </is>
      </c>
      <c r="F777" s="14" t="inlineStr">
        <is>
          <t/>
        </is>
      </c>
      <c r="G777" s="15" t="inlineStr">
        <is>
          <t/>
        </is>
      </c>
      <c r="H777" s="16" t="inlineStr">
        <is>
          <t/>
        </is>
      </c>
      <c r="I777" s="17" t="inlineStr">
        <is>
          <t/>
        </is>
      </c>
      <c r="J777" s="18" t="inlineStr">
        <is>
          <t/>
        </is>
      </c>
      <c r="K777" s="19" t="inlineStr">
        <is>
          <t/>
        </is>
      </c>
      <c r="L777" s="20" t="inlineStr">
        <is>
          <t/>
        </is>
      </c>
      <c r="M777" s="21" t="inlineStr">
        <is>
          <t/>
        </is>
      </c>
      <c r="N777" s="22" t="inlineStr">
        <is>
          <t/>
        </is>
      </c>
      <c r="O777" s="23" t="inlineStr">
        <is>
          <t/>
        </is>
      </c>
      <c r="P777" s="24" t="inlineStr">
        <is>
          <t/>
        </is>
      </c>
    </row>
    <row r="778">
      <c r="A778" s="25" t="inlineStr">
        <is>
          <t>167726-62</t>
        </is>
      </c>
      <c r="B778" s="26" t="inlineStr">
        <is>
          <t>The Nectar Company</t>
        </is>
      </c>
      <c r="C778" s="27" t="inlineStr">
        <is>
          <t/>
        </is>
      </c>
      <c r="D778" s="28" t="inlineStr">
        <is>
          <t/>
        </is>
      </c>
      <c r="E778" s="29" t="inlineStr">
        <is>
          <t/>
        </is>
      </c>
      <c r="F778" s="30" t="inlineStr">
        <is>
          <t/>
        </is>
      </c>
      <c r="G778" s="31" t="inlineStr">
        <is>
          <t/>
        </is>
      </c>
      <c r="H778" s="32" t="inlineStr">
        <is>
          <t/>
        </is>
      </c>
      <c r="I778" s="33" t="inlineStr">
        <is>
          <t/>
        </is>
      </c>
      <c r="J778" s="34" t="inlineStr">
        <is>
          <t/>
        </is>
      </c>
      <c r="K778" s="35" t="inlineStr">
        <is>
          <t>Privately Held (backing)</t>
        </is>
      </c>
      <c r="L778" s="36" t="inlineStr">
        <is>
          <t>Accelerator/Incubator Backed</t>
        </is>
      </c>
      <c r="M778" s="37" t="n">
        <v>42668.0</v>
      </c>
      <c r="N778" s="38" t="inlineStr">
        <is>
          <t>Accelerator/Incubator</t>
        </is>
      </c>
      <c r="O778" s="39" t="inlineStr">
        <is>
          <t/>
        </is>
      </c>
      <c r="P778" s="102">
        <f>HYPERLINK("https://my.pitchbook.com?c=167726-62", "View company online")</f>
      </c>
    </row>
    <row r="779">
      <c r="A779" s="9" t="inlineStr">
        <is>
          <t>128431-90</t>
        </is>
      </c>
      <c r="B779" s="10" t="inlineStr">
        <is>
          <t>The Natural Repellent Co.</t>
        </is>
      </c>
      <c r="C779" s="11" t="inlineStr">
        <is>
          <t/>
        </is>
      </c>
      <c r="D779" s="12" t="inlineStr">
        <is>
          <t/>
        </is>
      </c>
      <c r="E779" s="13" t="inlineStr">
        <is>
          <t/>
        </is>
      </c>
      <c r="F779" s="14" t="inlineStr">
        <is>
          <t/>
        </is>
      </c>
      <c r="G779" s="15" t="inlineStr">
        <is>
          <t/>
        </is>
      </c>
      <c r="H779" s="16" t="inlineStr">
        <is>
          <t/>
        </is>
      </c>
      <c r="I779" s="17" t="inlineStr">
        <is>
          <t/>
        </is>
      </c>
      <c r="J779" s="18" t="inlineStr">
        <is>
          <t/>
        </is>
      </c>
      <c r="K779" s="19" t="inlineStr">
        <is>
          <t>Privately Held (backing)</t>
        </is>
      </c>
      <c r="L779" s="20" t="inlineStr">
        <is>
          <t>Angel-Backed</t>
        </is>
      </c>
      <c r="M779" s="21" t="n">
        <v>39083.0</v>
      </c>
      <c r="N779" s="22" t="inlineStr">
        <is>
          <t>Angel (individual)</t>
        </is>
      </c>
      <c r="O779" s="23" t="inlineStr">
        <is>
          <t/>
        </is>
      </c>
      <c r="P779" s="101">
        <f>HYPERLINK("https://my.pitchbook.com?c=128431-90", "View company online")</f>
      </c>
    </row>
    <row r="780">
      <c r="A780" s="25" t="inlineStr">
        <is>
          <t>97354-54</t>
        </is>
      </c>
      <c r="B780" s="26" t="inlineStr">
        <is>
          <t>The Muse Factory</t>
        </is>
      </c>
      <c r="C780" s="27" t="inlineStr">
        <is>
          <t/>
        </is>
      </c>
      <c r="D780" s="28" t="inlineStr">
        <is>
          <t/>
        </is>
      </c>
      <c r="E780" s="29" t="inlineStr">
        <is>
          <t/>
        </is>
      </c>
      <c r="F780" s="30" t="inlineStr">
        <is>
          <t/>
        </is>
      </c>
      <c r="G780" s="31" t="inlineStr">
        <is>
          <t/>
        </is>
      </c>
      <c r="H780" s="32" t="inlineStr">
        <is>
          <t/>
        </is>
      </c>
      <c r="I780" s="33" t="inlineStr">
        <is>
          <t/>
        </is>
      </c>
      <c r="J780" s="34" t="inlineStr">
        <is>
          <t/>
        </is>
      </c>
      <c r="K780" s="35" t="inlineStr">
        <is>
          <t>Privately Held (backing)</t>
        </is>
      </c>
      <c r="L780" s="36" t="inlineStr">
        <is>
          <t>Accelerator/Incubator Backed</t>
        </is>
      </c>
      <c r="M780" s="37" t="inlineStr">
        <is>
          <t/>
        </is>
      </c>
      <c r="N780" s="38" t="inlineStr">
        <is>
          <t>Angel (individual)</t>
        </is>
      </c>
      <c r="O780" s="39" t="inlineStr">
        <is>
          <t/>
        </is>
      </c>
      <c r="P780" s="102">
        <f>HYPERLINK("https://my.pitchbook.com?c=97354-54", "View company online")</f>
      </c>
    </row>
    <row r="781">
      <c r="A781" s="9" t="inlineStr">
        <is>
          <t>160900-03</t>
        </is>
      </c>
      <c r="B781" s="10" t="inlineStr">
        <is>
          <t>The Loyal Subjects</t>
        </is>
      </c>
      <c r="C781" s="11" t="inlineStr">
        <is>
          <t/>
        </is>
      </c>
      <c r="D781" s="12" t="inlineStr">
        <is>
          <t/>
        </is>
      </c>
      <c r="E781" s="13" t="inlineStr">
        <is>
          <t/>
        </is>
      </c>
      <c r="F781" s="14" t="inlineStr">
        <is>
          <t/>
        </is>
      </c>
      <c r="G781" s="15" t="inlineStr">
        <is>
          <t/>
        </is>
      </c>
      <c r="H781" s="16" t="inlineStr">
        <is>
          <t/>
        </is>
      </c>
      <c r="I781" s="17" t="inlineStr">
        <is>
          <t/>
        </is>
      </c>
      <c r="J781" s="18" t="inlineStr">
        <is>
          <t/>
        </is>
      </c>
      <c r="K781" s="19" t="inlineStr">
        <is>
          <t>Privately Held (backing)</t>
        </is>
      </c>
      <c r="L781" s="20" t="inlineStr">
        <is>
          <t>Angel-Backed</t>
        </is>
      </c>
      <c r="M781" s="21" t="n">
        <v>42528.0</v>
      </c>
      <c r="N781" s="22" t="inlineStr">
        <is>
          <t>Angel (individual)</t>
        </is>
      </c>
      <c r="O781" s="23" t="n">
        <v>1.7</v>
      </c>
      <c r="P781" s="101">
        <f>HYPERLINK("https://my.pitchbook.com?c=160900-03", "View company online")</f>
      </c>
    </row>
    <row r="782">
      <c r="A782" s="25" t="inlineStr">
        <is>
          <t>172731-88</t>
        </is>
      </c>
      <c r="B782" s="26" t="inlineStr">
        <is>
          <t>The Live Box</t>
        </is>
      </c>
      <c r="C782" s="78">
        <f>HYPERLINK("https://my.pitchbook.com?rrp=172731-88&amp;type=c", "This Company's information is not available to download. Need this Company? Request availability")</f>
      </c>
      <c r="D782" s="28" t="inlineStr">
        <is>
          <t/>
        </is>
      </c>
      <c r="E782" s="29" t="inlineStr">
        <is>
          <t/>
        </is>
      </c>
      <c r="F782" s="30" t="inlineStr">
        <is>
          <t/>
        </is>
      </c>
      <c r="G782" s="31" t="inlineStr">
        <is>
          <t/>
        </is>
      </c>
      <c r="H782" s="32" t="inlineStr">
        <is>
          <t/>
        </is>
      </c>
      <c r="I782" s="33" t="inlineStr">
        <is>
          <t/>
        </is>
      </c>
      <c r="J782" s="34" t="inlineStr">
        <is>
          <t/>
        </is>
      </c>
      <c r="K782" s="35" t="inlineStr">
        <is>
          <t/>
        </is>
      </c>
      <c r="L782" s="36" t="inlineStr">
        <is>
          <t/>
        </is>
      </c>
      <c r="M782" s="37" t="inlineStr">
        <is>
          <t/>
        </is>
      </c>
      <c r="N782" s="38" t="inlineStr">
        <is>
          <t/>
        </is>
      </c>
      <c r="O782" s="39" t="inlineStr">
        <is>
          <t/>
        </is>
      </c>
      <c r="P782" s="40" t="inlineStr">
        <is>
          <t/>
        </is>
      </c>
    </row>
    <row r="783">
      <c r="A783" s="9" t="inlineStr">
        <is>
          <t>55622-89</t>
        </is>
      </c>
      <c r="B783" s="10" t="inlineStr">
        <is>
          <t>The Kive Company</t>
        </is>
      </c>
      <c r="C783" s="11" t="inlineStr">
        <is>
          <t/>
        </is>
      </c>
      <c r="D783" s="12" t="inlineStr">
        <is>
          <t/>
        </is>
      </c>
      <c r="E783" s="13" t="inlineStr">
        <is>
          <t/>
        </is>
      </c>
      <c r="F783" s="14" t="inlineStr">
        <is>
          <t/>
        </is>
      </c>
      <c r="G783" s="15" t="inlineStr">
        <is>
          <t/>
        </is>
      </c>
      <c r="H783" s="16" t="inlineStr">
        <is>
          <t/>
        </is>
      </c>
      <c r="I783" s="17" t="inlineStr">
        <is>
          <t/>
        </is>
      </c>
      <c r="J783" s="18" t="inlineStr">
        <is>
          <t/>
        </is>
      </c>
      <c r="K783" s="19" t="inlineStr">
        <is>
          <t>Privately Held (backing)</t>
        </is>
      </c>
      <c r="L783" s="20" t="inlineStr">
        <is>
          <t>Accelerator/Incubator Backed</t>
        </is>
      </c>
      <c r="M783" s="21" t="n">
        <v>41682.0</v>
      </c>
      <c r="N783" s="22" t="inlineStr">
        <is>
          <t>Convertible Debt</t>
        </is>
      </c>
      <c r="O783" s="23" t="n">
        <v>0.28</v>
      </c>
      <c r="P783" s="101">
        <f>HYPERLINK("https://my.pitchbook.com?c=55622-89", "View company online")</f>
      </c>
    </row>
    <row r="784">
      <c r="A784" s="25" t="inlineStr">
        <is>
          <t>172691-83</t>
        </is>
      </c>
      <c r="B784" s="26" t="inlineStr">
        <is>
          <t>The Kinney Group</t>
        </is>
      </c>
      <c r="C784" s="78">
        <f>HYPERLINK("https://my.pitchbook.com?rrp=172691-83&amp;type=c", "This Company's information is not available to download. Need this Company? Request availability")</f>
      </c>
      <c r="D784" s="28" t="inlineStr">
        <is>
          <t/>
        </is>
      </c>
      <c r="E784" s="29" t="inlineStr">
        <is>
          <t/>
        </is>
      </c>
      <c r="F784" s="30" t="inlineStr">
        <is>
          <t/>
        </is>
      </c>
      <c r="G784" s="31" t="inlineStr">
        <is>
          <t/>
        </is>
      </c>
      <c r="H784" s="32" t="inlineStr">
        <is>
          <t/>
        </is>
      </c>
      <c r="I784" s="33" t="inlineStr">
        <is>
          <t/>
        </is>
      </c>
      <c r="J784" s="34" t="inlineStr">
        <is>
          <t/>
        </is>
      </c>
      <c r="K784" s="35" t="inlineStr">
        <is>
          <t/>
        </is>
      </c>
      <c r="L784" s="36" t="inlineStr">
        <is>
          <t/>
        </is>
      </c>
      <c r="M784" s="37" t="inlineStr">
        <is>
          <t/>
        </is>
      </c>
      <c r="N784" s="38" t="inlineStr">
        <is>
          <t/>
        </is>
      </c>
      <c r="O784" s="39" t="inlineStr">
        <is>
          <t/>
        </is>
      </c>
      <c r="P784" s="40" t="inlineStr">
        <is>
          <t/>
        </is>
      </c>
    </row>
    <row r="785">
      <c r="A785" s="9" t="inlineStr">
        <is>
          <t>119767-06</t>
        </is>
      </c>
      <c r="B785" s="10" t="inlineStr">
        <is>
          <t>The Information</t>
        </is>
      </c>
      <c r="C785" s="11" t="inlineStr">
        <is>
          <t/>
        </is>
      </c>
      <c r="D785" s="12" t="inlineStr">
        <is>
          <t/>
        </is>
      </c>
      <c r="E785" s="13" t="inlineStr">
        <is>
          <t/>
        </is>
      </c>
      <c r="F785" s="14" t="inlineStr">
        <is>
          <t/>
        </is>
      </c>
      <c r="G785" s="15" t="inlineStr">
        <is>
          <t/>
        </is>
      </c>
      <c r="H785" s="16" t="inlineStr">
        <is>
          <t/>
        </is>
      </c>
      <c r="I785" s="17" t="inlineStr">
        <is>
          <t/>
        </is>
      </c>
      <c r="J785" s="18" t="inlineStr">
        <is>
          <t/>
        </is>
      </c>
      <c r="K785" s="19" t="inlineStr">
        <is>
          <t>Privately Held (backing)</t>
        </is>
      </c>
      <c r="L785" s="20" t="inlineStr">
        <is>
          <t>Accelerator/Incubator Backed</t>
        </is>
      </c>
      <c r="M785" s="21" t="inlineStr">
        <is>
          <t/>
        </is>
      </c>
      <c r="N785" s="22" t="inlineStr">
        <is>
          <t>Accelerator/Incubator</t>
        </is>
      </c>
      <c r="O785" s="23" t="inlineStr">
        <is>
          <t/>
        </is>
      </c>
      <c r="P785" s="101">
        <f>HYPERLINK("https://my.pitchbook.com?c=119767-06", "View company online")</f>
      </c>
    </row>
    <row r="786">
      <c r="A786" s="25" t="inlineStr">
        <is>
          <t>170867-71</t>
        </is>
      </c>
      <c r="B786" s="26" t="inlineStr">
        <is>
          <t>The Hotels Network</t>
        </is>
      </c>
      <c r="C786" s="27" t="inlineStr">
        <is>
          <t/>
        </is>
      </c>
      <c r="D786" s="28" t="inlineStr">
        <is>
          <t/>
        </is>
      </c>
      <c r="E786" s="29" t="inlineStr">
        <is>
          <t/>
        </is>
      </c>
      <c r="F786" s="30" t="inlineStr">
        <is>
          <t/>
        </is>
      </c>
      <c r="G786" s="31" t="inlineStr">
        <is>
          <t/>
        </is>
      </c>
      <c r="H786" s="32" t="inlineStr">
        <is>
          <t/>
        </is>
      </c>
      <c r="I786" s="33" t="inlineStr">
        <is>
          <t/>
        </is>
      </c>
      <c r="J786" s="34" t="inlineStr">
        <is>
          <t/>
        </is>
      </c>
      <c r="K786" s="35" t="inlineStr">
        <is>
          <t>Privately Held (backing)</t>
        </is>
      </c>
      <c r="L786" s="36" t="inlineStr">
        <is>
          <t>Accelerator/Incubator Backed</t>
        </is>
      </c>
      <c r="M786" s="37" t="n">
        <v>42265.0</v>
      </c>
      <c r="N786" s="38" t="inlineStr">
        <is>
          <t>Accelerator/Incubator</t>
        </is>
      </c>
      <c r="O786" s="39" t="n">
        <v>0.12</v>
      </c>
      <c r="P786" s="102">
        <f>HYPERLINK("https://my.pitchbook.com?c=170867-71", "View company online")</f>
      </c>
    </row>
    <row r="787">
      <c r="A787" s="9" t="inlineStr">
        <is>
          <t>155368-54</t>
        </is>
      </c>
      <c r="B787" s="10" t="inlineStr">
        <is>
          <t>The Guru</t>
        </is>
      </c>
      <c r="C787" s="11" t="inlineStr">
        <is>
          <t/>
        </is>
      </c>
      <c r="D787" s="12" t="inlineStr">
        <is>
          <t/>
        </is>
      </c>
      <c r="E787" s="13" t="inlineStr">
        <is>
          <t/>
        </is>
      </c>
      <c r="F787" s="14" t="inlineStr">
        <is>
          <t/>
        </is>
      </c>
      <c r="G787" s="15" t="inlineStr">
        <is>
          <t/>
        </is>
      </c>
      <c r="H787" s="16" t="inlineStr">
        <is>
          <t/>
        </is>
      </c>
      <c r="I787" s="17" t="inlineStr">
        <is>
          <t/>
        </is>
      </c>
      <c r="J787" s="18" t="inlineStr">
        <is>
          <t/>
        </is>
      </c>
      <c r="K787" s="19" t="inlineStr">
        <is>
          <t>Privately Held (backing)</t>
        </is>
      </c>
      <c r="L787" s="20" t="inlineStr">
        <is>
          <t>Accelerator/Incubator Backed</t>
        </is>
      </c>
      <c r="M787" s="21" t="n">
        <v>42439.0</v>
      </c>
      <c r="N787" s="22" t="inlineStr">
        <is>
          <t>Angel (individual)</t>
        </is>
      </c>
      <c r="O787" s="23" t="inlineStr">
        <is>
          <t/>
        </is>
      </c>
      <c r="P787" s="101">
        <f>HYPERLINK("https://my.pitchbook.com?c=155368-54", "View company online")</f>
      </c>
    </row>
    <row r="788">
      <c r="A788" s="25" t="inlineStr">
        <is>
          <t>125404-12</t>
        </is>
      </c>
      <c r="B788" s="26" t="inlineStr">
        <is>
          <t>The Green Exchange</t>
        </is>
      </c>
      <c r="C788" s="27" t="inlineStr">
        <is>
          <t/>
        </is>
      </c>
      <c r="D788" s="28" t="inlineStr">
        <is>
          <t/>
        </is>
      </c>
      <c r="E788" s="29" t="inlineStr">
        <is>
          <t/>
        </is>
      </c>
      <c r="F788" s="30" t="inlineStr">
        <is>
          <t/>
        </is>
      </c>
      <c r="G788" s="31" t="inlineStr">
        <is>
          <t/>
        </is>
      </c>
      <c r="H788" s="32" t="inlineStr">
        <is>
          <t/>
        </is>
      </c>
      <c r="I788" s="33" t="inlineStr">
        <is>
          <t/>
        </is>
      </c>
      <c r="J788" s="34" t="inlineStr">
        <is>
          <t/>
        </is>
      </c>
      <c r="K788" s="35" t="inlineStr">
        <is>
          <t>Privately Held (backing)</t>
        </is>
      </c>
      <c r="L788" s="36" t="inlineStr">
        <is>
          <t>Angel-Backed</t>
        </is>
      </c>
      <c r="M788" s="37" t="n">
        <v>42285.0</v>
      </c>
      <c r="N788" s="38" t="inlineStr">
        <is>
          <t>Angel (individual)</t>
        </is>
      </c>
      <c r="O788" s="39" t="inlineStr">
        <is>
          <t/>
        </is>
      </c>
      <c r="P788" s="102">
        <f>HYPERLINK("https://my.pitchbook.com?c=125404-12", "View company online")</f>
      </c>
    </row>
    <row r="789">
      <c r="A789" s="9" t="inlineStr">
        <is>
          <t>95435-74</t>
        </is>
      </c>
      <c r="B789" s="10" t="inlineStr">
        <is>
          <t>The Glampire Group</t>
        </is>
      </c>
      <c r="C789" s="11" t="inlineStr">
        <is>
          <t/>
        </is>
      </c>
      <c r="D789" s="12" t="inlineStr">
        <is>
          <t/>
        </is>
      </c>
      <c r="E789" s="13" t="inlineStr">
        <is>
          <t/>
        </is>
      </c>
      <c r="F789" s="14" t="inlineStr">
        <is>
          <t/>
        </is>
      </c>
      <c r="G789" s="15" t="inlineStr">
        <is>
          <t/>
        </is>
      </c>
      <c r="H789" s="16" t="inlineStr">
        <is>
          <t/>
        </is>
      </c>
      <c r="I789" s="17" t="inlineStr">
        <is>
          <t/>
        </is>
      </c>
      <c r="J789" s="18" t="inlineStr">
        <is>
          <t/>
        </is>
      </c>
      <c r="K789" s="19" t="inlineStr">
        <is>
          <t>Privately Held (backing)</t>
        </is>
      </c>
      <c r="L789" s="20" t="inlineStr">
        <is>
          <t>Angel-Backed</t>
        </is>
      </c>
      <c r="M789" s="21" t="n">
        <v>40588.0</v>
      </c>
      <c r="N789" s="22" t="inlineStr">
        <is>
          <t>Seed Round</t>
        </is>
      </c>
      <c r="O789" s="23" t="n">
        <v>1.0</v>
      </c>
      <c r="P789" s="101">
        <f>HYPERLINK("https://my.pitchbook.com?c=95435-74", "View company online")</f>
      </c>
    </row>
    <row r="790">
      <c r="A790" s="25" t="inlineStr">
        <is>
          <t>123417-46</t>
        </is>
      </c>
      <c r="B790" s="26" t="inlineStr">
        <is>
          <t>The Gift of Education</t>
        </is>
      </c>
      <c r="C790" s="27" t="inlineStr">
        <is>
          <t/>
        </is>
      </c>
      <c r="D790" s="28" t="inlineStr">
        <is>
          <t/>
        </is>
      </c>
      <c r="E790" s="29" t="inlineStr">
        <is>
          <t/>
        </is>
      </c>
      <c r="F790" s="30" t="inlineStr">
        <is>
          <t/>
        </is>
      </c>
      <c r="G790" s="31" t="inlineStr">
        <is>
          <t/>
        </is>
      </c>
      <c r="H790" s="32" t="inlineStr">
        <is>
          <t/>
        </is>
      </c>
      <c r="I790" s="33" t="inlineStr">
        <is>
          <t/>
        </is>
      </c>
      <c r="J790" s="34" t="inlineStr">
        <is>
          <t/>
        </is>
      </c>
      <c r="K790" s="35" t="inlineStr">
        <is>
          <t>Privately Held (backing)</t>
        </is>
      </c>
      <c r="L790" s="36" t="inlineStr">
        <is>
          <t>Accelerator/Incubator Backed</t>
        </is>
      </c>
      <c r="M790" s="37" t="n">
        <v>41395.0</v>
      </c>
      <c r="N790" s="38" t="inlineStr">
        <is>
          <t>Accelerator/Incubator</t>
        </is>
      </c>
      <c r="O790" s="39" t="inlineStr">
        <is>
          <t/>
        </is>
      </c>
      <c r="P790" s="102">
        <f>HYPERLINK("https://my.pitchbook.com?c=123417-46", "View company online")</f>
      </c>
    </row>
    <row r="791">
      <c r="A791" s="9" t="inlineStr">
        <is>
          <t>169102-72</t>
        </is>
      </c>
      <c r="B791" s="10" t="inlineStr">
        <is>
          <t>The Fresh Mat</t>
        </is>
      </c>
      <c r="C791" s="11" t="inlineStr">
        <is>
          <t/>
        </is>
      </c>
      <c r="D791" s="12" t="inlineStr">
        <is>
          <t/>
        </is>
      </c>
      <c r="E791" s="13" t="inlineStr">
        <is>
          <t/>
        </is>
      </c>
      <c r="F791" s="14" t="inlineStr">
        <is>
          <t/>
        </is>
      </c>
      <c r="G791" s="15" t="inlineStr">
        <is>
          <t/>
        </is>
      </c>
      <c r="H791" s="16" t="inlineStr">
        <is>
          <t/>
        </is>
      </c>
      <c r="I791" s="17" t="inlineStr">
        <is>
          <t/>
        </is>
      </c>
      <c r="J791" s="18" t="inlineStr">
        <is>
          <t/>
        </is>
      </c>
      <c r="K791" s="19" t="inlineStr">
        <is>
          <t>Privately Held (backing)</t>
        </is>
      </c>
      <c r="L791" s="20" t="inlineStr">
        <is>
          <t>Angel-Backed</t>
        </is>
      </c>
      <c r="M791" s="21" t="n">
        <v>42832.0</v>
      </c>
      <c r="N791" s="22" t="inlineStr">
        <is>
          <t>Angel (individual)</t>
        </is>
      </c>
      <c r="O791" s="23" t="n">
        <v>0.33</v>
      </c>
      <c r="P791" s="101">
        <f>HYPERLINK("https://my.pitchbook.com?c=169102-72", "View company online")</f>
      </c>
    </row>
    <row r="792">
      <c r="A792" s="25" t="inlineStr">
        <is>
          <t>162380-26</t>
        </is>
      </c>
      <c r="B792" s="26" t="inlineStr">
        <is>
          <t>The Fetch</t>
        </is>
      </c>
      <c r="C792" s="27" t="inlineStr">
        <is>
          <t/>
        </is>
      </c>
      <c r="D792" s="28" t="inlineStr">
        <is>
          <t/>
        </is>
      </c>
      <c r="E792" s="29" t="inlineStr">
        <is>
          <t/>
        </is>
      </c>
      <c r="F792" s="30" t="inlineStr">
        <is>
          <t/>
        </is>
      </c>
      <c r="G792" s="31" t="inlineStr">
        <is>
          <t/>
        </is>
      </c>
      <c r="H792" s="32" t="inlineStr">
        <is>
          <t/>
        </is>
      </c>
      <c r="I792" s="33" t="inlineStr">
        <is>
          <t/>
        </is>
      </c>
      <c r="J792" s="34" t="inlineStr">
        <is>
          <t/>
        </is>
      </c>
      <c r="K792" s="35" t="inlineStr">
        <is>
          <t>Privately Held (backing)</t>
        </is>
      </c>
      <c r="L792" s="36" t="inlineStr">
        <is>
          <t>Angel-Backed</t>
        </is>
      </c>
      <c r="M792" s="37" t="n">
        <v>41920.0</v>
      </c>
      <c r="N792" s="38" t="inlineStr">
        <is>
          <t>Product Crowdfunding</t>
        </is>
      </c>
      <c r="O792" s="39" t="n">
        <v>0.05</v>
      </c>
      <c r="P792" s="102">
        <f>HYPERLINK("https://my.pitchbook.com?c=162380-26", "View company online")</f>
      </c>
    </row>
    <row r="793">
      <c r="A793" s="9" t="inlineStr">
        <is>
          <t>117713-98</t>
        </is>
      </c>
      <c r="B793" s="10" t="inlineStr">
        <is>
          <t>The Eye Machine</t>
        </is>
      </c>
      <c r="C793" s="11" t="inlineStr">
        <is>
          <t/>
        </is>
      </c>
      <c r="D793" s="12" t="inlineStr">
        <is>
          <t/>
        </is>
      </c>
      <c r="E793" s="13" t="inlineStr">
        <is>
          <t/>
        </is>
      </c>
      <c r="F793" s="14" t="inlineStr">
        <is>
          <t/>
        </is>
      </c>
      <c r="G793" s="15" t="inlineStr">
        <is>
          <t/>
        </is>
      </c>
      <c r="H793" s="16" t="inlineStr">
        <is>
          <t/>
        </is>
      </c>
      <c r="I793" s="17" t="inlineStr">
        <is>
          <t/>
        </is>
      </c>
      <c r="J793" s="18" t="inlineStr">
        <is>
          <t/>
        </is>
      </c>
      <c r="K793" s="19" t="inlineStr">
        <is>
          <t>Privately Held (backing)</t>
        </is>
      </c>
      <c r="L793" s="20" t="inlineStr">
        <is>
          <t>Angel-Backed</t>
        </is>
      </c>
      <c r="M793" s="21" t="n">
        <v>42836.0</v>
      </c>
      <c r="N793" s="22" t="inlineStr">
        <is>
          <t>Angel (individual)</t>
        </is>
      </c>
      <c r="O793" s="23" t="n">
        <v>1.91</v>
      </c>
      <c r="P793" s="101">
        <f>HYPERLINK("https://my.pitchbook.com?c=117713-98", "View company online")</f>
      </c>
    </row>
    <row r="794">
      <c r="A794" s="25" t="inlineStr">
        <is>
          <t>86250-70</t>
        </is>
      </c>
      <c r="B794" s="26" t="inlineStr">
        <is>
          <t>The Ditlo</t>
        </is>
      </c>
      <c r="C794" s="27" t="inlineStr">
        <is>
          <t/>
        </is>
      </c>
      <c r="D794" s="28" t="inlineStr">
        <is>
          <t/>
        </is>
      </c>
      <c r="E794" s="29" t="inlineStr">
        <is>
          <t/>
        </is>
      </c>
      <c r="F794" s="30" t="inlineStr">
        <is>
          <t/>
        </is>
      </c>
      <c r="G794" s="31" t="inlineStr">
        <is>
          <t/>
        </is>
      </c>
      <c r="H794" s="32" t="inlineStr">
        <is>
          <t/>
        </is>
      </c>
      <c r="I794" s="33" t="inlineStr">
        <is>
          <t/>
        </is>
      </c>
      <c r="J794" s="34" t="inlineStr">
        <is>
          <t/>
        </is>
      </c>
      <c r="K794" s="35" t="inlineStr">
        <is>
          <t>Privately Held (backing)</t>
        </is>
      </c>
      <c r="L794" s="36" t="inlineStr">
        <is>
          <t>Angel-Backed</t>
        </is>
      </c>
      <c r="M794" s="37" t="n">
        <v>41304.0</v>
      </c>
      <c r="N794" s="38" t="inlineStr">
        <is>
          <t>Angel (individual)</t>
        </is>
      </c>
      <c r="O794" s="39" t="n">
        <v>0.06</v>
      </c>
      <c r="P794" s="102">
        <f>HYPERLINK("https://my.pitchbook.com?c=86250-70", "View company online")</f>
      </c>
    </row>
    <row r="795">
      <c r="A795" s="9" t="inlineStr">
        <is>
          <t>95565-07</t>
        </is>
      </c>
      <c r="B795" s="10" t="inlineStr">
        <is>
          <t>The Design Accelerator</t>
        </is>
      </c>
      <c r="C795" s="11" t="inlineStr">
        <is>
          <t/>
        </is>
      </c>
      <c r="D795" s="12" t="inlineStr">
        <is>
          <t/>
        </is>
      </c>
      <c r="E795" s="13" t="inlineStr">
        <is>
          <t/>
        </is>
      </c>
      <c r="F795" s="14" t="inlineStr">
        <is>
          <t/>
        </is>
      </c>
      <c r="G795" s="15" t="inlineStr">
        <is>
          <t/>
        </is>
      </c>
      <c r="H795" s="16" t="inlineStr">
        <is>
          <t/>
        </is>
      </c>
      <c r="I795" s="17" t="inlineStr">
        <is>
          <t/>
        </is>
      </c>
      <c r="J795" s="18" t="inlineStr">
        <is>
          <t/>
        </is>
      </c>
      <c r="K795" s="19" t="inlineStr">
        <is>
          <t>Privately Held (backing)</t>
        </is>
      </c>
      <c r="L795" s="20" t="inlineStr">
        <is>
          <t>Accelerator/Incubator Backed</t>
        </is>
      </c>
      <c r="M795" s="21" t="n">
        <v>41451.0</v>
      </c>
      <c r="N795" s="22" t="inlineStr">
        <is>
          <t>Accelerator/Incubator</t>
        </is>
      </c>
      <c r="O795" s="23" t="inlineStr">
        <is>
          <t/>
        </is>
      </c>
      <c r="P795" s="101">
        <f>HYPERLINK("https://my.pitchbook.com?c=95565-07", "View company online")</f>
      </c>
    </row>
    <row r="796">
      <c r="A796" s="25" t="inlineStr">
        <is>
          <t>55439-20</t>
        </is>
      </c>
      <c r="B796" s="26" t="inlineStr">
        <is>
          <t>The Daily Dot</t>
        </is>
      </c>
      <c r="C796" s="27" t="inlineStr">
        <is>
          <t/>
        </is>
      </c>
      <c r="D796" s="28" t="inlineStr">
        <is>
          <t/>
        </is>
      </c>
      <c r="E796" s="29" t="inlineStr">
        <is>
          <t/>
        </is>
      </c>
      <c r="F796" s="30" t="inlineStr">
        <is>
          <t/>
        </is>
      </c>
      <c r="G796" s="31" t="inlineStr">
        <is>
          <t/>
        </is>
      </c>
      <c r="H796" s="32" t="inlineStr">
        <is>
          <t/>
        </is>
      </c>
      <c r="I796" s="33" t="inlineStr">
        <is>
          <t/>
        </is>
      </c>
      <c r="J796" s="34" t="inlineStr">
        <is>
          <t/>
        </is>
      </c>
      <c r="K796" s="35" t="inlineStr">
        <is>
          <t>Privately Held (backing)</t>
        </is>
      </c>
      <c r="L796" s="36" t="inlineStr">
        <is>
          <t>Angel-Backed</t>
        </is>
      </c>
      <c r="M796" s="37" t="n">
        <v>42122.0</v>
      </c>
      <c r="N796" s="38" t="inlineStr">
        <is>
          <t>Angel (individual)</t>
        </is>
      </c>
      <c r="O796" s="39" t="n">
        <v>10.0</v>
      </c>
      <c r="P796" s="102">
        <f>HYPERLINK("https://my.pitchbook.com?c=55439-20", "View company online")</f>
      </c>
    </row>
    <row r="797">
      <c r="A797" s="9" t="inlineStr">
        <is>
          <t>166267-54</t>
        </is>
      </c>
      <c r="B797" s="10" t="inlineStr">
        <is>
          <t>The Chopra Center</t>
        </is>
      </c>
      <c r="C797" s="11" t="inlineStr">
        <is>
          <t/>
        </is>
      </c>
      <c r="D797" s="12" t="inlineStr">
        <is>
          <t/>
        </is>
      </c>
      <c r="E797" s="13" t="inlineStr">
        <is>
          <t/>
        </is>
      </c>
      <c r="F797" s="14" t="inlineStr">
        <is>
          <t/>
        </is>
      </c>
      <c r="G797" s="15" t="inlineStr">
        <is>
          <t/>
        </is>
      </c>
      <c r="H797" s="16" t="inlineStr">
        <is>
          <t/>
        </is>
      </c>
      <c r="I797" s="17" t="inlineStr">
        <is>
          <t/>
        </is>
      </c>
      <c r="J797" s="18" t="inlineStr">
        <is>
          <t/>
        </is>
      </c>
      <c r="K797" s="19" t="inlineStr">
        <is>
          <t>Privately Held (backing)</t>
        </is>
      </c>
      <c r="L797" s="20" t="inlineStr">
        <is>
          <t>Angel-Backed</t>
        </is>
      </c>
      <c r="M797" s="21" t="n">
        <v>37666.0</v>
      </c>
      <c r="N797" s="22" t="inlineStr">
        <is>
          <t>Angel (individual)</t>
        </is>
      </c>
      <c r="O797" s="23" t="n">
        <v>3.2</v>
      </c>
      <c r="P797" s="101">
        <f>HYPERLINK("https://my.pitchbook.com?c=166267-54", "View company online")</f>
      </c>
    </row>
    <row r="798">
      <c r="A798" s="25" t="inlineStr">
        <is>
          <t>172750-60</t>
        </is>
      </c>
      <c r="B798" s="26" t="inlineStr">
        <is>
          <t>The Caves At Soda Canyon</t>
        </is>
      </c>
      <c r="C798" s="78">
        <f>HYPERLINK("https://my.pitchbook.com?rrp=172750-60&amp;type=c", "This Company's information is not available to download. Need this Company? Request availability")</f>
      </c>
      <c r="D798" s="28" t="inlineStr">
        <is>
          <t/>
        </is>
      </c>
      <c r="E798" s="29" t="inlineStr">
        <is>
          <t/>
        </is>
      </c>
      <c r="F798" s="30" t="inlineStr">
        <is>
          <t/>
        </is>
      </c>
      <c r="G798" s="31" t="inlineStr">
        <is>
          <t/>
        </is>
      </c>
      <c r="H798" s="32" t="inlineStr">
        <is>
          <t/>
        </is>
      </c>
      <c r="I798" s="33" t="inlineStr">
        <is>
          <t/>
        </is>
      </c>
      <c r="J798" s="34" t="inlineStr">
        <is>
          <t/>
        </is>
      </c>
      <c r="K798" s="35" t="inlineStr">
        <is>
          <t/>
        </is>
      </c>
      <c r="L798" s="36" t="inlineStr">
        <is>
          <t/>
        </is>
      </c>
      <c r="M798" s="37" t="inlineStr">
        <is>
          <t/>
        </is>
      </c>
      <c r="N798" s="38" t="inlineStr">
        <is>
          <t/>
        </is>
      </c>
      <c r="O798" s="39" t="inlineStr">
        <is>
          <t/>
        </is>
      </c>
      <c r="P798" s="40" t="inlineStr">
        <is>
          <t/>
        </is>
      </c>
    </row>
    <row r="799">
      <c r="A799" s="9" t="inlineStr">
        <is>
          <t>94226-59</t>
        </is>
      </c>
      <c r="B799" s="10" t="inlineStr">
        <is>
          <t>The Cameron Group</t>
        </is>
      </c>
      <c r="C799" s="11" t="inlineStr">
        <is>
          <t/>
        </is>
      </c>
      <c r="D799" s="12" t="inlineStr">
        <is>
          <t/>
        </is>
      </c>
      <c r="E799" s="13" t="inlineStr">
        <is>
          <t/>
        </is>
      </c>
      <c r="F799" s="14" t="inlineStr">
        <is>
          <t/>
        </is>
      </c>
      <c r="G799" s="15" t="inlineStr">
        <is>
          <t/>
        </is>
      </c>
      <c r="H799" s="16" t="inlineStr">
        <is>
          <t/>
        </is>
      </c>
      <c r="I799" s="17" t="inlineStr">
        <is>
          <t/>
        </is>
      </c>
      <c r="J799" s="18" t="inlineStr">
        <is>
          <t/>
        </is>
      </c>
      <c r="K799" s="19" t="inlineStr">
        <is>
          <t>Privately Held (backing)</t>
        </is>
      </c>
      <c r="L799" s="20" t="inlineStr">
        <is>
          <t>Angel-Backed</t>
        </is>
      </c>
      <c r="M799" s="21" t="n">
        <v>41634.0</v>
      </c>
      <c r="N799" s="22" t="inlineStr">
        <is>
          <t>Angel (individual)</t>
        </is>
      </c>
      <c r="O799" s="23" t="n">
        <v>0.03</v>
      </c>
      <c r="P799" s="101">
        <f>HYPERLINK("https://my.pitchbook.com?c=94226-59", "View company online")</f>
      </c>
    </row>
    <row r="800">
      <c r="A800" s="25" t="inlineStr">
        <is>
          <t>154944-82</t>
        </is>
      </c>
      <c r="B800" s="26" t="inlineStr">
        <is>
          <t>The Butterfly Joint</t>
        </is>
      </c>
      <c r="C800" s="27" t="inlineStr">
        <is>
          <t/>
        </is>
      </c>
      <c r="D800" s="28" t="inlineStr">
        <is>
          <t/>
        </is>
      </c>
      <c r="E800" s="29" t="inlineStr">
        <is>
          <t/>
        </is>
      </c>
      <c r="F800" s="30" t="inlineStr">
        <is>
          <t/>
        </is>
      </c>
      <c r="G800" s="31" t="inlineStr">
        <is>
          <t/>
        </is>
      </c>
      <c r="H800" s="32" t="inlineStr">
        <is>
          <t/>
        </is>
      </c>
      <c r="I800" s="33" t="inlineStr">
        <is>
          <t/>
        </is>
      </c>
      <c r="J800" s="34" t="inlineStr">
        <is>
          <t/>
        </is>
      </c>
      <c r="K800" s="35" t="inlineStr">
        <is>
          <t>Privately Held (backing)</t>
        </is>
      </c>
      <c r="L800" s="36" t="inlineStr">
        <is>
          <t>Angel-Backed</t>
        </is>
      </c>
      <c r="M800" s="37" t="n">
        <v>42037.0</v>
      </c>
      <c r="N800" s="38" t="inlineStr">
        <is>
          <t>Angel (individual)</t>
        </is>
      </c>
      <c r="O800" s="39" t="n">
        <v>0.05</v>
      </c>
      <c r="P800" s="102">
        <f>HYPERLINK("https://my.pitchbook.com?c=154944-82", "View company online")</f>
      </c>
    </row>
    <row r="801">
      <c r="A801" s="9" t="inlineStr">
        <is>
          <t>169424-83</t>
        </is>
      </c>
      <c r="B801" s="10" t="inlineStr">
        <is>
          <t>The Bridge Initiative</t>
        </is>
      </c>
      <c r="C801" s="11" t="inlineStr">
        <is>
          <t/>
        </is>
      </c>
      <c r="D801" s="12" t="inlineStr">
        <is>
          <t/>
        </is>
      </c>
      <c r="E801" s="13" t="inlineStr">
        <is>
          <t/>
        </is>
      </c>
      <c r="F801" s="14" t="inlineStr">
        <is>
          <t/>
        </is>
      </c>
      <c r="G801" s="15" t="inlineStr">
        <is>
          <t/>
        </is>
      </c>
      <c r="H801" s="16" t="inlineStr">
        <is>
          <t/>
        </is>
      </c>
      <c r="I801" s="17" t="inlineStr">
        <is>
          <t/>
        </is>
      </c>
      <c r="J801" s="18" t="inlineStr">
        <is>
          <t/>
        </is>
      </c>
      <c r="K801" s="19" t="inlineStr">
        <is>
          <t>Privately Held (backing)</t>
        </is>
      </c>
      <c r="L801" s="20" t="inlineStr">
        <is>
          <t>Accelerator/Incubator Backed</t>
        </is>
      </c>
      <c r="M801" s="21" t="n">
        <v>42005.0</v>
      </c>
      <c r="N801" s="22" t="inlineStr">
        <is>
          <t>Product Crowdfunding</t>
        </is>
      </c>
      <c r="O801" s="23" t="n">
        <v>0.01</v>
      </c>
      <c r="P801" s="101">
        <f>HYPERLINK("https://my.pitchbook.com?c=169424-83", "View company online")</f>
      </c>
    </row>
    <row r="802">
      <c r="A802" s="25" t="inlineStr">
        <is>
          <t>169469-83</t>
        </is>
      </c>
      <c r="B802" s="26" t="inlineStr">
        <is>
          <t>The Beans</t>
        </is>
      </c>
      <c r="C802" s="27" t="inlineStr">
        <is>
          <t/>
        </is>
      </c>
      <c r="D802" s="28" t="inlineStr">
        <is>
          <t/>
        </is>
      </c>
      <c r="E802" s="29" t="inlineStr">
        <is>
          <t/>
        </is>
      </c>
      <c r="F802" s="30" t="inlineStr">
        <is>
          <t/>
        </is>
      </c>
      <c r="G802" s="31" t="inlineStr">
        <is>
          <t/>
        </is>
      </c>
      <c r="H802" s="32" t="inlineStr">
        <is>
          <t/>
        </is>
      </c>
      <c r="I802" s="33" t="inlineStr">
        <is>
          <t/>
        </is>
      </c>
      <c r="J802" s="34" t="inlineStr">
        <is>
          <t/>
        </is>
      </c>
      <c r="K802" s="35" t="inlineStr">
        <is>
          <t>Privately Held (backing)</t>
        </is>
      </c>
      <c r="L802" s="36" t="inlineStr">
        <is>
          <t>Angel-Backed</t>
        </is>
      </c>
      <c r="M802" s="37" t="inlineStr">
        <is>
          <t/>
        </is>
      </c>
      <c r="N802" s="38" t="inlineStr">
        <is>
          <t>Angel (individual)</t>
        </is>
      </c>
      <c r="O802" s="39" t="inlineStr">
        <is>
          <t/>
        </is>
      </c>
      <c r="P802" s="102">
        <f>HYPERLINK("https://my.pitchbook.com?c=169469-83", "View company online")</f>
      </c>
    </row>
    <row r="803">
      <c r="A803" s="9" t="inlineStr">
        <is>
          <t>64136-44</t>
        </is>
      </c>
      <c r="B803" s="10" t="inlineStr">
        <is>
          <t>The Bay Lights</t>
        </is>
      </c>
      <c r="C803" s="11" t="inlineStr">
        <is>
          <t/>
        </is>
      </c>
      <c r="D803" s="12" t="inlineStr">
        <is>
          <t/>
        </is>
      </c>
      <c r="E803" s="13" t="inlineStr">
        <is>
          <t/>
        </is>
      </c>
      <c r="F803" s="14" t="inlineStr">
        <is>
          <t/>
        </is>
      </c>
      <c r="G803" s="15" t="inlineStr">
        <is>
          <t/>
        </is>
      </c>
      <c r="H803" s="16" t="inlineStr">
        <is>
          <t/>
        </is>
      </c>
      <c r="I803" s="17" t="inlineStr">
        <is>
          <t/>
        </is>
      </c>
      <c r="J803" s="18" t="inlineStr">
        <is>
          <t/>
        </is>
      </c>
      <c r="K803" s="19" t="inlineStr">
        <is>
          <t>Privately Held (backing)</t>
        </is>
      </c>
      <c r="L803" s="20" t="inlineStr">
        <is>
          <t>Angel-Backed</t>
        </is>
      </c>
      <c r="M803" s="21" t="n">
        <v>41810.0</v>
      </c>
      <c r="N803" s="22" t="inlineStr">
        <is>
          <t>Undetermined</t>
        </is>
      </c>
      <c r="O803" s="23" t="n">
        <v>1.2</v>
      </c>
      <c r="P803" s="101">
        <f>HYPERLINK("https://my.pitchbook.com?c=64136-44", "View company online")</f>
      </c>
    </row>
    <row r="804">
      <c r="A804" s="25" t="inlineStr">
        <is>
          <t>122353-84</t>
        </is>
      </c>
      <c r="B804" s="26" t="inlineStr">
        <is>
          <t>The Bark</t>
        </is>
      </c>
      <c r="C804" s="27" t="inlineStr">
        <is>
          <t/>
        </is>
      </c>
      <c r="D804" s="28" t="inlineStr">
        <is>
          <t/>
        </is>
      </c>
      <c r="E804" s="29" t="inlineStr">
        <is>
          <t/>
        </is>
      </c>
      <c r="F804" s="30" t="inlineStr">
        <is>
          <t/>
        </is>
      </c>
      <c r="G804" s="31" t="inlineStr">
        <is>
          <t/>
        </is>
      </c>
      <c r="H804" s="32" t="inlineStr">
        <is>
          <t/>
        </is>
      </c>
      <c r="I804" s="33" t="inlineStr">
        <is>
          <t/>
        </is>
      </c>
      <c r="J804" s="34" t="inlineStr">
        <is>
          <t/>
        </is>
      </c>
      <c r="K804" s="35" t="inlineStr">
        <is>
          <t>Privately Held (backing)</t>
        </is>
      </c>
      <c r="L804" s="36" t="inlineStr">
        <is>
          <t>Angel-Backed</t>
        </is>
      </c>
      <c r="M804" s="37" t="n">
        <v>40859.0</v>
      </c>
      <c r="N804" s="38" t="inlineStr">
        <is>
          <t>Angel (individual)</t>
        </is>
      </c>
      <c r="O804" s="39" t="inlineStr">
        <is>
          <t/>
        </is>
      </c>
      <c r="P804" s="102">
        <f>HYPERLINK("https://my.pitchbook.com?c=122353-84", "View company online")</f>
      </c>
    </row>
    <row r="805">
      <c r="A805" s="9" t="inlineStr">
        <is>
          <t>126529-48</t>
        </is>
      </c>
      <c r="B805" s="10" t="inlineStr">
        <is>
          <t>The Awesome Game Studio</t>
        </is>
      </c>
      <c r="C805" s="11" t="inlineStr">
        <is>
          <t/>
        </is>
      </c>
      <c r="D805" s="12" t="inlineStr">
        <is>
          <t/>
        </is>
      </c>
      <c r="E805" s="13" t="inlineStr">
        <is>
          <t/>
        </is>
      </c>
      <c r="F805" s="14" t="inlineStr">
        <is>
          <t/>
        </is>
      </c>
      <c r="G805" s="15" t="inlineStr">
        <is>
          <t/>
        </is>
      </c>
      <c r="H805" s="16" t="inlineStr">
        <is>
          <t/>
        </is>
      </c>
      <c r="I805" s="17" t="inlineStr">
        <is>
          <t/>
        </is>
      </c>
      <c r="J805" s="18" t="inlineStr">
        <is>
          <t/>
        </is>
      </c>
      <c r="K805" s="19" t="inlineStr">
        <is>
          <t>Privately Held (backing)</t>
        </is>
      </c>
      <c r="L805" s="20" t="inlineStr">
        <is>
          <t>Accelerator/Incubator Backed</t>
        </is>
      </c>
      <c r="M805" s="21" t="inlineStr">
        <is>
          <t/>
        </is>
      </c>
      <c r="N805" s="22" t="inlineStr">
        <is>
          <t>Accelerator/Incubator</t>
        </is>
      </c>
      <c r="O805" s="23" t="inlineStr">
        <is>
          <t/>
        </is>
      </c>
      <c r="P805" s="101">
        <f>HYPERLINK("https://my.pitchbook.com?c=126529-48", "View company online")</f>
      </c>
    </row>
    <row r="806">
      <c r="A806" s="25" t="inlineStr">
        <is>
          <t>95427-19</t>
        </is>
      </c>
      <c r="B806" s="26" t="inlineStr">
        <is>
          <t>The 1947 Partition Archive</t>
        </is>
      </c>
      <c r="C806" s="27" t="inlineStr">
        <is>
          <t/>
        </is>
      </c>
      <c r="D806" s="28" t="inlineStr">
        <is>
          <t/>
        </is>
      </c>
      <c r="E806" s="29" t="inlineStr">
        <is>
          <t/>
        </is>
      </c>
      <c r="F806" s="30" t="inlineStr">
        <is>
          <t/>
        </is>
      </c>
      <c r="G806" s="31" t="inlineStr">
        <is>
          <t/>
        </is>
      </c>
      <c r="H806" s="32" t="inlineStr">
        <is>
          <t/>
        </is>
      </c>
      <c r="I806" s="33" t="inlineStr">
        <is>
          <t/>
        </is>
      </c>
      <c r="J806" s="34" t="inlineStr">
        <is>
          <t/>
        </is>
      </c>
      <c r="K806" s="35" t="inlineStr">
        <is>
          <t>Privately Held (backing)</t>
        </is>
      </c>
      <c r="L806" s="36" t="inlineStr">
        <is>
          <t>Accelerator/Incubator Backed</t>
        </is>
      </c>
      <c r="M806" s="37" t="n">
        <v>41670.0</v>
      </c>
      <c r="N806" s="38" t="inlineStr">
        <is>
          <t>Angel (individual)</t>
        </is>
      </c>
      <c r="O806" s="39" t="n">
        <v>0.04</v>
      </c>
      <c r="P806" s="102">
        <f>HYPERLINK("https://my.pitchbook.com?c=95427-19", "View company online")</f>
      </c>
    </row>
    <row r="807">
      <c r="A807" s="9" t="inlineStr">
        <is>
          <t>176409-37</t>
        </is>
      </c>
      <c r="B807" s="10" t="inlineStr">
        <is>
          <t>The 100 Mile Network</t>
        </is>
      </c>
      <c r="C807" s="77">
        <f>HYPERLINK("https://my.pitchbook.com?rrp=176409-37&amp;type=c", "This Company's information is not available to download. Need this Company? Request availability")</f>
      </c>
      <c r="D807" s="12" t="inlineStr">
        <is>
          <t/>
        </is>
      </c>
      <c r="E807" s="13" t="inlineStr">
        <is>
          <t/>
        </is>
      </c>
      <c r="F807" s="14" t="inlineStr">
        <is>
          <t/>
        </is>
      </c>
      <c r="G807" s="15" t="inlineStr">
        <is>
          <t/>
        </is>
      </c>
      <c r="H807" s="16" t="inlineStr">
        <is>
          <t/>
        </is>
      </c>
      <c r="I807" s="17" t="inlineStr">
        <is>
          <t/>
        </is>
      </c>
      <c r="J807" s="18" t="inlineStr">
        <is>
          <t/>
        </is>
      </c>
      <c r="K807" s="19" t="inlineStr">
        <is>
          <t/>
        </is>
      </c>
      <c r="L807" s="20" t="inlineStr">
        <is>
          <t/>
        </is>
      </c>
      <c r="M807" s="21" t="inlineStr">
        <is>
          <t/>
        </is>
      </c>
      <c r="N807" s="22" t="inlineStr">
        <is>
          <t/>
        </is>
      </c>
      <c r="O807" s="23" t="inlineStr">
        <is>
          <t/>
        </is>
      </c>
      <c r="P807" s="24" t="inlineStr">
        <is>
          <t/>
        </is>
      </c>
    </row>
    <row r="808">
      <c r="A808" s="25" t="inlineStr">
        <is>
          <t>157872-25</t>
        </is>
      </c>
      <c r="B808" s="26" t="inlineStr">
        <is>
          <t>ThankRoll</t>
        </is>
      </c>
      <c r="C808" s="27" t="inlineStr">
        <is>
          <t/>
        </is>
      </c>
      <c r="D808" s="28" t="inlineStr">
        <is>
          <t/>
        </is>
      </c>
      <c r="E808" s="29" t="inlineStr">
        <is>
          <t/>
        </is>
      </c>
      <c r="F808" s="30" t="inlineStr">
        <is>
          <t/>
        </is>
      </c>
      <c r="G808" s="31" t="inlineStr">
        <is>
          <t/>
        </is>
      </c>
      <c r="H808" s="32" t="inlineStr">
        <is>
          <t/>
        </is>
      </c>
      <c r="I808" s="33" t="inlineStr">
        <is>
          <t/>
        </is>
      </c>
      <c r="J808" s="34" t="inlineStr">
        <is>
          <t/>
        </is>
      </c>
      <c r="K808" s="35" t="inlineStr">
        <is>
          <t>Privately Held (backing)</t>
        </is>
      </c>
      <c r="L808" s="36" t="inlineStr">
        <is>
          <t>Accelerator/Incubator Backed</t>
        </is>
      </c>
      <c r="M808" s="37" t="n">
        <v>42544.0</v>
      </c>
      <c r="N808" s="38" t="inlineStr">
        <is>
          <t>Seed Round</t>
        </is>
      </c>
      <c r="O808" s="39" t="n">
        <v>0.05</v>
      </c>
      <c r="P808" s="102">
        <f>HYPERLINK("https://my.pitchbook.com?c=157872-25", "View company online")</f>
      </c>
    </row>
    <row r="809">
      <c r="A809" s="9" t="inlineStr">
        <is>
          <t>170396-74</t>
        </is>
      </c>
      <c r="B809" s="10" t="inlineStr">
        <is>
          <t>Text To Ticket</t>
        </is>
      </c>
      <c r="C809" s="11" t="inlineStr">
        <is>
          <t/>
        </is>
      </c>
      <c r="D809" s="12" t="inlineStr">
        <is>
          <t/>
        </is>
      </c>
      <c r="E809" s="13" t="inlineStr">
        <is>
          <t/>
        </is>
      </c>
      <c r="F809" s="14" t="inlineStr">
        <is>
          <t/>
        </is>
      </c>
      <c r="G809" s="15" t="inlineStr">
        <is>
          <t/>
        </is>
      </c>
      <c r="H809" s="16" t="inlineStr">
        <is>
          <t/>
        </is>
      </c>
      <c r="I809" s="17" t="inlineStr">
        <is>
          <t/>
        </is>
      </c>
      <c r="J809" s="18" t="inlineStr">
        <is>
          <t/>
        </is>
      </c>
      <c r="K809" s="19" t="inlineStr">
        <is>
          <t>Privately Held (backing)</t>
        </is>
      </c>
      <c r="L809" s="20" t="inlineStr">
        <is>
          <t>Accelerator/Incubator Backed</t>
        </is>
      </c>
      <c r="M809" s="21" t="n">
        <v>42774.0</v>
      </c>
      <c r="N809" s="22" t="inlineStr">
        <is>
          <t>Accelerator/Incubator</t>
        </is>
      </c>
      <c r="O809" s="23" t="n">
        <v>0.15</v>
      </c>
      <c r="P809" s="101">
        <f>HYPERLINK("https://my.pitchbook.com?c=170396-74", "View company online")</f>
      </c>
    </row>
    <row r="810">
      <c r="A810" s="25" t="inlineStr">
        <is>
          <t>167681-62</t>
        </is>
      </c>
      <c r="B810" s="26" t="inlineStr">
        <is>
          <t>Tetracube Technologies</t>
        </is>
      </c>
      <c r="C810" s="27" t="inlineStr">
        <is>
          <t/>
        </is>
      </c>
      <c r="D810" s="28" t="inlineStr">
        <is>
          <t/>
        </is>
      </c>
      <c r="E810" s="29" t="inlineStr">
        <is>
          <t/>
        </is>
      </c>
      <c r="F810" s="30" t="inlineStr">
        <is>
          <t/>
        </is>
      </c>
      <c r="G810" s="31" t="inlineStr">
        <is>
          <t/>
        </is>
      </c>
      <c r="H810" s="32" t="inlineStr">
        <is>
          <t/>
        </is>
      </c>
      <c r="I810" s="33" t="inlineStr">
        <is>
          <t/>
        </is>
      </c>
      <c r="J810" s="34" t="inlineStr">
        <is>
          <t/>
        </is>
      </c>
      <c r="K810" s="35" t="inlineStr">
        <is>
          <t>Privately Held (backing)</t>
        </is>
      </c>
      <c r="L810" s="36" t="inlineStr">
        <is>
          <t>Angel-Backed</t>
        </is>
      </c>
      <c r="M810" s="37" t="n">
        <v>42667.0</v>
      </c>
      <c r="N810" s="38" t="inlineStr">
        <is>
          <t>Angel (individual)</t>
        </is>
      </c>
      <c r="O810" s="39" t="n">
        <v>3.0</v>
      </c>
      <c r="P810" s="102">
        <f>HYPERLINK("https://my.pitchbook.com?c=167681-62", "View company online")</f>
      </c>
    </row>
    <row r="811">
      <c r="A811" s="9" t="inlineStr">
        <is>
          <t>180669-70</t>
        </is>
      </c>
      <c r="B811" s="10" t="inlineStr">
        <is>
          <t>Tetra Health Centers</t>
        </is>
      </c>
      <c r="C811" s="11" t="inlineStr">
        <is>
          <t/>
        </is>
      </c>
      <c r="D811" s="12" t="inlineStr">
        <is>
          <t/>
        </is>
      </c>
      <c r="E811" s="13" t="inlineStr">
        <is>
          <t/>
        </is>
      </c>
      <c r="F811" s="14" t="inlineStr">
        <is>
          <t/>
        </is>
      </c>
      <c r="G811" s="15" t="inlineStr">
        <is>
          <t/>
        </is>
      </c>
      <c r="H811" s="16" t="inlineStr">
        <is>
          <t/>
        </is>
      </c>
      <c r="I811" s="17" t="inlineStr">
        <is>
          <t/>
        </is>
      </c>
      <c r="J811" s="18" t="inlineStr">
        <is>
          <t/>
        </is>
      </c>
      <c r="K811" s="19" t="inlineStr">
        <is>
          <t>Privately Held (backing)</t>
        </is>
      </c>
      <c r="L811" s="20" t="inlineStr">
        <is>
          <t>Angel-Backed</t>
        </is>
      </c>
      <c r="M811" s="21" t="n">
        <v>42860.0</v>
      </c>
      <c r="N811" s="22" t="inlineStr">
        <is>
          <t>Angel (individual)</t>
        </is>
      </c>
      <c r="O811" s="23" t="n">
        <v>0.59</v>
      </c>
      <c r="P811" s="101">
        <f>HYPERLINK("https://my.pitchbook.com?c=180669-70", "View company online")</f>
      </c>
    </row>
    <row r="812">
      <c r="A812" s="25" t="inlineStr">
        <is>
          <t>178894-54</t>
        </is>
      </c>
      <c r="B812" s="26" t="inlineStr">
        <is>
          <t>Tetra (Automatic notes)</t>
        </is>
      </c>
      <c r="C812" s="27" t="inlineStr">
        <is>
          <t/>
        </is>
      </c>
      <c r="D812" s="28" t="inlineStr">
        <is>
          <t/>
        </is>
      </c>
      <c r="E812" s="29" t="inlineStr">
        <is>
          <t/>
        </is>
      </c>
      <c r="F812" s="30" t="inlineStr">
        <is>
          <t/>
        </is>
      </c>
      <c r="G812" s="31" t="inlineStr">
        <is>
          <t/>
        </is>
      </c>
      <c r="H812" s="32" t="inlineStr">
        <is>
          <t/>
        </is>
      </c>
      <c r="I812" s="33" t="inlineStr">
        <is>
          <t/>
        </is>
      </c>
      <c r="J812" s="34" t="inlineStr">
        <is>
          <t/>
        </is>
      </c>
      <c r="K812" s="35" t="inlineStr">
        <is>
          <t>Privately Held (backing)</t>
        </is>
      </c>
      <c r="L812" s="36" t="inlineStr">
        <is>
          <t>Accelerator/Incubator Backed</t>
        </is>
      </c>
      <c r="M812" s="37" t="n">
        <v>42817.0</v>
      </c>
      <c r="N812" s="38" t="inlineStr">
        <is>
          <t>Accelerator/Incubator</t>
        </is>
      </c>
      <c r="O812" s="39" t="n">
        <v>0.12</v>
      </c>
      <c r="P812" s="102">
        <f>HYPERLINK("https://my.pitchbook.com?c=178894-54", "View company online")</f>
      </c>
    </row>
    <row r="813">
      <c r="A813" s="9" t="inlineStr">
        <is>
          <t>103103-74</t>
        </is>
      </c>
      <c r="B813" s="10" t="inlineStr">
        <is>
          <t>TestNest</t>
        </is>
      </c>
      <c r="C813" s="77">
        <f>HYPERLINK("https://my.pitchbook.com?rrp=103103-74&amp;type=c", "This Company's information is not available to download. Need this Company? Request availability")</f>
      </c>
      <c r="D813" s="12" t="inlineStr">
        <is>
          <t/>
        </is>
      </c>
      <c r="E813" s="13" t="inlineStr">
        <is>
          <t/>
        </is>
      </c>
      <c r="F813" s="14" t="inlineStr">
        <is>
          <t/>
        </is>
      </c>
      <c r="G813" s="15" t="inlineStr">
        <is>
          <t/>
        </is>
      </c>
      <c r="H813" s="16" t="inlineStr">
        <is>
          <t/>
        </is>
      </c>
      <c r="I813" s="17" t="inlineStr">
        <is>
          <t/>
        </is>
      </c>
      <c r="J813" s="18" t="inlineStr">
        <is>
          <t/>
        </is>
      </c>
      <c r="K813" s="19" t="inlineStr">
        <is>
          <t/>
        </is>
      </c>
      <c r="L813" s="20" t="inlineStr">
        <is>
          <t/>
        </is>
      </c>
      <c r="M813" s="21" t="inlineStr">
        <is>
          <t/>
        </is>
      </c>
      <c r="N813" s="22" t="inlineStr">
        <is>
          <t/>
        </is>
      </c>
      <c r="O813" s="23" t="inlineStr">
        <is>
          <t/>
        </is>
      </c>
      <c r="P813" s="24" t="inlineStr">
        <is>
          <t/>
        </is>
      </c>
    </row>
    <row r="814">
      <c r="A814" s="25" t="inlineStr">
        <is>
          <t>90012-25</t>
        </is>
      </c>
      <c r="B814" s="26" t="inlineStr">
        <is>
          <t>TeselaGen Biotechnology</t>
        </is>
      </c>
      <c r="C814" s="27" t="inlineStr">
        <is>
          <t/>
        </is>
      </c>
      <c r="D814" s="28" t="inlineStr">
        <is>
          <t/>
        </is>
      </c>
      <c r="E814" s="29" t="inlineStr">
        <is>
          <t/>
        </is>
      </c>
      <c r="F814" s="30" t="inlineStr">
        <is>
          <t/>
        </is>
      </c>
      <c r="G814" s="31" t="inlineStr">
        <is>
          <t/>
        </is>
      </c>
      <c r="H814" s="32" t="inlineStr">
        <is>
          <t/>
        </is>
      </c>
      <c r="I814" s="33" t="inlineStr">
        <is>
          <t/>
        </is>
      </c>
      <c r="J814" s="34" t="inlineStr">
        <is>
          <t/>
        </is>
      </c>
      <c r="K814" s="35" t="inlineStr">
        <is>
          <t>Privately Held (backing)</t>
        </is>
      </c>
      <c r="L814" s="36" t="inlineStr">
        <is>
          <t>Accelerator/Incubator Backed</t>
        </is>
      </c>
      <c r="M814" s="37" t="n">
        <v>41640.0</v>
      </c>
      <c r="N814" s="38" t="inlineStr">
        <is>
          <t>Grant</t>
        </is>
      </c>
      <c r="O814" s="39" t="n">
        <v>1.2</v>
      </c>
      <c r="P814" s="102">
        <f>HYPERLINK("https://my.pitchbook.com?c=90012-25", "View company online")</f>
      </c>
    </row>
    <row r="815">
      <c r="A815" s="9" t="inlineStr">
        <is>
          <t>152839-27</t>
        </is>
      </c>
      <c r="B815" s="10" t="inlineStr">
        <is>
          <t>Terzo Power Systems</t>
        </is>
      </c>
      <c r="C815" s="11" t="inlineStr">
        <is>
          <t/>
        </is>
      </c>
      <c r="D815" s="12" t="inlineStr">
        <is>
          <t/>
        </is>
      </c>
      <c r="E815" s="13" t="inlineStr">
        <is>
          <t/>
        </is>
      </c>
      <c r="F815" s="14" t="inlineStr">
        <is>
          <t/>
        </is>
      </c>
      <c r="G815" s="15" t="inlineStr">
        <is>
          <t/>
        </is>
      </c>
      <c r="H815" s="16" t="inlineStr">
        <is>
          <t/>
        </is>
      </c>
      <c r="I815" s="17" t="inlineStr">
        <is>
          <t/>
        </is>
      </c>
      <c r="J815" s="18" t="inlineStr">
        <is>
          <t/>
        </is>
      </c>
      <c r="K815" s="19" t="inlineStr">
        <is>
          <t>Privately Held (backing)</t>
        </is>
      </c>
      <c r="L815" s="20" t="inlineStr">
        <is>
          <t>Angel-Backed</t>
        </is>
      </c>
      <c r="M815" s="21" t="n">
        <v>42339.0</v>
      </c>
      <c r="N815" s="22" t="inlineStr">
        <is>
          <t>Convertible Debt</t>
        </is>
      </c>
      <c r="O815" s="23" t="n">
        <v>0.5</v>
      </c>
      <c r="P815" s="101">
        <f>HYPERLINK("https://my.pitchbook.com?c=152839-27", "View company online")</f>
      </c>
    </row>
    <row r="816">
      <c r="A816" s="25" t="inlineStr">
        <is>
          <t>90743-14</t>
        </is>
      </c>
      <c r="B816" s="26" t="inlineStr">
        <is>
          <t>Terrace</t>
        </is>
      </c>
      <c r="C816" s="27" t="inlineStr">
        <is>
          <t/>
        </is>
      </c>
      <c r="D816" s="28" t="inlineStr">
        <is>
          <t/>
        </is>
      </c>
      <c r="E816" s="29" t="inlineStr">
        <is>
          <t/>
        </is>
      </c>
      <c r="F816" s="30" t="inlineStr">
        <is>
          <t/>
        </is>
      </c>
      <c r="G816" s="31" t="inlineStr">
        <is>
          <t/>
        </is>
      </c>
      <c r="H816" s="32" t="inlineStr">
        <is>
          <t/>
        </is>
      </c>
      <c r="I816" s="33" t="inlineStr">
        <is>
          <t/>
        </is>
      </c>
      <c r="J816" s="34" t="inlineStr">
        <is>
          <t/>
        </is>
      </c>
      <c r="K816" s="35" t="inlineStr">
        <is>
          <t>Privately Held (backing)</t>
        </is>
      </c>
      <c r="L816" s="36" t="inlineStr">
        <is>
          <t>Angel-Backed</t>
        </is>
      </c>
      <c r="M816" s="37" t="n">
        <v>41843.0</v>
      </c>
      <c r="N816" s="38" t="inlineStr">
        <is>
          <t>Angel (individual)</t>
        </is>
      </c>
      <c r="O816" s="39" t="n">
        <v>0.15</v>
      </c>
      <c r="P816" s="102">
        <f>HYPERLINK("https://my.pitchbook.com?c=90743-14", "View company online")</f>
      </c>
    </row>
    <row r="817">
      <c r="A817" s="9" t="inlineStr">
        <is>
          <t>53661-34</t>
        </is>
      </c>
      <c r="B817" s="10" t="inlineStr">
        <is>
          <t>Terra Matrix</t>
        </is>
      </c>
      <c r="C817" s="11" t="inlineStr">
        <is>
          <t/>
        </is>
      </c>
      <c r="D817" s="12" t="inlineStr">
        <is>
          <t/>
        </is>
      </c>
      <c r="E817" s="13" t="inlineStr">
        <is>
          <t/>
        </is>
      </c>
      <c r="F817" s="14" t="inlineStr">
        <is>
          <t/>
        </is>
      </c>
      <c r="G817" s="15" t="inlineStr">
        <is>
          <t/>
        </is>
      </c>
      <c r="H817" s="16" t="inlineStr">
        <is>
          <t/>
        </is>
      </c>
      <c r="I817" s="17" t="inlineStr">
        <is>
          <t/>
        </is>
      </c>
      <c r="J817" s="18" t="inlineStr">
        <is>
          <t/>
        </is>
      </c>
      <c r="K817" s="19" t="inlineStr">
        <is>
          <t>Privately Held (backing)</t>
        </is>
      </c>
      <c r="L817" s="20" t="inlineStr">
        <is>
          <t>Angel-Backed</t>
        </is>
      </c>
      <c r="M817" s="21" t="n">
        <v>40189.0</v>
      </c>
      <c r="N817" s="22" t="inlineStr">
        <is>
          <t>Early Stage VC</t>
        </is>
      </c>
      <c r="O817" s="23" t="n">
        <v>1.57</v>
      </c>
      <c r="P817" s="101">
        <f>HYPERLINK("https://my.pitchbook.com?c=53661-34", "View company online")</f>
      </c>
    </row>
    <row r="818">
      <c r="A818" s="25" t="inlineStr">
        <is>
          <t>121496-86</t>
        </is>
      </c>
      <c r="B818" s="26" t="inlineStr">
        <is>
          <t>Terbine</t>
        </is>
      </c>
      <c r="C818" s="27" t="inlineStr">
        <is>
          <t/>
        </is>
      </c>
      <c r="D818" s="28" t="inlineStr">
        <is>
          <t/>
        </is>
      </c>
      <c r="E818" s="29" t="inlineStr">
        <is>
          <t/>
        </is>
      </c>
      <c r="F818" s="30" t="inlineStr">
        <is>
          <t/>
        </is>
      </c>
      <c r="G818" s="31" t="inlineStr">
        <is>
          <t/>
        </is>
      </c>
      <c r="H818" s="32" t="inlineStr">
        <is>
          <t/>
        </is>
      </c>
      <c r="I818" s="33" t="inlineStr">
        <is>
          <t/>
        </is>
      </c>
      <c r="J818" s="34" t="inlineStr">
        <is>
          <t/>
        </is>
      </c>
      <c r="K818" s="35" t="inlineStr">
        <is>
          <t>Privately Held (backing)</t>
        </is>
      </c>
      <c r="L818" s="36" t="inlineStr">
        <is>
          <t>Angel-Backed</t>
        </is>
      </c>
      <c r="M818" s="37" t="n">
        <v>41699.0</v>
      </c>
      <c r="N818" s="38" t="inlineStr">
        <is>
          <t>Seed Round</t>
        </is>
      </c>
      <c r="O818" s="39" t="n">
        <v>0.25</v>
      </c>
      <c r="P818" s="102">
        <f>HYPERLINK("https://my.pitchbook.com?c=121496-86", "View company online")</f>
      </c>
    </row>
    <row r="819">
      <c r="A819" s="9" t="inlineStr">
        <is>
          <t>162054-10</t>
        </is>
      </c>
      <c r="B819" s="10" t="inlineStr">
        <is>
          <t>TeraPore Technologies</t>
        </is>
      </c>
      <c r="C819" s="11" t="inlineStr">
        <is>
          <t/>
        </is>
      </c>
      <c r="D819" s="12" t="inlineStr">
        <is>
          <t/>
        </is>
      </c>
      <c r="E819" s="13" t="inlineStr">
        <is>
          <t/>
        </is>
      </c>
      <c r="F819" s="14" t="inlineStr">
        <is>
          <t/>
        </is>
      </c>
      <c r="G819" s="15" t="inlineStr">
        <is>
          <t/>
        </is>
      </c>
      <c r="H819" s="16" t="inlineStr">
        <is>
          <t/>
        </is>
      </c>
      <c r="I819" s="17" t="inlineStr">
        <is>
          <t/>
        </is>
      </c>
      <c r="J819" s="18" t="inlineStr">
        <is>
          <t/>
        </is>
      </c>
      <c r="K819" s="19" t="inlineStr">
        <is>
          <t>Privately Held (backing)</t>
        </is>
      </c>
      <c r="L819" s="20" t="inlineStr">
        <is>
          <t>Angel-Backed</t>
        </is>
      </c>
      <c r="M819" s="21" t="n">
        <v>42551.0</v>
      </c>
      <c r="N819" s="22" t="inlineStr">
        <is>
          <t>Early Stage VC</t>
        </is>
      </c>
      <c r="O819" s="23" t="n">
        <v>1.75</v>
      </c>
      <c r="P819" s="101">
        <f>HYPERLINK("https://my.pitchbook.com?c=162054-10", "View company online")</f>
      </c>
    </row>
    <row r="820">
      <c r="A820" s="25" t="inlineStr">
        <is>
          <t>96813-64</t>
        </is>
      </c>
      <c r="B820" s="26" t="inlineStr">
        <is>
          <t>TeraFold Biologics</t>
        </is>
      </c>
      <c r="C820" s="27" t="inlineStr">
        <is>
          <t/>
        </is>
      </c>
      <c r="D820" s="28" t="inlineStr">
        <is>
          <t/>
        </is>
      </c>
      <c r="E820" s="29" t="inlineStr">
        <is>
          <t/>
        </is>
      </c>
      <c r="F820" s="30" t="inlineStr">
        <is>
          <t/>
        </is>
      </c>
      <c r="G820" s="31" t="inlineStr">
        <is>
          <t/>
        </is>
      </c>
      <c r="H820" s="32" t="inlineStr">
        <is>
          <t/>
        </is>
      </c>
      <c r="I820" s="33" t="inlineStr">
        <is>
          <t/>
        </is>
      </c>
      <c r="J820" s="34" t="inlineStr">
        <is>
          <t/>
        </is>
      </c>
      <c r="K820" s="35" t="inlineStr">
        <is>
          <t>Privately Held (backing)</t>
        </is>
      </c>
      <c r="L820" s="36" t="inlineStr">
        <is>
          <t>Accelerator/Incubator Backed</t>
        </is>
      </c>
      <c r="M820" s="37" t="inlineStr">
        <is>
          <t/>
        </is>
      </c>
      <c r="N820" s="38" t="inlineStr">
        <is>
          <t>Accelerator/Incubator</t>
        </is>
      </c>
      <c r="O820" s="39" t="inlineStr">
        <is>
          <t/>
        </is>
      </c>
      <c r="P820" s="102">
        <f>HYPERLINK("https://my.pitchbook.com?c=96813-64", "View company online")</f>
      </c>
    </row>
    <row r="821">
      <c r="A821" s="9" t="inlineStr">
        <is>
          <t>103103-56</t>
        </is>
      </c>
      <c r="B821" s="10" t="inlineStr">
        <is>
          <t>Terafina</t>
        </is>
      </c>
      <c r="C821" s="11" t="inlineStr">
        <is>
          <t/>
        </is>
      </c>
      <c r="D821" s="12" t="inlineStr">
        <is>
          <t/>
        </is>
      </c>
      <c r="E821" s="13" t="inlineStr">
        <is>
          <t/>
        </is>
      </c>
      <c r="F821" s="14" t="inlineStr">
        <is>
          <t/>
        </is>
      </c>
      <c r="G821" s="15" t="inlineStr">
        <is>
          <t/>
        </is>
      </c>
      <c r="H821" s="16" t="inlineStr">
        <is>
          <t/>
        </is>
      </c>
      <c r="I821" s="17" t="inlineStr">
        <is>
          <t/>
        </is>
      </c>
      <c r="J821" s="18" t="inlineStr">
        <is>
          <t/>
        </is>
      </c>
      <c r="K821" s="19" t="inlineStr">
        <is>
          <t>Privately Held (backing)</t>
        </is>
      </c>
      <c r="L821" s="20" t="inlineStr">
        <is>
          <t>Angel-Backed</t>
        </is>
      </c>
      <c r="M821" s="21" t="n">
        <v>42234.0</v>
      </c>
      <c r="N821" s="22" t="inlineStr">
        <is>
          <t>Seed Round</t>
        </is>
      </c>
      <c r="O821" s="23" t="inlineStr">
        <is>
          <t/>
        </is>
      </c>
      <c r="P821" s="101">
        <f>HYPERLINK("https://my.pitchbook.com?c=103103-56", "View company online")</f>
      </c>
    </row>
    <row r="822">
      <c r="A822" s="25" t="inlineStr">
        <is>
          <t>119437-12</t>
        </is>
      </c>
      <c r="B822" s="26" t="inlineStr">
        <is>
          <t>Tenxor Technology</t>
        </is>
      </c>
      <c r="C822" s="27" t="inlineStr">
        <is>
          <t/>
        </is>
      </c>
      <c r="D822" s="28" t="inlineStr">
        <is>
          <t/>
        </is>
      </c>
      <c r="E822" s="29" t="inlineStr">
        <is>
          <t/>
        </is>
      </c>
      <c r="F822" s="30" t="inlineStr">
        <is>
          <t/>
        </is>
      </c>
      <c r="G822" s="31" t="inlineStr">
        <is>
          <t/>
        </is>
      </c>
      <c r="H822" s="32" t="inlineStr">
        <is>
          <t/>
        </is>
      </c>
      <c r="I822" s="33" t="inlineStr">
        <is>
          <t/>
        </is>
      </c>
      <c r="J822" s="34" t="inlineStr">
        <is>
          <t/>
        </is>
      </c>
      <c r="K822" s="35" t="inlineStr">
        <is>
          <t>Privately Held (backing)</t>
        </is>
      </c>
      <c r="L822" s="36" t="inlineStr">
        <is>
          <t>Accelerator/Incubator Backed</t>
        </is>
      </c>
      <c r="M822" s="37" t="n">
        <v>42005.0</v>
      </c>
      <c r="N822" s="38" t="inlineStr">
        <is>
          <t>Accelerator/Incubator</t>
        </is>
      </c>
      <c r="O822" s="39" t="inlineStr">
        <is>
          <t/>
        </is>
      </c>
      <c r="P822" s="102">
        <f>HYPERLINK("https://my.pitchbook.com?c=119437-12", "View company online")</f>
      </c>
    </row>
    <row r="823">
      <c r="A823" s="9" t="inlineStr">
        <is>
          <t>60036-04</t>
        </is>
      </c>
      <c r="B823" s="10" t="inlineStr">
        <is>
          <t>Tensorcom</t>
        </is>
      </c>
      <c r="C823" s="11" t="inlineStr">
        <is>
          <t/>
        </is>
      </c>
      <c r="D823" s="12" t="inlineStr">
        <is>
          <t/>
        </is>
      </c>
      <c r="E823" s="13" t="inlineStr">
        <is>
          <t/>
        </is>
      </c>
      <c r="F823" s="14" t="inlineStr">
        <is>
          <t/>
        </is>
      </c>
      <c r="G823" s="15" t="inlineStr">
        <is>
          <t/>
        </is>
      </c>
      <c r="H823" s="16" t="inlineStr">
        <is>
          <t/>
        </is>
      </c>
      <c r="I823" s="17" t="inlineStr">
        <is>
          <t/>
        </is>
      </c>
      <c r="J823" s="18" t="inlineStr">
        <is>
          <t/>
        </is>
      </c>
      <c r="K823" s="19" t="inlineStr">
        <is>
          <t>Privately Held (backing)</t>
        </is>
      </c>
      <c r="L823" s="20" t="inlineStr">
        <is>
          <t>Angel-Backed</t>
        </is>
      </c>
      <c r="M823" s="21" t="n">
        <v>41751.0</v>
      </c>
      <c r="N823" s="22" t="inlineStr">
        <is>
          <t>Angel (individual)</t>
        </is>
      </c>
      <c r="O823" s="23" t="n">
        <v>5.0</v>
      </c>
      <c r="P823" s="101">
        <f>HYPERLINK("https://my.pitchbook.com?c=60036-04", "View company online")</f>
      </c>
    </row>
    <row r="824">
      <c r="A824" s="25" t="inlineStr">
        <is>
          <t>99642-52</t>
        </is>
      </c>
      <c r="B824" s="26" t="inlineStr">
        <is>
          <t>Tensile-SSL Holdings</t>
        </is>
      </c>
      <c r="C824" s="27" t="inlineStr">
        <is>
          <t/>
        </is>
      </c>
      <c r="D824" s="28" t="inlineStr">
        <is>
          <t/>
        </is>
      </c>
      <c r="E824" s="29" t="inlineStr">
        <is>
          <t/>
        </is>
      </c>
      <c r="F824" s="30" t="inlineStr">
        <is>
          <t/>
        </is>
      </c>
      <c r="G824" s="31" t="inlineStr">
        <is>
          <t/>
        </is>
      </c>
      <c r="H824" s="32" t="inlineStr">
        <is>
          <t/>
        </is>
      </c>
      <c r="I824" s="33" t="inlineStr">
        <is>
          <t/>
        </is>
      </c>
      <c r="J824" s="34" t="inlineStr">
        <is>
          <t/>
        </is>
      </c>
      <c r="K824" s="35" t="inlineStr">
        <is>
          <t>Privately Held (backing)</t>
        </is>
      </c>
      <c r="L824" s="36" t="inlineStr">
        <is>
          <t>Angel-Backed</t>
        </is>
      </c>
      <c r="M824" s="37" t="n">
        <v>41936.0</v>
      </c>
      <c r="N824" s="38" t="inlineStr">
        <is>
          <t>Angel (individual)</t>
        </is>
      </c>
      <c r="O824" s="39" t="n">
        <v>17.55</v>
      </c>
      <c r="P824" s="102">
        <f>HYPERLINK("https://my.pitchbook.com?c=99642-52", "View company online")</f>
      </c>
    </row>
    <row r="825">
      <c r="A825" s="9" t="inlineStr">
        <is>
          <t>170348-86</t>
        </is>
      </c>
      <c r="B825" s="10" t="inlineStr">
        <is>
          <t>Tenka Labs</t>
        </is>
      </c>
      <c r="C825" s="11" t="inlineStr">
        <is>
          <t/>
        </is>
      </c>
      <c r="D825" s="12" t="inlineStr">
        <is>
          <t/>
        </is>
      </c>
      <c r="E825" s="13" t="inlineStr">
        <is>
          <t/>
        </is>
      </c>
      <c r="F825" s="14" t="inlineStr">
        <is>
          <t/>
        </is>
      </c>
      <c r="G825" s="15" t="inlineStr">
        <is>
          <t/>
        </is>
      </c>
      <c r="H825" s="16" t="inlineStr">
        <is>
          <t/>
        </is>
      </c>
      <c r="I825" s="17" t="inlineStr">
        <is>
          <t/>
        </is>
      </c>
      <c r="J825" s="18" t="inlineStr">
        <is>
          <t/>
        </is>
      </c>
      <c r="K825" s="19" t="inlineStr">
        <is>
          <t>Privately Held (backing)</t>
        </is>
      </c>
      <c r="L825" s="20" t="inlineStr">
        <is>
          <t>Angel-Backed</t>
        </is>
      </c>
      <c r="M825" s="21" t="n">
        <v>42773.0</v>
      </c>
      <c r="N825" s="22" t="inlineStr">
        <is>
          <t>Seed Round</t>
        </is>
      </c>
      <c r="O825" s="23" t="n">
        <v>2.1</v>
      </c>
      <c r="P825" s="101">
        <f>HYPERLINK("https://my.pitchbook.com?c=170348-86", "View company online")</f>
      </c>
    </row>
    <row r="826">
      <c r="A826" s="25" t="inlineStr">
        <is>
          <t>92656-54</t>
        </is>
      </c>
      <c r="B826" s="26" t="inlineStr">
        <is>
          <t>Tenfoot</t>
        </is>
      </c>
      <c r="C826" s="27" t="inlineStr">
        <is>
          <t/>
        </is>
      </c>
      <c r="D826" s="28" t="inlineStr">
        <is>
          <t/>
        </is>
      </c>
      <c r="E826" s="29" t="inlineStr">
        <is>
          <t/>
        </is>
      </c>
      <c r="F826" s="30" t="inlineStr">
        <is>
          <t/>
        </is>
      </c>
      <c r="G826" s="31" t="inlineStr">
        <is>
          <t/>
        </is>
      </c>
      <c r="H826" s="32" t="inlineStr">
        <is>
          <t/>
        </is>
      </c>
      <c r="I826" s="33" t="inlineStr">
        <is>
          <t/>
        </is>
      </c>
      <c r="J826" s="34" t="inlineStr">
        <is>
          <t/>
        </is>
      </c>
      <c r="K826" s="35" t="inlineStr">
        <is>
          <t>Privately Held (backing)</t>
        </is>
      </c>
      <c r="L826" s="36" t="inlineStr">
        <is>
          <t>Accelerator/Incubator Backed</t>
        </is>
      </c>
      <c r="M826" s="37" t="n">
        <v>41213.0</v>
      </c>
      <c r="N826" s="38" t="inlineStr">
        <is>
          <t>Accelerator/Incubator</t>
        </is>
      </c>
      <c r="O826" s="39" t="inlineStr">
        <is>
          <t/>
        </is>
      </c>
      <c r="P826" s="102">
        <f>HYPERLINK("https://my.pitchbook.com?c=92656-54", "View company online")</f>
      </c>
    </row>
    <row r="827">
      <c r="A827" s="9" t="inlineStr">
        <is>
          <t>120347-83</t>
        </is>
      </c>
      <c r="B827" s="10" t="inlineStr">
        <is>
          <t>Tending</t>
        </is>
      </c>
      <c r="C827" s="11" t="inlineStr">
        <is>
          <t/>
        </is>
      </c>
      <c r="D827" s="12" t="inlineStr">
        <is>
          <t/>
        </is>
      </c>
      <c r="E827" s="13" t="inlineStr">
        <is>
          <t/>
        </is>
      </c>
      <c r="F827" s="14" t="inlineStr">
        <is>
          <t/>
        </is>
      </c>
      <c r="G827" s="15" t="inlineStr">
        <is>
          <t/>
        </is>
      </c>
      <c r="H827" s="16" t="inlineStr">
        <is>
          <t/>
        </is>
      </c>
      <c r="I827" s="17" t="inlineStr">
        <is>
          <t/>
        </is>
      </c>
      <c r="J827" s="18" t="inlineStr">
        <is>
          <t/>
        </is>
      </c>
      <c r="K827" s="19" t="inlineStr">
        <is>
          <t>Privately Held (backing)</t>
        </is>
      </c>
      <c r="L827" s="20" t="inlineStr">
        <is>
          <t>Angel-Backed</t>
        </is>
      </c>
      <c r="M827" s="21" t="n">
        <v>42382.0</v>
      </c>
      <c r="N827" s="22" t="inlineStr">
        <is>
          <t>Convertible Debt</t>
        </is>
      </c>
      <c r="O827" s="23" t="n">
        <v>0.05</v>
      </c>
      <c r="P827" s="101">
        <f>HYPERLINK("https://my.pitchbook.com?c=120347-83", "View company online")</f>
      </c>
    </row>
    <row r="828">
      <c r="A828" s="25" t="inlineStr">
        <is>
          <t>120252-88</t>
        </is>
      </c>
      <c r="B828" s="26" t="inlineStr">
        <is>
          <t>Ten Ton Raygun</t>
        </is>
      </c>
      <c r="C828" s="27" t="inlineStr">
        <is>
          <t/>
        </is>
      </c>
      <c r="D828" s="28" t="inlineStr">
        <is>
          <t/>
        </is>
      </c>
      <c r="E828" s="29" t="inlineStr">
        <is>
          <t/>
        </is>
      </c>
      <c r="F828" s="30" t="inlineStr">
        <is>
          <t/>
        </is>
      </c>
      <c r="G828" s="31" t="inlineStr">
        <is>
          <t/>
        </is>
      </c>
      <c r="H828" s="32" t="inlineStr">
        <is>
          <t/>
        </is>
      </c>
      <c r="I828" s="33" t="inlineStr">
        <is>
          <t/>
        </is>
      </c>
      <c r="J828" s="34" t="inlineStr">
        <is>
          <t/>
        </is>
      </c>
      <c r="K828" s="35" t="inlineStr">
        <is>
          <t>Privately Held (backing)</t>
        </is>
      </c>
      <c r="L828" s="36" t="inlineStr">
        <is>
          <t>Accelerator/Incubator Backed</t>
        </is>
      </c>
      <c r="M828" s="37" t="n">
        <v>41660.0</v>
      </c>
      <c r="N828" s="38" t="inlineStr">
        <is>
          <t>Accelerator/Incubator</t>
        </is>
      </c>
      <c r="O828" s="39" t="n">
        <v>0.03</v>
      </c>
      <c r="P828" s="102">
        <f>HYPERLINK("https://my.pitchbook.com?c=120252-88", "View company online")</f>
      </c>
    </row>
    <row r="829">
      <c r="A829" s="9" t="inlineStr">
        <is>
          <t>63822-97</t>
        </is>
      </c>
      <c r="B829" s="10" t="inlineStr">
        <is>
          <t>Ten Thirty One Productions</t>
        </is>
      </c>
      <c r="C829" s="11" t="inlineStr">
        <is>
          <t/>
        </is>
      </c>
      <c r="D829" s="12" t="inlineStr">
        <is>
          <t/>
        </is>
      </c>
      <c r="E829" s="13" t="inlineStr">
        <is>
          <t>FY 2009</t>
        </is>
      </c>
      <c r="F829" s="14" t="n">
        <v>400.0</v>
      </c>
      <c r="G829" s="15" t="inlineStr">
        <is>
          <t/>
        </is>
      </c>
      <c r="H829" s="16" t="inlineStr">
        <is>
          <t/>
        </is>
      </c>
      <c r="I829" s="17" t="inlineStr">
        <is>
          <t/>
        </is>
      </c>
      <c r="J829" s="18" t="inlineStr">
        <is>
          <t/>
        </is>
      </c>
      <c r="K829" s="19" t="inlineStr">
        <is>
          <t>Privately Held (backing)</t>
        </is>
      </c>
      <c r="L829" s="20" t="inlineStr">
        <is>
          <t>Angel-Backed</t>
        </is>
      </c>
      <c r="M829" s="21" t="n">
        <v>41801.0</v>
      </c>
      <c r="N829" s="22" t="inlineStr">
        <is>
          <t>Corporate</t>
        </is>
      </c>
      <c r="O829" s="23" t="inlineStr">
        <is>
          <t/>
        </is>
      </c>
      <c r="P829" s="101">
        <f>HYPERLINK("https://my.pitchbook.com?c=63822-97", "View company online")</f>
      </c>
    </row>
    <row r="830">
      <c r="A830" s="25" t="inlineStr">
        <is>
          <t>120514-15</t>
        </is>
      </c>
      <c r="B830" s="26" t="inlineStr">
        <is>
          <t>Ten Minute Title Loans</t>
        </is>
      </c>
      <c r="C830" s="27" t="inlineStr">
        <is>
          <t/>
        </is>
      </c>
      <c r="D830" s="28" t="inlineStr">
        <is>
          <t/>
        </is>
      </c>
      <c r="E830" s="29" t="inlineStr">
        <is>
          <t/>
        </is>
      </c>
      <c r="F830" s="30" t="inlineStr">
        <is>
          <t/>
        </is>
      </c>
      <c r="G830" s="31" t="inlineStr">
        <is>
          <t/>
        </is>
      </c>
      <c r="H830" s="32" t="inlineStr">
        <is>
          <t/>
        </is>
      </c>
      <c r="I830" s="33" t="inlineStr">
        <is>
          <t/>
        </is>
      </c>
      <c r="J830" s="34" t="inlineStr">
        <is>
          <t/>
        </is>
      </c>
      <c r="K830" s="35" t="inlineStr">
        <is>
          <t>Privately Held (backing)</t>
        </is>
      </c>
      <c r="L830" s="36" t="inlineStr">
        <is>
          <t>Angel-Backed</t>
        </is>
      </c>
      <c r="M830" s="37" t="n">
        <v>42632.0</v>
      </c>
      <c r="N830" s="38" t="inlineStr">
        <is>
          <t>Angel (individual)</t>
        </is>
      </c>
      <c r="O830" s="39" t="n">
        <v>0.46</v>
      </c>
      <c r="P830" s="102">
        <f>HYPERLINK("https://my.pitchbook.com?c=120514-15", "View company online")</f>
      </c>
    </row>
    <row r="831">
      <c r="A831" s="9" t="inlineStr">
        <is>
          <t>149757-13</t>
        </is>
      </c>
      <c r="B831" s="10" t="inlineStr">
        <is>
          <t>Ten Machines</t>
        </is>
      </c>
      <c r="C831" s="11" t="inlineStr">
        <is>
          <t/>
        </is>
      </c>
      <c r="D831" s="12" t="inlineStr">
        <is>
          <t/>
        </is>
      </c>
      <c r="E831" s="13" t="inlineStr">
        <is>
          <t/>
        </is>
      </c>
      <c r="F831" s="14" t="inlineStr">
        <is>
          <t/>
        </is>
      </c>
      <c r="G831" s="15" t="inlineStr">
        <is>
          <t/>
        </is>
      </c>
      <c r="H831" s="16" t="inlineStr">
        <is>
          <t/>
        </is>
      </c>
      <c r="I831" s="17" t="inlineStr">
        <is>
          <t/>
        </is>
      </c>
      <c r="J831" s="18" t="inlineStr">
        <is>
          <t/>
        </is>
      </c>
      <c r="K831" s="19" t="inlineStr">
        <is>
          <t>Privately Held (backing)</t>
        </is>
      </c>
      <c r="L831" s="20" t="inlineStr">
        <is>
          <t>Angel-Backed</t>
        </is>
      </c>
      <c r="M831" s="21" t="n">
        <v>42354.0</v>
      </c>
      <c r="N831" s="22" t="inlineStr">
        <is>
          <t>Seed Round</t>
        </is>
      </c>
      <c r="O831" s="23" t="inlineStr">
        <is>
          <t/>
        </is>
      </c>
      <c r="P831" s="101">
        <f>HYPERLINK("https://my.pitchbook.com?c=149757-13", "View company online")</f>
      </c>
    </row>
    <row r="832">
      <c r="A832" s="25" t="inlineStr">
        <is>
          <t>111639-43</t>
        </is>
      </c>
      <c r="B832" s="26" t="inlineStr">
        <is>
          <t>Ten Degrees</t>
        </is>
      </c>
      <c r="C832" s="27" t="inlineStr">
        <is>
          <t/>
        </is>
      </c>
      <c r="D832" s="28" t="inlineStr">
        <is>
          <t/>
        </is>
      </c>
      <c r="E832" s="29" t="inlineStr">
        <is>
          <t/>
        </is>
      </c>
      <c r="F832" s="30" t="inlineStr">
        <is>
          <t/>
        </is>
      </c>
      <c r="G832" s="31" t="inlineStr">
        <is>
          <t/>
        </is>
      </c>
      <c r="H832" s="32" t="inlineStr">
        <is>
          <t/>
        </is>
      </c>
      <c r="I832" s="33" t="inlineStr">
        <is>
          <t/>
        </is>
      </c>
      <c r="J832" s="34" t="inlineStr">
        <is>
          <t/>
        </is>
      </c>
      <c r="K832" s="35" t="inlineStr">
        <is>
          <t>Privately Held (backing)</t>
        </is>
      </c>
      <c r="L832" s="36" t="inlineStr">
        <is>
          <t>Angel-Backed</t>
        </is>
      </c>
      <c r="M832" s="37" t="inlineStr">
        <is>
          <t/>
        </is>
      </c>
      <c r="N832" s="38" t="inlineStr">
        <is>
          <t>Angel (individual)</t>
        </is>
      </c>
      <c r="O832" s="39" t="inlineStr">
        <is>
          <t/>
        </is>
      </c>
      <c r="P832" s="102">
        <f>HYPERLINK("https://my.pitchbook.com?c=111639-43", "View company online")</f>
      </c>
    </row>
    <row r="833">
      <c r="A833" s="9" t="inlineStr">
        <is>
          <t>157669-30</t>
        </is>
      </c>
      <c r="B833" s="10" t="inlineStr">
        <is>
          <t>Tempo Therapeutics</t>
        </is>
      </c>
      <c r="C833" s="11" t="inlineStr">
        <is>
          <t/>
        </is>
      </c>
      <c r="D833" s="12" t="inlineStr">
        <is>
          <t/>
        </is>
      </c>
      <c r="E833" s="13" t="inlineStr">
        <is>
          <t/>
        </is>
      </c>
      <c r="F833" s="14" t="inlineStr">
        <is>
          <t/>
        </is>
      </c>
      <c r="G833" s="15" t="inlineStr">
        <is>
          <t/>
        </is>
      </c>
      <c r="H833" s="16" t="inlineStr">
        <is>
          <t/>
        </is>
      </c>
      <c r="I833" s="17" t="inlineStr">
        <is>
          <t/>
        </is>
      </c>
      <c r="J833" s="18" t="inlineStr">
        <is>
          <t/>
        </is>
      </c>
      <c r="K833" s="19" t="inlineStr">
        <is>
          <t>Privately Held (backing)</t>
        </is>
      </c>
      <c r="L833" s="20" t="inlineStr">
        <is>
          <t>Angel-Backed</t>
        </is>
      </c>
      <c r="M833" s="21" t="inlineStr">
        <is>
          <t/>
        </is>
      </c>
      <c r="N833" s="22" t="inlineStr">
        <is>
          <t>Angel (individual)</t>
        </is>
      </c>
      <c r="O833" s="23" t="inlineStr">
        <is>
          <t/>
        </is>
      </c>
      <c r="P833" s="101">
        <f>HYPERLINK("https://my.pitchbook.com?c=157669-30", "View company online")</f>
      </c>
    </row>
    <row r="834">
      <c r="A834" s="25" t="inlineStr">
        <is>
          <t>129143-17</t>
        </is>
      </c>
      <c r="B834" s="26" t="inlineStr">
        <is>
          <t>Temple Gate Games</t>
        </is>
      </c>
      <c r="C834" s="27" t="inlineStr">
        <is>
          <t/>
        </is>
      </c>
      <c r="D834" s="28" t="inlineStr">
        <is>
          <t/>
        </is>
      </c>
      <c r="E834" s="29" t="inlineStr">
        <is>
          <t/>
        </is>
      </c>
      <c r="F834" s="30" t="inlineStr">
        <is>
          <t/>
        </is>
      </c>
      <c r="G834" s="31" t="inlineStr">
        <is>
          <t/>
        </is>
      </c>
      <c r="H834" s="32" t="inlineStr">
        <is>
          <t/>
        </is>
      </c>
      <c r="I834" s="33" t="inlineStr">
        <is>
          <t/>
        </is>
      </c>
      <c r="J834" s="34" t="inlineStr">
        <is>
          <t/>
        </is>
      </c>
      <c r="K834" s="35" t="inlineStr">
        <is>
          <t>Privately Held (backing)</t>
        </is>
      </c>
      <c r="L834" s="36" t="inlineStr">
        <is>
          <t>Accelerator/Incubator Backed</t>
        </is>
      </c>
      <c r="M834" s="37" t="n">
        <v>42264.0</v>
      </c>
      <c r="N834" s="38" t="inlineStr">
        <is>
          <t>Accelerator/Incubator</t>
        </is>
      </c>
      <c r="O834" s="39" t="n">
        <v>0.2</v>
      </c>
      <c r="P834" s="102">
        <f>HYPERLINK("https://my.pitchbook.com?c=129143-17", "View company online")</f>
      </c>
    </row>
    <row r="835">
      <c r="A835" s="9" t="inlineStr">
        <is>
          <t>121555-99</t>
        </is>
      </c>
      <c r="B835" s="10" t="inlineStr">
        <is>
          <t>Temblor</t>
        </is>
      </c>
      <c r="C835" s="77">
        <f>HYPERLINK("https://my.pitchbook.com?rrp=121555-99&amp;type=c", "This Company's information is not available to download. Need this Company? Request availability")</f>
      </c>
      <c r="D835" s="12" t="inlineStr">
        <is>
          <t/>
        </is>
      </c>
      <c r="E835" s="13" t="inlineStr">
        <is>
          <t/>
        </is>
      </c>
      <c r="F835" s="14" t="inlineStr">
        <is>
          <t/>
        </is>
      </c>
      <c r="G835" s="15" t="inlineStr">
        <is>
          <t/>
        </is>
      </c>
      <c r="H835" s="16" t="inlineStr">
        <is>
          <t/>
        </is>
      </c>
      <c r="I835" s="17" t="inlineStr">
        <is>
          <t/>
        </is>
      </c>
      <c r="J835" s="18" t="inlineStr">
        <is>
          <t/>
        </is>
      </c>
      <c r="K835" s="19" t="inlineStr">
        <is>
          <t/>
        </is>
      </c>
      <c r="L835" s="20" t="inlineStr">
        <is>
          <t/>
        </is>
      </c>
      <c r="M835" s="21" t="inlineStr">
        <is>
          <t/>
        </is>
      </c>
      <c r="N835" s="22" t="inlineStr">
        <is>
          <t/>
        </is>
      </c>
      <c r="O835" s="23" t="inlineStr">
        <is>
          <t/>
        </is>
      </c>
      <c r="P835" s="24" t="inlineStr">
        <is>
          <t/>
        </is>
      </c>
    </row>
    <row r="836">
      <c r="A836" s="25" t="inlineStr">
        <is>
          <t>111297-43</t>
        </is>
      </c>
      <c r="B836" s="26" t="inlineStr">
        <is>
          <t>Temando</t>
        </is>
      </c>
      <c r="C836" s="27" t="inlineStr">
        <is>
          <t/>
        </is>
      </c>
      <c r="D836" s="28" t="inlineStr">
        <is>
          <t/>
        </is>
      </c>
      <c r="E836" s="29" t="inlineStr">
        <is>
          <t/>
        </is>
      </c>
      <c r="F836" s="30" t="inlineStr">
        <is>
          <t/>
        </is>
      </c>
      <c r="G836" s="31" t="inlineStr">
        <is>
          <t/>
        </is>
      </c>
      <c r="H836" s="32" t="inlineStr">
        <is>
          <t/>
        </is>
      </c>
      <c r="I836" s="33" t="inlineStr">
        <is>
          <t/>
        </is>
      </c>
      <c r="J836" s="34" t="inlineStr">
        <is>
          <t/>
        </is>
      </c>
      <c r="K836" s="35" t="inlineStr">
        <is>
          <t>Privately Held (backing)</t>
        </is>
      </c>
      <c r="L836" s="36" t="inlineStr">
        <is>
          <t>Angel-Backed</t>
        </is>
      </c>
      <c r="M836" s="37" t="n">
        <v>42102.0</v>
      </c>
      <c r="N836" s="38" t="inlineStr">
        <is>
          <t>Corporate</t>
        </is>
      </c>
      <c r="O836" s="39" t="n">
        <v>50.0</v>
      </c>
      <c r="P836" s="102">
        <f>HYPERLINK("https://my.pitchbook.com?c=111297-43", "View company online")</f>
      </c>
    </row>
    <row r="837">
      <c r="A837" s="9" t="inlineStr">
        <is>
          <t>94216-24</t>
        </is>
      </c>
      <c r="B837" s="10" t="inlineStr">
        <is>
          <t>Telzio</t>
        </is>
      </c>
      <c r="C837" s="77">
        <f>HYPERLINK("https://my.pitchbook.com?rrp=94216-24&amp;type=c", "This Company's information is not available to download. Need this Company? Request availability")</f>
      </c>
      <c r="D837" s="12" t="inlineStr">
        <is>
          <t/>
        </is>
      </c>
      <c r="E837" s="13" t="inlineStr">
        <is>
          <t/>
        </is>
      </c>
      <c r="F837" s="14" t="inlineStr">
        <is>
          <t/>
        </is>
      </c>
      <c r="G837" s="15" t="inlineStr">
        <is>
          <t/>
        </is>
      </c>
      <c r="H837" s="16" t="inlineStr">
        <is>
          <t/>
        </is>
      </c>
      <c r="I837" s="17" t="inlineStr">
        <is>
          <t/>
        </is>
      </c>
      <c r="J837" s="18" t="inlineStr">
        <is>
          <t/>
        </is>
      </c>
      <c r="K837" s="19" t="inlineStr">
        <is>
          <t/>
        </is>
      </c>
      <c r="L837" s="20" t="inlineStr">
        <is>
          <t/>
        </is>
      </c>
      <c r="M837" s="21" t="inlineStr">
        <is>
          <t/>
        </is>
      </c>
      <c r="N837" s="22" t="inlineStr">
        <is>
          <t/>
        </is>
      </c>
      <c r="O837" s="23" t="inlineStr">
        <is>
          <t/>
        </is>
      </c>
      <c r="P837" s="24" t="inlineStr">
        <is>
          <t/>
        </is>
      </c>
    </row>
    <row r="838">
      <c r="A838" s="25" t="inlineStr">
        <is>
          <t>90009-91</t>
        </is>
      </c>
      <c r="B838" s="26" t="inlineStr">
        <is>
          <t>Telnexus</t>
        </is>
      </c>
      <c r="C838" s="27" t="inlineStr">
        <is>
          <t/>
        </is>
      </c>
      <c r="D838" s="28" t="inlineStr">
        <is>
          <t/>
        </is>
      </c>
      <c r="E838" s="29" t="inlineStr">
        <is>
          <t/>
        </is>
      </c>
      <c r="F838" s="30" t="inlineStr">
        <is>
          <t/>
        </is>
      </c>
      <c r="G838" s="31" t="inlineStr">
        <is>
          <t/>
        </is>
      </c>
      <c r="H838" s="32" t="inlineStr">
        <is>
          <t/>
        </is>
      </c>
      <c r="I838" s="33" t="inlineStr">
        <is>
          <t/>
        </is>
      </c>
      <c r="J838" s="34" t="inlineStr">
        <is>
          <t/>
        </is>
      </c>
      <c r="K838" s="35" t="inlineStr">
        <is>
          <t>Privately Held (backing)</t>
        </is>
      </c>
      <c r="L838" s="36" t="inlineStr">
        <is>
          <t>Angel-Backed</t>
        </is>
      </c>
      <c r="M838" s="37" t="n">
        <v>41426.0</v>
      </c>
      <c r="N838" s="38" t="inlineStr">
        <is>
          <t>Seed Round</t>
        </is>
      </c>
      <c r="O838" s="39" t="n">
        <v>0.25</v>
      </c>
      <c r="P838" s="102">
        <f>HYPERLINK("https://my.pitchbook.com?c=90009-91", "View company online")</f>
      </c>
    </row>
    <row r="839">
      <c r="A839" s="9" t="inlineStr">
        <is>
          <t>125635-42</t>
        </is>
      </c>
      <c r="B839" s="10" t="inlineStr">
        <is>
          <t>Tell Market</t>
        </is>
      </c>
      <c r="C839" s="11" t="inlineStr">
        <is>
          <t/>
        </is>
      </c>
      <c r="D839" s="12" t="inlineStr">
        <is>
          <t/>
        </is>
      </c>
      <c r="E839" s="13" t="inlineStr">
        <is>
          <t/>
        </is>
      </c>
      <c r="F839" s="14" t="inlineStr">
        <is>
          <t/>
        </is>
      </c>
      <c r="G839" s="15" t="inlineStr">
        <is>
          <t/>
        </is>
      </c>
      <c r="H839" s="16" t="inlineStr">
        <is>
          <t/>
        </is>
      </c>
      <c r="I839" s="17" t="inlineStr">
        <is>
          <t/>
        </is>
      </c>
      <c r="J839" s="18" t="inlineStr">
        <is>
          <t/>
        </is>
      </c>
      <c r="K839" s="19" t="inlineStr">
        <is>
          <t>Privately Held (backing)</t>
        </is>
      </c>
      <c r="L839" s="20" t="inlineStr">
        <is>
          <t>Accelerator/Incubator Backed</t>
        </is>
      </c>
      <c r="M839" s="21" t="n">
        <v>41723.0</v>
      </c>
      <c r="N839" s="22" t="inlineStr">
        <is>
          <t>Accelerator/Incubator</t>
        </is>
      </c>
      <c r="O839" s="23" t="inlineStr">
        <is>
          <t/>
        </is>
      </c>
      <c r="P839" s="101">
        <f>HYPERLINK("https://my.pitchbook.com?c=125635-42", "View company online")</f>
      </c>
    </row>
    <row r="840">
      <c r="A840" s="25" t="inlineStr">
        <is>
          <t>124231-33</t>
        </is>
      </c>
      <c r="B840" s="26" t="inlineStr">
        <is>
          <t>TeleTravel</t>
        </is>
      </c>
      <c r="C840" s="27" t="inlineStr">
        <is>
          <t/>
        </is>
      </c>
      <c r="D840" s="28" t="inlineStr">
        <is>
          <t/>
        </is>
      </c>
      <c r="E840" s="29" t="inlineStr">
        <is>
          <t/>
        </is>
      </c>
      <c r="F840" s="30" t="inlineStr">
        <is>
          <t/>
        </is>
      </c>
      <c r="G840" s="31" t="inlineStr">
        <is>
          <t/>
        </is>
      </c>
      <c r="H840" s="32" t="inlineStr">
        <is>
          <t/>
        </is>
      </c>
      <c r="I840" s="33" t="inlineStr">
        <is>
          <t/>
        </is>
      </c>
      <c r="J840" s="34" t="inlineStr">
        <is>
          <t/>
        </is>
      </c>
      <c r="K840" s="35" t="inlineStr">
        <is>
          <t>Privately Held (backing)</t>
        </is>
      </c>
      <c r="L840" s="36" t="inlineStr">
        <is>
          <t>Angel-Backed</t>
        </is>
      </c>
      <c r="M840" s="37" t="n">
        <v>42264.0</v>
      </c>
      <c r="N840" s="38" t="inlineStr">
        <is>
          <t>Angel (individual)</t>
        </is>
      </c>
      <c r="O840" s="39" t="n">
        <v>0.05</v>
      </c>
      <c r="P840" s="102">
        <f>HYPERLINK("https://my.pitchbook.com?c=124231-33", "View company online")</f>
      </c>
    </row>
    <row r="841">
      <c r="A841" s="9" t="inlineStr">
        <is>
          <t>94199-86</t>
        </is>
      </c>
      <c r="B841" s="10" t="inlineStr">
        <is>
          <t>TeleStax</t>
        </is>
      </c>
      <c r="C841" s="11" t="inlineStr">
        <is>
          <t/>
        </is>
      </c>
      <c r="D841" s="12" t="inlineStr">
        <is>
          <t/>
        </is>
      </c>
      <c r="E841" s="13" t="inlineStr">
        <is>
          <t/>
        </is>
      </c>
      <c r="F841" s="14" t="inlineStr">
        <is>
          <t/>
        </is>
      </c>
      <c r="G841" s="15" t="inlineStr">
        <is>
          <t/>
        </is>
      </c>
      <c r="H841" s="16" t="inlineStr">
        <is>
          <t/>
        </is>
      </c>
      <c r="I841" s="17" t="inlineStr">
        <is>
          <t/>
        </is>
      </c>
      <c r="J841" s="18" t="inlineStr">
        <is>
          <t/>
        </is>
      </c>
      <c r="K841" s="19" t="inlineStr">
        <is>
          <t>Privately Held (backing)</t>
        </is>
      </c>
      <c r="L841" s="20" t="inlineStr">
        <is>
          <t>Accelerator/Incubator Backed</t>
        </is>
      </c>
      <c r="M841" s="21" t="n">
        <v>42279.0</v>
      </c>
      <c r="N841" s="22" t="inlineStr">
        <is>
          <t>Angel (individual)</t>
        </is>
      </c>
      <c r="O841" s="23" t="n">
        <v>0.81</v>
      </c>
      <c r="P841" s="101">
        <f>HYPERLINK("https://my.pitchbook.com?c=94199-86", "View company online")</f>
      </c>
    </row>
    <row r="842">
      <c r="A842" s="25" t="inlineStr">
        <is>
          <t>95419-99</t>
        </is>
      </c>
      <c r="B842" s="26" t="inlineStr">
        <is>
          <t>Telesocial</t>
        </is>
      </c>
      <c r="C842" s="27" t="inlineStr">
        <is>
          <t/>
        </is>
      </c>
      <c r="D842" s="28" t="inlineStr">
        <is>
          <t/>
        </is>
      </c>
      <c r="E842" s="29" t="inlineStr">
        <is>
          <t/>
        </is>
      </c>
      <c r="F842" s="30" t="inlineStr">
        <is>
          <t/>
        </is>
      </c>
      <c r="G842" s="31" t="inlineStr">
        <is>
          <t/>
        </is>
      </c>
      <c r="H842" s="32" t="inlineStr">
        <is>
          <t/>
        </is>
      </c>
      <c r="I842" s="33" t="inlineStr">
        <is>
          <t/>
        </is>
      </c>
      <c r="J842" s="34" t="inlineStr">
        <is>
          <t/>
        </is>
      </c>
      <c r="K842" s="35" t="inlineStr">
        <is>
          <t>Privately Held (backing)</t>
        </is>
      </c>
      <c r="L842" s="36" t="inlineStr">
        <is>
          <t>Angel-Backed</t>
        </is>
      </c>
      <c r="M842" s="37" t="n">
        <v>40801.0</v>
      </c>
      <c r="N842" s="38" t="inlineStr">
        <is>
          <t>Angel (individual)</t>
        </is>
      </c>
      <c r="O842" s="39" t="n">
        <v>1.09</v>
      </c>
      <c r="P842" s="102">
        <f>HYPERLINK("https://my.pitchbook.com?c=95419-99", "View company online")</f>
      </c>
    </row>
    <row r="843">
      <c r="A843" s="9" t="inlineStr">
        <is>
          <t>172208-71</t>
        </is>
      </c>
      <c r="B843" s="10" t="inlineStr">
        <is>
          <t>Teleporter</t>
        </is>
      </c>
      <c r="C843" s="77">
        <f>HYPERLINK("https://my.pitchbook.com?rrp=172208-71&amp;type=c", "This Company's information is not available to download. Need this Company? Request availability")</f>
      </c>
      <c r="D843" s="12" t="inlineStr">
        <is>
          <t/>
        </is>
      </c>
      <c r="E843" s="13" t="inlineStr">
        <is>
          <t/>
        </is>
      </c>
      <c r="F843" s="14" t="inlineStr">
        <is>
          <t/>
        </is>
      </c>
      <c r="G843" s="15" t="inlineStr">
        <is>
          <t/>
        </is>
      </c>
      <c r="H843" s="16" t="inlineStr">
        <is>
          <t/>
        </is>
      </c>
      <c r="I843" s="17" t="inlineStr">
        <is>
          <t/>
        </is>
      </c>
      <c r="J843" s="18" t="inlineStr">
        <is>
          <t/>
        </is>
      </c>
      <c r="K843" s="19" t="inlineStr">
        <is>
          <t/>
        </is>
      </c>
      <c r="L843" s="20" t="inlineStr">
        <is>
          <t/>
        </is>
      </c>
      <c r="M843" s="21" t="inlineStr">
        <is>
          <t/>
        </is>
      </c>
      <c r="N843" s="22" t="inlineStr">
        <is>
          <t/>
        </is>
      </c>
      <c r="O843" s="23" t="inlineStr">
        <is>
          <t/>
        </is>
      </c>
      <c r="P843" s="24" t="inlineStr">
        <is>
          <t/>
        </is>
      </c>
    </row>
    <row r="844">
      <c r="A844" s="25" t="inlineStr">
        <is>
          <t>168340-33</t>
        </is>
      </c>
      <c r="B844" s="26" t="inlineStr">
        <is>
          <t>Teleport (App)</t>
        </is>
      </c>
      <c r="C844" s="27" t="inlineStr">
        <is>
          <t/>
        </is>
      </c>
      <c r="D844" s="28" t="inlineStr">
        <is>
          <t/>
        </is>
      </c>
      <c r="E844" s="29" t="inlineStr">
        <is>
          <t/>
        </is>
      </c>
      <c r="F844" s="30" t="inlineStr">
        <is>
          <t/>
        </is>
      </c>
      <c r="G844" s="31" t="inlineStr">
        <is>
          <t/>
        </is>
      </c>
      <c r="H844" s="32" t="inlineStr">
        <is>
          <t/>
        </is>
      </c>
      <c r="I844" s="33" t="inlineStr">
        <is>
          <t/>
        </is>
      </c>
      <c r="J844" s="34" t="inlineStr">
        <is>
          <t/>
        </is>
      </c>
      <c r="K844" s="35" t="inlineStr">
        <is>
          <t>Privately Held (backing)</t>
        </is>
      </c>
      <c r="L844" s="36" t="inlineStr">
        <is>
          <t>Accelerator/Incubator Backed</t>
        </is>
      </c>
      <c r="M844" s="37" t="n">
        <v>42692.0</v>
      </c>
      <c r="N844" s="38" t="inlineStr">
        <is>
          <t>Accelerator/Incubator</t>
        </is>
      </c>
      <c r="O844" s="39" t="n">
        <v>0.15</v>
      </c>
      <c r="P844" s="102">
        <f>HYPERLINK("https://my.pitchbook.com?c=168340-33", "View company online")</f>
      </c>
    </row>
    <row r="845">
      <c r="A845" s="9" t="inlineStr">
        <is>
          <t>160664-32</t>
        </is>
      </c>
      <c r="B845" s="10" t="inlineStr">
        <is>
          <t>Telelytics</t>
        </is>
      </c>
      <c r="C845" s="11" t="inlineStr">
        <is>
          <t/>
        </is>
      </c>
      <c r="D845" s="12" t="inlineStr">
        <is>
          <t/>
        </is>
      </c>
      <c r="E845" s="13" t="inlineStr">
        <is>
          <t/>
        </is>
      </c>
      <c r="F845" s="14" t="inlineStr">
        <is>
          <t/>
        </is>
      </c>
      <c r="G845" s="15" t="inlineStr">
        <is>
          <t/>
        </is>
      </c>
      <c r="H845" s="16" t="inlineStr">
        <is>
          <t/>
        </is>
      </c>
      <c r="I845" s="17" t="inlineStr">
        <is>
          <t/>
        </is>
      </c>
      <c r="J845" s="18" t="inlineStr">
        <is>
          <t/>
        </is>
      </c>
      <c r="K845" s="19" t="inlineStr">
        <is>
          <t>Privately Held (backing)</t>
        </is>
      </c>
      <c r="L845" s="20" t="inlineStr">
        <is>
          <t>Accelerator/Incubator Backed</t>
        </is>
      </c>
      <c r="M845" s="21" t="inlineStr">
        <is>
          <t/>
        </is>
      </c>
      <c r="N845" s="22" t="inlineStr">
        <is>
          <t>Accelerator/Incubator</t>
        </is>
      </c>
      <c r="O845" s="23" t="inlineStr">
        <is>
          <t/>
        </is>
      </c>
      <c r="P845" s="101">
        <f>HYPERLINK("https://my.pitchbook.com?c=160664-32", "View company online")</f>
      </c>
    </row>
    <row r="846">
      <c r="A846" s="25" t="inlineStr">
        <is>
          <t>88879-15</t>
        </is>
      </c>
      <c r="B846" s="26" t="inlineStr">
        <is>
          <t>Telegraph Hill Software</t>
        </is>
      </c>
      <c r="C846" s="78">
        <f>HYPERLINK("https://my.pitchbook.com?rrp=88879-15&amp;type=c", "This Company's information is not available to download. Need this Company? Request availability")</f>
      </c>
      <c r="D846" s="28" t="inlineStr">
        <is>
          <t/>
        </is>
      </c>
      <c r="E846" s="29" t="inlineStr">
        <is>
          <t/>
        </is>
      </c>
      <c r="F846" s="30" t="inlineStr">
        <is>
          <t/>
        </is>
      </c>
      <c r="G846" s="31" t="inlineStr">
        <is>
          <t/>
        </is>
      </c>
      <c r="H846" s="32" t="inlineStr">
        <is>
          <t/>
        </is>
      </c>
      <c r="I846" s="33" t="inlineStr">
        <is>
          <t/>
        </is>
      </c>
      <c r="J846" s="34" t="inlineStr">
        <is>
          <t/>
        </is>
      </c>
      <c r="K846" s="35" t="inlineStr">
        <is>
          <t/>
        </is>
      </c>
      <c r="L846" s="36" t="inlineStr">
        <is>
          <t/>
        </is>
      </c>
      <c r="M846" s="37" t="inlineStr">
        <is>
          <t/>
        </is>
      </c>
      <c r="N846" s="38" t="inlineStr">
        <is>
          <t/>
        </is>
      </c>
      <c r="O846" s="39" t="inlineStr">
        <is>
          <t/>
        </is>
      </c>
      <c r="P846" s="40" t="inlineStr">
        <is>
          <t/>
        </is>
      </c>
    </row>
    <row r="847">
      <c r="A847" s="9" t="inlineStr">
        <is>
          <t>172138-87</t>
        </is>
      </c>
      <c r="B847" s="10" t="inlineStr">
        <is>
          <t>Telegnos</t>
        </is>
      </c>
      <c r="C847" s="77">
        <f>HYPERLINK("https://my.pitchbook.com?rrp=172138-87&amp;type=c", "This Company's information is not available to download. Need this Company? Request availability")</f>
      </c>
      <c r="D847" s="12" t="inlineStr">
        <is>
          <t/>
        </is>
      </c>
      <c r="E847" s="13" t="inlineStr">
        <is>
          <t/>
        </is>
      </c>
      <c r="F847" s="14" t="inlineStr">
        <is>
          <t/>
        </is>
      </c>
      <c r="G847" s="15" t="inlineStr">
        <is>
          <t/>
        </is>
      </c>
      <c r="H847" s="16" t="inlineStr">
        <is>
          <t/>
        </is>
      </c>
      <c r="I847" s="17" t="inlineStr">
        <is>
          <t/>
        </is>
      </c>
      <c r="J847" s="18" t="inlineStr">
        <is>
          <t/>
        </is>
      </c>
      <c r="K847" s="19" t="inlineStr">
        <is>
          <t/>
        </is>
      </c>
      <c r="L847" s="20" t="inlineStr">
        <is>
          <t/>
        </is>
      </c>
      <c r="M847" s="21" t="inlineStr">
        <is>
          <t/>
        </is>
      </c>
      <c r="N847" s="22" t="inlineStr">
        <is>
          <t/>
        </is>
      </c>
      <c r="O847" s="23" t="inlineStr">
        <is>
          <t/>
        </is>
      </c>
      <c r="P847" s="24" t="inlineStr">
        <is>
          <t/>
        </is>
      </c>
    </row>
    <row r="848">
      <c r="A848" s="25" t="inlineStr">
        <is>
          <t>95418-55</t>
        </is>
      </c>
      <c r="B848" s="26" t="inlineStr">
        <is>
          <t>Tegotech Software</t>
        </is>
      </c>
      <c r="C848" s="27" t="inlineStr">
        <is>
          <t/>
        </is>
      </c>
      <c r="D848" s="28" t="inlineStr">
        <is>
          <t/>
        </is>
      </c>
      <c r="E848" s="29" t="inlineStr">
        <is>
          <t/>
        </is>
      </c>
      <c r="F848" s="30" t="inlineStr">
        <is>
          <t/>
        </is>
      </c>
      <c r="G848" s="31" t="inlineStr">
        <is>
          <t/>
        </is>
      </c>
      <c r="H848" s="32" t="inlineStr">
        <is>
          <t/>
        </is>
      </c>
      <c r="I848" s="33" t="inlineStr">
        <is>
          <t/>
        </is>
      </c>
      <c r="J848" s="34" t="inlineStr">
        <is>
          <t/>
        </is>
      </c>
      <c r="K848" s="35" t="inlineStr">
        <is>
          <t>Privately Held (backing)</t>
        </is>
      </c>
      <c r="L848" s="36" t="inlineStr">
        <is>
          <t>Angel-Backed</t>
        </is>
      </c>
      <c r="M848" s="37" t="n">
        <v>41774.0</v>
      </c>
      <c r="N848" s="38" t="inlineStr">
        <is>
          <t>Angel (individual)</t>
        </is>
      </c>
      <c r="O848" s="39" t="n">
        <v>0.04</v>
      </c>
      <c r="P848" s="102">
        <f>HYPERLINK("https://my.pitchbook.com?c=95418-55", "View company online")</f>
      </c>
    </row>
    <row r="849">
      <c r="A849" s="9" t="inlineStr">
        <is>
          <t>148922-47</t>
        </is>
      </c>
      <c r="B849" s="10" t="inlineStr">
        <is>
          <t>Tecnos Research of America</t>
        </is>
      </c>
      <c r="C849" s="11" t="inlineStr">
        <is>
          <t/>
        </is>
      </c>
      <c r="D849" s="12" t="inlineStr">
        <is>
          <t/>
        </is>
      </c>
      <c r="E849" s="13" t="inlineStr">
        <is>
          <t/>
        </is>
      </c>
      <c r="F849" s="14" t="inlineStr">
        <is>
          <t/>
        </is>
      </c>
      <c r="G849" s="15" t="inlineStr">
        <is>
          <t/>
        </is>
      </c>
      <c r="H849" s="16" t="inlineStr">
        <is>
          <t/>
        </is>
      </c>
      <c r="I849" s="17" t="inlineStr">
        <is>
          <t/>
        </is>
      </c>
      <c r="J849" s="18" t="inlineStr">
        <is>
          <t/>
        </is>
      </c>
      <c r="K849" s="19" t="inlineStr">
        <is>
          <t>Privately Held (backing)</t>
        </is>
      </c>
      <c r="L849" s="20" t="inlineStr">
        <is>
          <t>Angel-Backed</t>
        </is>
      </c>
      <c r="M849" s="21" t="n">
        <v>42341.0</v>
      </c>
      <c r="N849" s="22" t="inlineStr">
        <is>
          <t>Angel (individual)</t>
        </is>
      </c>
      <c r="O849" s="23" t="n">
        <v>0.2</v>
      </c>
      <c r="P849" s="101">
        <f>HYPERLINK("https://my.pitchbook.com?c=148922-47", "View company online")</f>
      </c>
    </row>
    <row r="850">
      <c r="A850" s="25" t="inlineStr">
        <is>
          <t>59198-77</t>
        </is>
      </c>
      <c r="B850" s="26" t="inlineStr">
        <is>
          <t>TechShop</t>
        </is>
      </c>
      <c r="C850" s="27" t="inlineStr">
        <is>
          <t/>
        </is>
      </c>
      <c r="D850" s="28" t="inlineStr">
        <is>
          <t/>
        </is>
      </c>
      <c r="E850" s="29" t="inlineStr">
        <is>
          <t>FY 2015</t>
        </is>
      </c>
      <c r="F850" s="30" t="n">
        <v>13.96</v>
      </c>
      <c r="G850" s="31" t="inlineStr">
        <is>
          <t/>
        </is>
      </c>
      <c r="H850" s="32" t="inlineStr">
        <is>
          <t/>
        </is>
      </c>
      <c r="I850" s="33" t="inlineStr">
        <is>
          <t/>
        </is>
      </c>
      <c r="J850" s="34" t="inlineStr">
        <is>
          <t/>
        </is>
      </c>
      <c r="K850" s="35" t="inlineStr">
        <is>
          <t>Privately Held (backing)</t>
        </is>
      </c>
      <c r="L850" s="36" t="inlineStr">
        <is>
          <t>Angel-Backed</t>
        </is>
      </c>
      <c r="M850" s="37" t="n">
        <v>41765.0</v>
      </c>
      <c r="N850" s="38" t="inlineStr">
        <is>
          <t>Angel (individual)</t>
        </is>
      </c>
      <c r="O850" s="39" t="n">
        <v>2.19</v>
      </c>
      <c r="P850" s="102">
        <f>HYPERLINK("https://my.pitchbook.com?c=59198-77", "View company online")</f>
      </c>
    </row>
    <row r="851">
      <c r="A851" s="9" t="inlineStr">
        <is>
          <t>102971-08</t>
        </is>
      </c>
      <c r="B851" s="10" t="inlineStr">
        <is>
          <t>Techertainment</t>
        </is>
      </c>
      <c r="C851" s="11" t="inlineStr">
        <is>
          <t/>
        </is>
      </c>
      <c r="D851" s="12" t="inlineStr">
        <is>
          <t/>
        </is>
      </c>
      <c r="E851" s="13" t="inlineStr">
        <is>
          <t/>
        </is>
      </c>
      <c r="F851" s="14" t="inlineStr">
        <is>
          <t/>
        </is>
      </c>
      <c r="G851" s="15" t="inlineStr">
        <is>
          <t/>
        </is>
      </c>
      <c r="H851" s="16" t="inlineStr">
        <is>
          <t/>
        </is>
      </c>
      <c r="I851" s="17" t="inlineStr">
        <is>
          <t/>
        </is>
      </c>
      <c r="J851" s="18" t="inlineStr">
        <is>
          <t/>
        </is>
      </c>
      <c r="K851" s="19" t="inlineStr">
        <is>
          <t>Privately Held (backing)</t>
        </is>
      </c>
      <c r="L851" s="20" t="inlineStr">
        <is>
          <t>Angel-Backed</t>
        </is>
      </c>
      <c r="M851" s="21" t="n">
        <v>41442.0</v>
      </c>
      <c r="N851" s="22" t="inlineStr">
        <is>
          <t>Seed Round</t>
        </is>
      </c>
      <c r="O851" s="23" t="n">
        <v>0.45</v>
      </c>
      <c r="P851" s="101">
        <f>HYPERLINK("https://my.pitchbook.com?c=102971-08", "View company online")</f>
      </c>
    </row>
    <row r="852">
      <c r="A852" s="25" t="inlineStr">
        <is>
          <t>95545-54</t>
        </is>
      </c>
      <c r="B852" s="26" t="inlineStr">
        <is>
          <t>TechDevils</t>
        </is>
      </c>
      <c r="C852" s="27" t="inlineStr">
        <is>
          <t/>
        </is>
      </c>
      <c r="D852" s="28" t="inlineStr">
        <is>
          <t/>
        </is>
      </c>
      <c r="E852" s="29" t="inlineStr">
        <is>
          <t/>
        </is>
      </c>
      <c r="F852" s="30" t="inlineStr">
        <is>
          <t/>
        </is>
      </c>
      <c r="G852" s="31" t="inlineStr">
        <is>
          <t/>
        </is>
      </c>
      <c r="H852" s="32" t="inlineStr">
        <is>
          <t/>
        </is>
      </c>
      <c r="I852" s="33" t="inlineStr">
        <is>
          <t/>
        </is>
      </c>
      <c r="J852" s="34" t="inlineStr">
        <is>
          <t/>
        </is>
      </c>
      <c r="K852" s="35" t="inlineStr">
        <is>
          <t>Privately Held (backing)</t>
        </is>
      </c>
      <c r="L852" s="36" t="inlineStr">
        <is>
          <t>Angel-Backed</t>
        </is>
      </c>
      <c r="M852" s="37" t="n">
        <v>39979.0</v>
      </c>
      <c r="N852" s="38" t="inlineStr">
        <is>
          <t>Angel (individual)</t>
        </is>
      </c>
      <c r="O852" s="39" t="n">
        <v>0.04</v>
      </c>
      <c r="P852" s="102">
        <f>HYPERLINK("https://my.pitchbook.com?c=95545-54", "View company online")</f>
      </c>
    </row>
    <row r="853">
      <c r="A853" s="9" t="inlineStr">
        <is>
          <t>89923-15</t>
        </is>
      </c>
      <c r="B853" s="10" t="inlineStr">
        <is>
          <t>Tech urSelf</t>
        </is>
      </c>
      <c r="C853" s="11" t="inlineStr">
        <is>
          <t/>
        </is>
      </c>
      <c r="D853" s="12" t="inlineStr">
        <is>
          <t/>
        </is>
      </c>
      <c r="E853" s="13" t="inlineStr">
        <is>
          <t/>
        </is>
      </c>
      <c r="F853" s="14" t="inlineStr">
        <is>
          <t/>
        </is>
      </c>
      <c r="G853" s="15" t="inlineStr">
        <is>
          <t/>
        </is>
      </c>
      <c r="H853" s="16" t="inlineStr">
        <is>
          <t/>
        </is>
      </c>
      <c r="I853" s="17" t="inlineStr">
        <is>
          <t/>
        </is>
      </c>
      <c r="J853" s="18" t="inlineStr">
        <is>
          <t/>
        </is>
      </c>
      <c r="K853" s="19" t="inlineStr">
        <is>
          <t>Privately Held (backing)</t>
        </is>
      </c>
      <c r="L853" s="20" t="inlineStr">
        <is>
          <t>Accelerator/Incubator Backed</t>
        </is>
      </c>
      <c r="M853" s="21" t="n">
        <v>41579.0</v>
      </c>
      <c r="N853" s="22" t="inlineStr">
        <is>
          <t>Accelerator/Incubator</t>
        </is>
      </c>
      <c r="O853" s="23" t="n">
        <v>0.04</v>
      </c>
      <c r="P853" s="101">
        <f>HYPERLINK("https://my.pitchbook.com?c=89923-15", "View company online")</f>
      </c>
    </row>
    <row r="854">
      <c r="A854" s="25" t="inlineStr">
        <is>
          <t>173773-81</t>
        </is>
      </c>
      <c r="B854" s="26" t="inlineStr">
        <is>
          <t>Teamvibe</t>
        </is>
      </c>
      <c r="C854" s="78">
        <f>HYPERLINK("https://my.pitchbook.com?rrp=173773-81&amp;type=c", "This Company's information is not available to download. Need this Company? Request availability")</f>
      </c>
      <c r="D854" s="28" t="inlineStr">
        <is>
          <t/>
        </is>
      </c>
      <c r="E854" s="29" t="inlineStr">
        <is>
          <t/>
        </is>
      </c>
      <c r="F854" s="30" t="inlineStr">
        <is>
          <t/>
        </is>
      </c>
      <c r="G854" s="31" t="inlineStr">
        <is>
          <t/>
        </is>
      </c>
      <c r="H854" s="32" t="inlineStr">
        <is>
          <t/>
        </is>
      </c>
      <c r="I854" s="33" t="inlineStr">
        <is>
          <t/>
        </is>
      </c>
      <c r="J854" s="34" t="inlineStr">
        <is>
          <t/>
        </is>
      </c>
      <c r="K854" s="35" t="inlineStr">
        <is>
          <t/>
        </is>
      </c>
      <c r="L854" s="36" t="inlineStr">
        <is>
          <t/>
        </is>
      </c>
      <c r="M854" s="37" t="inlineStr">
        <is>
          <t/>
        </is>
      </c>
      <c r="N854" s="38" t="inlineStr">
        <is>
          <t/>
        </is>
      </c>
      <c r="O854" s="39" t="inlineStr">
        <is>
          <t/>
        </is>
      </c>
      <c r="P854" s="40" t="inlineStr">
        <is>
          <t/>
        </is>
      </c>
    </row>
    <row r="855">
      <c r="A855" s="9" t="inlineStr">
        <is>
          <t>167062-96</t>
        </is>
      </c>
      <c r="B855" s="10" t="inlineStr">
        <is>
          <t>TeamPlus</t>
        </is>
      </c>
      <c r="C855" s="11" t="inlineStr">
        <is>
          <t/>
        </is>
      </c>
      <c r="D855" s="12" t="inlineStr">
        <is>
          <t/>
        </is>
      </c>
      <c r="E855" s="13" t="inlineStr">
        <is>
          <t/>
        </is>
      </c>
      <c r="F855" s="14" t="inlineStr">
        <is>
          <t/>
        </is>
      </c>
      <c r="G855" s="15" t="inlineStr">
        <is>
          <t/>
        </is>
      </c>
      <c r="H855" s="16" t="inlineStr">
        <is>
          <t/>
        </is>
      </c>
      <c r="I855" s="17" t="inlineStr">
        <is>
          <t/>
        </is>
      </c>
      <c r="J855" s="18" t="inlineStr">
        <is>
          <t/>
        </is>
      </c>
      <c r="K855" s="19" t="inlineStr">
        <is>
          <t>Privately Held (backing)</t>
        </is>
      </c>
      <c r="L855" s="20" t="inlineStr">
        <is>
          <t>Accelerator/Incubator Backed</t>
        </is>
      </c>
      <c r="M855" s="21" t="inlineStr">
        <is>
          <t/>
        </is>
      </c>
      <c r="N855" s="22" t="inlineStr">
        <is>
          <t>Angel (individual)</t>
        </is>
      </c>
      <c r="O855" s="23" t="n">
        <v>0.3</v>
      </c>
      <c r="P855" s="101">
        <f>HYPERLINK("https://my.pitchbook.com?c=167062-96", "View company online")</f>
      </c>
    </row>
    <row r="856">
      <c r="A856" s="25" t="inlineStr">
        <is>
          <t>174491-29</t>
        </is>
      </c>
      <c r="B856" s="26" t="inlineStr">
        <is>
          <t>TeamNow</t>
        </is>
      </c>
      <c r="C856" s="78">
        <f>HYPERLINK("https://my.pitchbook.com?rrp=174491-29&amp;type=c", "This Company's information is not available to download. Need this Company? Request availability")</f>
      </c>
      <c r="D856" s="28" t="inlineStr">
        <is>
          <t/>
        </is>
      </c>
      <c r="E856" s="29" t="inlineStr">
        <is>
          <t/>
        </is>
      </c>
      <c r="F856" s="30" t="inlineStr">
        <is>
          <t/>
        </is>
      </c>
      <c r="G856" s="31" t="inlineStr">
        <is>
          <t/>
        </is>
      </c>
      <c r="H856" s="32" t="inlineStr">
        <is>
          <t/>
        </is>
      </c>
      <c r="I856" s="33" t="inlineStr">
        <is>
          <t/>
        </is>
      </c>
      <c r="J856" s="34" t="inlineStr">
        <is>
          <t/>
        </is>
      </c>
      <c r="K856" s="35" t="inlineStr">
        <is>
          <t/>
        </is>
      </c>
      <c r="L856" s="36" t="inlineStr">
        <is>
          <t/>
        </is>
      </c>
      <c r="M856" s="37" t="inlineStr">
        <is>
          <t/>
        </is>
      </c>
      <c r="N856" s="38" t="inlineStr">
        <is>
          <t/>
        </is>
      </c>
      <c r="O856" s="39" t="inlineStr">
        <is>
          <t/>
        </is>
      </c>
      <c r="P856" s="40" t="inlineStr">
        <is>
          <t/>
        </is>
      </c>
    </row>
    <row r="857">
      <c r="A857" s="9" t="inlineStr">
        <is>
          <t>94192-30</t>
        </is>
      </c>
      <c r="B857" s="10" t="inlineStr">
        <is>
          <t>Teaman &amp; Company</t>
        </is>
      </c>
      <c r="C857" s="11" t="inlineStr">
        <is>
          <t/>
        </is>
      </c>
      <c r="D857" s="12" t="inlineStr">
        <is>
          <t/>
        </is>
      </c>
      <c r="E857" s="13" t="inlineStr">
        <is>
          <t/>
        </is>
      </c>
      <c r="F857" s="14" t="inlineStr">
        <is>
          <t/>
        </is>
      </c>
      <c r="G857" s="15" t="inlineStr">
        <is>
          <t/>
        </is>
      </c>
      <c r="H857" s="16" t="inlineStr">
        <is>
          <t/>
        </is>
      </c>
      <c r="I857" s="17" t="inlineStr">
        <is>
          <t/>
        </is>
      </c>
      <c r="J857" s="18" t="inlineStr">
        <is>
          <t/>
        </is>
      </c>
      <c r="K857" s="19" t="inlineStr">
        <is>
          <t>Privately Held (backing)</t>
        </is>
      </c>
      <c r="L857" s="20" t="inlineStr">
        <is>
          <t>Accelerator/Incubator Backed</t>
        </is>
      </c>
      <c r="M857" s="21" t="n">
        <v>41759.0</v>
      </c>
      <c r="N857" s="22" t="inlineStr">
        <is>
          <t>Accelerator/Incubator</t>
        </is>
      </c>
      <c r="O857" s="23" t="n">
        <v>0.1</v>
      </c>
      <c r="P857" s="101">
        <f>HYPERLINK("https://my.pitchbook.com?c=94192-30", "View company online")</f>
      </c>
    </row>
    <row r="858">
      <c r="A858" s="25" t="inlineStr">
        <is>
          <t>108026-29</t>
        </is>
      </c>
      <c r="B858" s="26" t="inlineStr">
        <is>
          <t>Team(You)</t>
        </is>
      </c>
      <c r="C858" s="27" t="inlineStr">
        <is>
          <t/>
        </is>
      </c>
      <c r="D858" s="28" t="inlineStr">
        <is>
          <t/>
        </is>
      </c>
      <c r="E858" s="29" t="inlineStr">
        <is>
          <t/>
        </is>
      </c>
      <c r="F858" s="30" t="inlineStr">
        <is>
          <t/>
        </is>
      </c>
      <c r="G858" s="31" t="inlineStr">
        <is>
          <t/>
        </is>
      </c>
      <c r="H858" s="32" t="inlineStr">
        <is>
          <t/>
        </is>
      </c>
      <c r="I858" s="33" t="inlineStr">
        <is>
          <t/>
        </is>
      </c>
      <c r="J858" s="34" t="inlineStr">
        <is>
          <t/>
        </is>
      </c>
      <c r="K858" s="35" t="inlineStr">
        <is>
          <t>Privately Held (backing)</t>
        </is>
      </c>
      <c r="L858" s="36" t="inlineStr">
        <is>
          <t>Angel-Backed</t>
        </is>
      </c>
      <c r="M858" s="37" t="n">
        <v>42044.0</v>
      </c>
      <c r="N858" s="38" t="inlineStr">
        <is>
          <t>Seed Round</t>
        </is>
      </c>
      <c r="O858" s="39" t="n">
        <v>0.5</v>
      </c>
      <c r="P858" s="102">
        <f>HYPERLINK("https://my.pitchbook.com?c=108026-29", "View company online")</f>
      </c>
    </row>
    <row r="859">
      <c r="A859" s="9" t="inlineStr">
        <is>
          <t>102392-38</t>
        </is>
      </c>
      <c r="B859" s="10" t="inlineStr">
        <is>
          <t>Team Rubicon</t>
        </is>
      </c>
      <c r="C859" s="77">
        <f>HYPERLINK("https://my.pitchbook.com?rrp=102392-38&amp;type=c", "This Company's information is not available to download. Need this Company? Request availability")</f>
      </c>
      <c r="D859" s="12" t="inlineStr">
        <is>
          <t/>
        </is>
      </c>
      <c r="E859" s="13" t="inlineStr">
        <is>
          <t/>
        </is>
      </c>
      <c r="F859" s="14" t="inlineStr">
        <is>
          <t/>
        </is>
      </c>
      <c r="G859" s="15" t="inlineStr">
        <is>
          <t/>
        </is>
      </c>
      <c r="H859" s="16" t="inlineStr">
        <is>
          <t/>
        </is>
      </c>
      <c r="I859" s="17" t="inlineStr">
        <is>
          <t/>
        </is>
      </c>
      <c r="J859" s="18" t="inlineStr">
        <is>
          <t/>
        </is>
      </c>
      <c r="K859" s="19" t="inlineStr">
        <is>
          <t/>
        </is>
      </c>
      <c r="L859" s="20" t="inlineStr">
        <is>
          <t/>
        </is>
      </c>
      <c r="M859" s="21" t="inlineStr">
        <is>
          <t/>
        </is>
      </c>
      <c r="N859" s="22" t="inlineStr">
        <is>
          <t/>
        </is>
      </c>
      <c r="O859" s="23" t="inlineStr">
        <is>
          <t/>
        </is>
      </c>
      <c r="P859" s="24" t="inlineStr">
        <is>
          <t/>
        </is>
      </c>
    </row>
    <row r="860">
      <c r="A860" s="25" t="inlineStr">
        <is>
          <t>89922-07</t>
        </is>
      </c>
      <c r="B860" s="26" t="inlineStr">
        <is>
          <t>Team Robot</t>
        </is>
      </c>
      <c r="C860" s="27" t="inlineStr">
        <is>
          <t/>
        </is>
      </c>
      <c r="D860" s="28" t="inlineStr">
        <is>
          <t/>
        </is>
      </c>
      <c r="E860" s="29" t="inlineStr">
        <is>
          <t/>
        </is>
      </c>
      <c r="F860" s="30" t="inlineStr">
        <is>
          <t/>
        </is>
      </c>
      <c r="G860" s="31" t="inlineStr">
        <is>
          <t/>
        </is>
      </c>
      <c r="H860" s="32" t="inlineStr">
        <is>
          <t/>
        </is>
      </c>
      <c r="I860" s="33" t="inlineStr">
        <is>
          <t/>
        </is>
      </c>
      <c r="J860" s="34" t="inlineStr">
        <is>
          <t/>
        </is>
      </c>
      <c r="K860" s="35" t="inlineStr">
        <is>
          <t>Privately Held (backing)</t>
        </is>
      </c>
      <c r="L860" s="36" t="inlineStr">
        <is>
          <t>Angel-Backed</t>
        </is>
      </c>
      <c r="M860" s="37" t="n">
        <v>40603.0</v>
      </c>
      <c r="N860" s="38" t="inlineStr">
        <is>
          <t>Seed Round</t>
        </is>
      </c>
      <c r="O860" s="39" t="n">
        <v>0.03</v>
      </c>
      <c r="P860" s="102">
        <f>HYPERLINK("https://my.pitchbook.com?c=89922-07", "View company online")</f>
      </c>
    </row>
    <row r="861">
      <c r="A861" s="9" t="inlineStr">
        <is>
          <t>172769-86</t>
        </is>
      </c>
      <c r="B861" s="10" t="inlineStr">
        <is>
          <t>Team Elemental</t>
        </is>
      </c>
      <c r="C861" s="77">
        <f>HYPERLINK("https://my.pitchbook.com?rrp=172769-86&amp;type=c", "This Company's information is not available to download. Need this Company? Request availability")</f>
      </c>
      <c r="D861" s="12" t="inlineStr">
        <is>
          <t/>
        </is>
      </c>
      <c r="E861" s="13" t="inlineStr">
        <is>
          <t/>
        </is>
      </c>
      <c r="F861" s="14" t="inlineStr">
        <is>
          <t/>
        </is>
      </c>
      <c r="G861" s="15" t="inlineStr">
        <is>
          <t/>
        </is>
      </c>
      <c r="H861" s="16" t="inlineStr">
        <is>
          <t/>
        </is>
      </c>
      <c r="I861" s="17" t="inlineStr">
        <is>
          <t/>
        </is>
      </c>
      <c r="J861" s="18" t="inlineStr">
        <is>
          <t/>
        </is>
      </c>
      <c r="K861" s="19" t="inlineStr">
        <is>
          <t/>
        </is>
      </c>
      <c r="L861" s="20" t="inlineStr">
        <is>
          <t/>
        </is>
      </c>
      <c r="M861" s="21" t="inlineStr">
        <is>
          <t/>
        </is>
      </c>
      <c r="N861" s="22" t="inlineStr">
        <is>
          <t/>
        </is>
      </c>
      <c r="O861" s="23" t="inlineStr">
        <is>
          <t/>
        </is>
      </c>
      <c r="P861" s="24" t="inlineStr">
        <is>
          <t/>
        </is>
      </c>
    </row>
    <row r="862">
      <c r="A862" s="25" t="inlineStr">
        <is>
          <t>170716-24</t>
        </is>
      </c>
      <c r="B862" s="26" t="inlineStr">
        <is>
          <t>TeachU</t>
        </is>
      </c>
      <c r="C862" s="27" t="inlineStr">
        <is>
          <t/>
        </is>
      </c>
      <c r="D862" s="28" t="inlineStr">
        <is>
          <t/>
        </is>
      </c>
      <c r="E862" s="29" t="inlineStr">
        <is>
          <t/>
        </is>
      </c>
      <c r="F862" s="30" t="inlineStr">
        <is>
          <t/>
        </is>
      </c>
      <c r="G862" s="31" t="inlineStr">
        <is>
          <t/>
        </is>
      </c>
      <c r="H862" s="32" t="inlineStr">
        <is>
          <t/>
        </is>
      </c>
      <c r="I862" s="33" t="inlineStr">
        <is>
          <t/>
        </is>
      </c>
      <c r="J862" s="34" t="inlineStr">
        <is>
          <t/>
        </is>
      </c>
      <c r="K862" s="35" t="inlineStr">
        <is>
          <t>Privately Held (backing)</t>
        </is>
      </c>
      <c r="L862" s="36" t="inlineStr">
        <is>
          <t>Angel-Backed</t>
        </is>
      </c>
      <c r="M862" s="37" t="n">
        <v>42772.0</v>
      </c>
      <c r="N862" s="38" t="inlineStr">
        <is>
          <t>Angel (individual)</t>
        </is>
      </c>
      <c r="O862" s="39" t="n">
        <v>0.33</v>
      </c>
      <c r="P862" s="102">
        <f>HYPERLINK("https://my.pitchbook.com?c=170716-24", "View company online")</f>
      </c>
    </row>
    <row r="863">
      <c r="A863" s="9" t="inlineStr">
        <is>
          <t>92614-42</t>
        </is>
      </c>
      <c r="B863" s="10" t="inlineStr">
        <is>
          <t>Teachmeo</t>
        </is>
      </c>
      <c r="C863" s="11" t="inlineStr">
        <is>
          <t/>
        </is>
      </c>
      <c r="D863" s="12" t="inlineStr">
        <is>
          <t/>
        </is>
      </c>
      <c r="E863" s="13" t="inlineStr">
        <is>
          <t/>
        </is>
      </c>
      <c r="F863" s="14" t="inlineStr">
        <is>
          <t/>
        </is>
      </c>
      <c r="G863" s="15" t="inlineStr">
        <is>
          <t/>
        </is>
      </c>
      <c r="H863" s="16" t="inlineStr">
        <is>
          <t/>
        </is>
      </c>
      <c r="I863" s="17" t="inlineStr">
        <is>
          <t/>
        </is>
      </c>
      <c r="J863" s="18" t="inlineStr">
        <is>
          <t/>
        </is>
      </c>
      <c r="K863" s="19" t="inlineStr">
        <is>
          <t>Privately Held (backing)</t>
        </is>
      </c>
      <c r="L863" s="20" t="inlineStr">
        <is>
          <t>Accelerator/Incubator Backed</t>
        </is>
      </c>
      <c r="M863" s="21" t="n">
        <v>41398.0</v>
      </c>
      <c r="N863" s="22" t="inlineStr">
        <is>
          <t>Accelerator/Incubator</t>
        </is>
      </c>
      <c r="O863" s="23" t="n">
        <v>0.02</v>
      </c>
      <c r="P863" s="101">
        <f>HYPERLINK("https://my.pitchbook.com?c=92614-42", "View company online")</f>
      </c>
    </row>
    <row r="864">
      <c r="A864" s="25" t="inlineStr">
        <is>
          <t>112779-91</t>
        </is>
      </c>
      <c r="B864" s="26" t="inlineStr">
        <is>
          <t>TeachMe</t>
        </is>
      </c>
      <c r="C864" s="27" t="inlineStr">
        <is>
          <t/>
        </is>
      </c>
      <c r="D864" s="28" t="inlineStr">
        <is>
          <t/>
        </is>
      </c>
      <c r="E864" s="29" t="inlineStr">
        <is>
          <t/>
        </is>
      </c>
      <c r="F864" s="30" t="inlineStr">
        <is>
          <t/>
        </is>
      </c>
      <c r="G864" s="31" t="inlineStr">
        <is>
          <t/>
        </is>
      </c>
      <c r="H864" s="32" t="inlineStr">
        <is>
          <t/>
        </is>
      </c>
      <c r="I864" s="33" t="inlineStr">
        <is>
          <t/>
        </is>
      </c>
      <c r="J864" s="34" t="inlineStr">
        <is>
          <t/>
        </is>
      </c>
      <c r="K864" s="35" t="inlineStr">
        <is>
          <t>Privately Held (backing)</t>
        </is>
      </c>
      <c r="L864" s="36" t="inlineStr">
        <is>
          <t>Accelerator/Incubator Backed</t>
        </is>
      </c>
      <c r="M864" s="37" t="n">
        <v>42018.0</v>
      </c>
      <c r="N864" s="38" t="inlineStr">
        <is>
          <t>Accelerator/Incubator</t>
        </is>
      </c>
      <c r="O864" s="39" t="n">
        <v>0.02</v>
      </c>
      <c r="P864" s="102">
        <f>HYPERLINK("https://my.pitchbook.com?c=112779-91", "View company online")</f>
      </c>
    </row>
    <row r="865">
      <c r="A865" s="9" t="inlineStr">
        <is>
          <t>122352-58</t>
        </is>
      </c>
      <c r="B865" s="10" t="inlineStr">
        <is>
          <t>Teachly</t>
        </is>
      </c>
      <c r="C865" s="11" t="inlineStr">
        <is>
          <t/>
        </is>
      </c>
      <c r="D865" s="12" t="inlineStr">
        <is>
          <t/>
        </is>
      </c>
      <c r="E865" s="13" t="inlineStr">
        <is>
          <t/>
        </is>
      </c>
      <c r="F865" s="14" t="inlineStr">
        <is>
          <t/>
        </is>
      </c>
      <c r="G865" s="15" t="inlineStr">
        <is>
          <t/>
        </is>
      </c>
      <c r="H865" s="16" t="inlineStr">
        <is>
          <t/>
        </is>
      </c>
      <c r="I865" s="17" t="inlineStr">
        <is>
          <t/>
        </is>
      </c>
      <c r="J865" s="18" t="inlineStr">
        <is>
          <t/>
        </is>
      </c>
      <c r="K865" s="19" t="inlineStr">
        <is>
          <t>Privately Held (backing)</t>
        </is>
      </c>
      <c r="L865" s="20" t="inlineStr">
        <is>
          <t>Accelerator/Incubator Backed</t>
        </is>
      </c>
      <c r="M865" s="21" t="n">
        <v>42128.0</v>
      </c>
      <c r="N865" s="22" t="inlineStr">
        <is>
          <t>Accelerator/Incubator</t>
        </is>
      </c>
      <c r="O865" s="23" t="inlineStr">
        <is>
          <t/>
        </is>
      </c>
      <c r="P865" s="101">
        <f>HYPERLINK("https://my.pitchbook.com?c=122352-58", "View company online")</f>
      </c>
    </row>
    <row r="866">
      <c r="A866" s="25" t="inlineStr">
        <is>
          <t>95538-52</t>
        </is>
      </c>
      <c r="B866" s="26" t="inlineStr">
        <is>
          <t>Teachlr</t>
        </is>
      </c>
      <c r="C866" s="27" t="inlineStr">
        <is>
          <t/>
        </is>
      </c>
      <c r="D866" s="28" t="inlineStr">
        <is>
          <t/>
        </is>
      </c>
      <c r="E866" s="29" t="inlineStr">
        <is>
          <t/>
        </is>
      </c>
      <c r="F866" s="30" t="inlineStr">
        <is>
          <t/>
        </is>
      </c>
      <c r="G866" s="31" t="inlineStr">
        <is>
          <t/>
        </is>
      </c>
      <c r="H866" s="32" t="inlineStr">
        <is>
          <t/>
        </is>
      </c>
      <c r="I866" s="33" t="inlineStr">
        <is>
          <t/>
        </is>
      </c>
      <c r="J866" s="34" t="inlineStr">
        <is>
          <t/>
        </is>
      </c>
      <c r="K866" s="35" t="inlineStr">
        <is>
          <t>Privately Held (backing)</t>
        </is>
      </c>
      <c r="L866" s="36" t="inlineStr">
        <is>
          <t>Angel-Backed</t>
        </is>
      </c>
      <c r="M866" s="37" t="inlineStr">
        <is>
          <t/>
        </is>
      </c>
      <c r="N866" s="38" t="inlineStr">
        <is>
          <t/>
        </is>
      </c>
      <c r="O866" s="39" t="inlineStr">
        <is>
          <t/>
        </is>
      </c>
      <c r="P866" s="102">
        <f>HYPERLINK("https://my.pitchbook.com?c=95538-52", "View company online")</f>
      </c>
    </row>
    <row r="867">
      <c r="A867" s="9" t="inlineStr">
        <is>
          <t>92613-70</t>
        </is>
      </c>
      <c r="B867" s="10" t="inlineStr">
        <is>
          <t>TCZ Holdings</t>
        </is>
      </c>
      <c r="C867" s="11" t="inlineStr">
        <is>
          <t/>
        </is>
      </c>
      <c r="D867" s="12" t="inlineStr">
        <is>
          <t/>
        </is>
      </c>
      <c r="E867" s="13" t="inlineStr">
        <is>
          <t/>
        </is>
      </c>
      <c r="F867" s="14" t="inlineStr">
        <is>
          <t/>
        </is>
      </c>
      <c r="G867" s="15" t="inlineStr">
        <is>
          <t/>
        </is>
      </c>
      <c r="H867" s="16" t="inlineStr">
        <is>
          <t/>
        </is>
      </c>
      <c r="I867" s="17" t="inlineStr">
        <is>
          <t/>
        </is>
      </c>
      <c r="J867" s="18" t="inlineStr">
        <is>
          <t/>
        </is>
      </c>
      <c r="K867" s="19" t="inlineStr">
        <is>
          <t>Privately Held (backing)</t>
        </is>
      </c>
      <c r="L867" s="20" t="inlineStr">
        <is>
          <t>Angel-Backed</t>
        </is>
      </c>
      <c r="M867" s="21" t="n">
        <v>40792.0</v>
      </c>
      <c r="N867" s="22" t="inlineStr">
        <is>
          <t>Angel (individual)</t>
        </is>
      </c>
      <c r="O867" s="23" t="n">
        <v>3.0</v>
      </c>
      <c r="P867" s="101">
        <f>HYPERLINK("https://my.pitchbook.com?c=92613-70", "View company online")</f>
      </c>
    </row>
    <row r="868">
      <c r="A868" s="25" t="inlineStr">
        <is>
          <t>113628-43</t>
        </is>
      </c>
      <c r="B868" s="26" t="inlineStr">
        <is>
          <t>TaxGirls</t>
        </is>
      </c>
      <c r="C868" s="78">
        <f>HYPERLINK("https://my.pitchbook.com?rrp=113628-43&amp;type=c", "This Company's information is not available to download. Need this Company? Request availability")</f>
      </c>
      <c r="D868" s="28" t="inlineStr">
        <is>
          <t/>
        </is>
      </c>
      <c r="E868" s="29" t="inlineStr">
        <is>
          <t/>
        </is>
      </c>
      <c r="F868" s="30" t="inlineStr">
        <is>
          <t/>
        </is>
      </c>
      <c r="G868" s="31" t="inlineStr">
        <is>
          <t/>
        </is>
      </c>
      <c r="H868" s="32" t="inlineStr">
        <is>
          <t/>
        </is>
      </c>
      <c r="I868" s="33" t="inlineStr">
        <is>
          <t/>
        </is>
      </c>
      <c r="J868" s="34" t="inlineStr">
        <is>
          <t/>
        </is>
      </c>
      <c r="K868" s="35" t="inlineStr">
        <is>
          <t/>
        </is>
      </c>
      <c r="L868" s="36" t="inlineStr">
        <is>
          <t/>
        </is>
      </c>
      <c r="M868" s="37" t="inlineStr">
        <is>
          <t/>
        </is>
      </c>
      <c r="N868" s="38" t="inlineStr">
        <is>
          <t/>
        </is>
      </c>
      <c r="O868" s="39" t="inlineStr">
        <is>
          <t/>
        </is>
      </c>
      <c r="P868" s="40" t="inlineStr">
        <is>
          <t/>
        </is>
      </c>
    </row>
    <row r="869">
      <c r="A869" s="9" t="inlineStr">
        <is>
          <t>117760-96</t>
        </is>
      </c>
      <c r="B869" s="10" t="inlineStr">
        <is>
          <t>TaxBestimates</t>
        </is>
      </c>
      <c r="C869" s="11" t="inlineStr">
        <is>
          <t/>
        </is>
      </c>
      <c r="D869" s="12" t="inlineStr">
        <is>
          <t/>
        </is>
      </c>
      <c r="E869" s="13" t="inlineStr">
        <is>
          <t/>
        </is>
      </c>
      <c r="F869" s="14" t="inlineStr">
        <is>
          <t/>
        </is>
      </c>
      <c r="G869" s="15" t="inlineStr">
        <is>
          <t/>
        </is>
      </c>
      <c r="H869" s="16" t="inlineStr">
        <is>
          <t/>
        </is>
      </c>
      <c r="I869" s="17" t="inlineStr">
        <is>
          <t/>
        </is>
      </c>
      <c r="J869" s="18" t="inlineStr">
        <is>
          <t/>
        </is>
      </c>
      <c r="K869" s="19" t="inlineStr">
        <is>
          <t>Privately Held (backing)</t>
        </is>
      </c>
      <c r="L869" s="20" t="inlineStr">
        <is>
          <t>Angel-Backed</t>
        </is>
      </c>
      <c r="M869" s="21" t="n">
        <v>42156.0</v>
      </c>
      <c r="N869" s="22" t="inlineStr">
        <is>
          <t>Seed Round</t>
        </is>
      </c>
      <c r="O869" s="23" t="inlineStr">
        <is>
          <t/>
        </is>
      </c>
      <c r="P869" s="101">
        <f>HYPERLINK("https://my.pitchbook.com?c=117760-96", "View company online")</f>
      </c>
    </row>
    <row r="870">
      <c r="A870" s="25" t="inlineStr">
        <is>
          <t>104185-81</t>
        </is>
      </c>
      <c r="B870" s="26" t="inlineStr">
        <is>
          <t>Tatmaps</t>
        </is>
      </c>
      <c r="C870" s="27" t="inlineStr">
        <is>
          <t/>
        </is>
      </c>
      <c r="D870" s="28" t="inlineStr">
        <is>
          <t/>
        </is>
      </c>
      <c r="E870" s="29" t="inlineStr">
        <is>
          <t/>
        </is>
      </c>
      <c r="F870" s="30" t="inlineStr">
        <is>
          <t/>
        </is>
      </c>
      <c r="G870" s="31" t="inlineStr">
        <is>
          <t/>
        </is>
      </c>
      <c r="H870" s="32" t="inlineStr">
        <is>
          <t/>
        </is>
      </c>
      <c r="I870" s="33" t="inlineStr">
        <is>
          <t/>
        </is>
      </c>
      <c r="J870" s="34" t="inlineStr">
        <is>
          <t/>
        </is>
      </c>
      <c r="K870" s="35" t="inlineStr">
        <is>
          <t>Privately Held (backing)</t>
        </is>
      </c>
      <c r="L870" s="36" t="inlineStr">
        <is>
          <t>Angel-Backed</t>
        </is>
      </c>
      <c r="M870" s="37" t="n">
        <v>41275.0</v>
      </c>
      <c r="N870" s="38" t="inlineStr">
        <is>
          <t>Seed Round</t>
        </is>
      </c>
      <c r="O870" s="39" t="inlineStr">
        <is>
          <t/>
        </is>
      </c>
      <c r="P870" s="102">
        <f>HYPERLINK("https://my.pitchbook.com?c=104185-81", "View company online")</f>
      </c>
    </row>
    <row r="871">
      <c r="A871" s="9" t="inlineStr">
        <is>
          <t>174412-18</t>
        </is>
      </c>
      <c r="B871" s="10" t="inlineStr">
        <is>
          <t>Tasty Development</t>
        </is>
      </c>
      <c r="C871" s="77">
        <f>HYPERLINK("https://my.pitchbook.com?rrp=174412-18&amp;type=c", "This Company's information is not available to download. Need this Company? Request availability")</f>
      </c>
      <c r="D871" s="12" t="inlineStr">
        <is>
          <t/>
        </is>
      </c>
      <c r="E871" s="13" t="inlineStr">
        <is>
          <t/>
        </is>
      </c>
      <c r="F871" s="14" t="inlineStr">
        <is>
          <t/>
        </is>
      </c>
      <c r="G871" s="15" t="inlineStr">
        <is>
          <t/>
        </is>
      </c>
      <c r="H871" s="16" t="inlineStr">
        <is>
          <t/>
        </is>
      </c>
      <c r="I871" s="17" t="inlineStr">
        <is>
          <t/>
        </is>
      </c>
      <c r="J871" s="18" t="inlineStr">
        <is>
          <t/>
        </is>
      </c>
      <c r="K871" s="19" t="inlineStr">
        <is>
          <t/>
        </is>
      </c>
      <c r="L871" s="20" t="inlineStr">
        <is>
          <t/>
        </is>
      </c>
      <c r="M871" s="21" t="inlineStr">
        <is>
          <t/>
        </is>
      </c>
      <c r="N871" s="22" t="inlineStr">
        <is>
          <t/>
        </is>
      </c>
      <c r="O871" s="23" t="inlineStr">
        <is>
          <t/>
        </is>
      </c>
      <c r="P871" s="24" t="inlineStr">
        <is>
          <t/>
        </is>
      </c>
    </row>
    <row r="872">
      <c r="A872" s="25" t="inlineStr">
        <is>
          <t>95094-55</t>
        </is>
      </c>
      <c r="B872" s="26" t="inlineStr">
        <is>
          <t>TasteKid</t>
        </is>
      </c>
      <c r="C872" s="27" t="inlineStr">
        <is>
          <t/>
        </is>
      </c>
      <c r="D872" s="28" t="inlineStr">
        <is>
          <t/>
        </is>
      </c>
      <c r="E872" s="29" t="inlineStr">
        <is>
          <t/>
        </is>
      </c>
      <c r="F872" s="30" t="inlineStr">
        <is>
          <t/>
        </is>
      </c>
      <c r="G872" s="31" t="inlineStr">
        <is>
          <t/>
        </is>
      </c>
      <c r="H872" s="32" t="inlineStr">
        <is>
          <t/>
        </is>
      </c>
      <c r="I872" s="33" t="inlineStr">
        <is>
          <t/>
        </is>
      </c>
      <c r="J872" s="34" t="inlineStr">
        <is>
          <t/>
        </is>
      </c>
      <c r="K872" s="35" t="inlineStr">
        <is>
          <t>Privately Held (backing)</t>
        </is>
      </c>
      <c r="L872" s="36" t="inlineStr">
        <is>
          <t>Angel-Backed</t>
        </is>
      </c>
      <c r="M872" s="37" t="n">
        <v>40869.0</v>
      </c>
      <c r="N872" s="38" t="inlineStr">
        <is>
          <t>Seed Round</t>
        </is>
      </c>
      <c r="O872" s="39" t="inlineStr">
        <is>
          <t/>
        </is>
      </c>
      <c r="P872" s="102">
        <f>HYPERLINK("https://my.pitchbook.com?c=95094-55", "View company online")</f>
      </c>
    </row>
    <row r="873">
      <c r="A873" s="9" t="inlineStr">
        <is>
          <t>95094-28</t>
        </is>
      </c>
      <c r="B873" s="10" t="inlineStr">
        <is>
          <t>Taste of Blue</t>
        </is>
      </c>
      <c r="C873" s="11" t="inlineStr">
        <is>
          <t/>
        </is>
      </c>
      <c r="D873" s="12" t="inlineStr">
        <is>
          <t/>
        </is>
      </c>
      <c r="E873" s="13" t="inlineStr">
        <is>
          <t/>
        </is>
      </c>
      <c r="F873" s="14" t="inlineStr">
        <is>
          <t/>
        </is>
      </c>
      <c r="G873" s="15" t="inlineStr">
        <is>
          <t/>
        </is>
      </c>
      <c r="H873" s="16" t="inlineStr">
        <is>
          <t/>
        </is>
      </c>
      <c r="I873" s="17" t="inlineStr">
        <is>
          <t/>
        </is>
      </c>
      <c r="J873" s="18" t="inlineStr">
        <is>
          <t/>
        </is>
      </c>
      <c r="K873" s="19" t="inlineStr">
        <is>
          <t>Privately Held (backing)</t>
        </is>
      </c>
      <c r="L873" s="20" t="inlineStr">
        <is>
          <t>Accelerator/Incubator Backed</t>
        </is>
      </c>
      <c r="M873" s="21" t="n">
        <v>41410.0</v>
      </c>
      <c r="N873" s="22" t="inlineStr">
        <is>
          <t>Accelerator/Incubator</t>
        </is>
      </c>
      <c r="O873" s="23" t="inlineStr">
        <is>
          <t/>
        </is>
      </c>
      <c r="P873" s="101">
        <f>HYPERLINK("https://my.pitchbook.com?c=95094-28", "View company online")</f>
      </c>
    </row>
    <row r="874">
      <c r="A874" s="25" t="inlineStr">
        <is>
          <t>103244-77</t>
        </is>
      </c>
      <c r="B874" s="26" t="inlineStr">
        <is>
          <t>TaskIT (Consulting)</t>
        </is>
      </c>
      <c r="C874" s="27" t="inlineStr">
        <is>
          <t/>
        </is>
      </c>
      <c r="D874" s="28" t="inlineStr">
        <is>
          <t/>
        </is>
      </c>
      <c r="E874" s="29" t="inlineStr">
        <is>
          <t/>
        </is>
      </c>
      <c r="F874" s="30" t="inlineStr">
        <is>
          <t/>
        </is>
      </c>
      <c r="G874" s="31" t="inlineStr">
        <is>
          <t/>
        </is>
      </c>
      <c r="H874" s="32" t="inlineStr">
        <is>
          <t/>
        </is>
      </c>
      <c r="I874" s="33" t="inlineStr">
        <is>
          <t/>
        </is>
      </c>
      <c r="J874" s="34" t="inlineStr">
        <is>
          <t/>
        </is>
      </c>
      <c r="K874" s="35" t="inlineStr">
        <is>
          <t>Privately Held (backing)</t>
        </is>
      </c>
      <c r="L874" s="36" t="inlineStr">
        <is>
          <t>Angel-Backed</t>
        </is>
      </c>
      <c r="M874" s="37" t="n">
        <v>41791.0</v>
      </c>
      <c r="N874" s="38" t="inlineStr">
        <is>
          <t>Seed Round</t>
        </is>
      </c>
      <c r="O874" s="39" t="n">
        <v>0.4</v>
      </c>
      <c r="P874" s="102">
        <f>HYPERLINK("https://my.pitchbook.com?c=103244-77", "View company online")</f>
      </c>
    </row>
    <row r="875">
      <c r="A875" s="9" t="inlineStr">
        <is>
          <t>176305-78</t>
        </is>
      </c>
      <c r="B875" s="10" t="inlineStr">
        <is>
          <t>Tarzango</t>
        </is>
      </c>
      <c r="C875" s="77">
        <f>HYPERLINK("https://my.pitchbook.com?rrp=176305-78&amp;type=c", "This Company's information is not available to download. Need this Company? Request availability")</f>
      </c>
      <c r="D875" s="12" t="inlineStr">
        <is>
          <t/>
        </is>
      </c>
      <c r="E875" s="13" t="inlineStr">
        <is>
          <t/>
        </is>
      </c>
      <c r="F875" s="14" t="inlineStr">
        <is>
          <t/>
        </is>
      </c>
      <c r="G875" s="15" t="inlineStr">
        <is>
          <t/>
        </is>
      </c>
      <c r="H875" s="16" t="inlineStr">
        <is>
          <t/>
        </is>
      </c>
      <c r="I875" s="17" t="inlineStr">
        <is>
          <t/>
        </is>
      </c>
      <c r="J875" s="18" t="inlineStr">
        <is>
          <t/>
        </is>
      </c>
      <c r="K875" s="19" t="inlineStr">
        <is>
          <t/>
        </is>
      </c>
      <c r="L875" s="20" t="inlineStr">
        <is>
          <t/>
        </is>
      </c>
      <c r="M875" s="21" t="inlineStr">
        <is>
          <t/>
        </is>
      </c>
      <c r="N875" s="22" t="inlineStr">
        <is>
          <t/>
        </is>
      </c>
      <c r="O875" s="23" t="inlineStr">
        <is>
          <t/>
        </is>
      </c>
      <c r="P875" s="24" t="inlineStr">
        <is>
          <t/>
        </is>
      </c>
    </row>
    <row r="876">
      <c r="A876" s="25" t="inlineStr">
        <is>
          <t>154063-54</t>
        </is>
      </c>
      <c r="B876" s="26" t="inlineStr">
        <is>
          <t>Tartwest</t>
        </is>
      </c>
      <c r="C876" s="27" t="inlineStr">
        <is>
          <t/>
        </is>
      </c>
      <c r="D876" s="28" t="inlineStr">
        <is>
          <t/>
        </is>
      </c>
      <c r="E876" s="29" t="inlineStr">
        <is>
          <t/>
        </is>
      </c>
      <c r="F876" s="30" t="inlineStr">
        <is>
          <t/>
        </is>
      </c>
      <c r="G876" s="31" t="inlineStr">
        <is>
          <t/>
        </is>
      </c>
      <c r="H876" s="32" t="inlineStr">
        <is>
          <t/>
        </is>
      </c>
      <c r="I876" s="33" t="inlineStr">
        <is>
          <t/>
        </is>
      </c>
      <c r="J876" s="34" t="inlineStr">
        <is>
          <t/>
        </is>
      </c>
      <c r="K876" s="35" t="inlineStr">
        <is>
          <t>Privately Held (backing)</t>
        </is>
      </c>
      <c r="L876" s="36" t="inlineStr">
        <is>
          <t>Angel-Backed</t>
        </is>
      </c>
      <c r="M876" s="37" t="n">
        <v>41214.0</v>
      </c>
      <c r="N876" s="38" t="inlineStr">
        <is>
          <t>Seed Round</t>
        </is>
      </c>
      <c r="O876" s="39" t="n">
        <v>0.01</v>
      </c>
      <c r="P876" s="102">
        <f>HYPERLINK("https://my.pitchbook.com?c=154063-54", "View company online")</f>
      </c>
    </row>
    <row r="877">
      <c r="A877" s="9" t="inlineStr">
        <is>
          <t>168783-31</t>
        </is>
      </c>
      <c r="B877" s="10" t="inlineStr">
        <is>
          <t>Taro</t>
        </is>
      </c>
      <c r="C877" s="11" t="inlineStr">
        <is>
          <t/>
        </is>
      </c>
      <c r="D877" s="12" t="inlineStr">
        <is>
          <t/>
        </is>
      </c>
      <c r="E877" s="13" t="inlineStr">
        <is>
          <t/>
        </is>
      </c>
      <c r="F877" s="14" t="inlineStr">
        <is>
          <t/>
        </is>
      </c>
      <c r="G877" s="15" t="inlineStr">
        <is>
          <t/>
        </is>
      </c>
      <c r="H877" s="16" t="inlineStr">
        <is>
          <t/>
        </is>
      </c>
      <c r="I877" s="17" t="inlineStr">
        <is>
          <t/>
        </is>
      </c>
      <c r="J877" s="18" t="inlineStr">
        <is>
          <t/>
        </is>
      </c>
      <c r="K877" s="19" t="inlineStr">
        <is>
          <t>Privately Held (backing)</t>
        </is>
      </c>
      <c r="L877" s="20" t="inlineStr">
        <is>
          <t>Angel-Backed</t>
        </is>
      </c>
      <c r="M877" s="21" t="n">
        <v>42711.0</v>
      </c>
      <c r="N877" s="22" t="inlineStr">
        <is>
          <t>Angel (individual)</t>
        </is>
      </c>
      <c r="O877" s="23" t="n">
        <v>2.79</v>
      </c>
      <c r="P877" s="101">
        <f>HYPERLINK("https://my.pitchbook.com?c=168783-31", "View company online")</f>
      </c>
    </row>
    <row r="878">
      <c r="A878" s="25" t="inlineStr">
        <is>
          <t>103144-87</t>
        </is>
      </c>
      <c r="B878" s="26" t="inlineStr">
        <is>
          <t>Tarefa</t>
        </is>
      </c>
      <c r="C878" s="27" t="inlineStr">
        <is>
          <t/>
        </is>
      </c>
      <c r="D878" s="28" t="inlineStr">
        <is>
          <t/>
        </is>
      </c>
      <c r="E878" s="29" t="inlineStr">
        <is>
          <t/>
        </is>
      </c>
      <c r="F878" s="30" t="inlineStr">
        <is>
          <t/>
        </is>
      </c>
      <c r="G878" s="31" t="inlineStr">
        <is>
          <t/>
        </is>
      </c>
      <c r="H878" s="32" t="inlineStr">
        <is>
          <t/>
        </is>
      </c>
      <c r="I878" s="33" t="inlineStr">
        <is>
          <t/>
        </is>
      </c>
      <c r="J878" s="34" t="inlineStr">
        <is>
          <t/>
        </is>
      </c>
      <c r="K878" s="35" t="inlineStr">
        <is>
          <t>Privately Held (backing)</t>
        </is>
      </c>
      <c r="L878" s="36" t="inlineStr">
        <is>
          <t>Accelerator/Incubator Backed</t>
        </is>
      </c>
      <c r="M878" s="37" t="n">
        <v>42660.0</v>
      </c>
      <c r="N878" s="38" t="inlineStr">
        <is>
          <t>Accelerator/Incubator</t>
        </is>
      </c>
      <c r="O878" s="39" t="n">
        <v>0.07</v>
      </c>
      <c r="P878" s="102">
        <f>HYPERLINK("https://my.pitchbook.com?c=103144-87", "View company online")</f>
      </c>
    </row>
    <row r="879">
      <c r="A879" s="9" t="inlineStr">
        <is>
          <t>104185-45</t>
        </is>
      </c>
      <c r="B879" s="10" t="inlineStr">
        <is>
          <t>Taptivate</t>
        </is>
      </c>
      <c r="C879" s="11" t="inlineStr">
        <is>
          <t/>
        </is>
      </c>
      <c r="D879" s="12" t="inlineStr">
        <is>
          <t/>
        </is>
      </c>
      <c r="E879" s="13" t="inlineStr">
        <is>
          <t/>
        </is>
      </c>
      <c r="F879" s="14" t="inlineStr">
        <is>
          <t/>
        </is>
      </c>
      <c r="G879" s="15" t="inlineStr">
        <is>
          <t/>
        </is>
      </c>
      <c r="H879" s="16" t="inlineStr">
        <is>
          <t/>
        </is>
      </c>
      <c r="I879" s="17" t="inlineStr">
        <is>
          <t/>
        </is>
      </c>
      <c r="J879" s="18" t="inlineStr">
        <is>
          <t/>
        </is>
      </c>
      <c r="K879" s="19" t="inlineStr">
        <is>
          <t>Privately Held (backing)</t>
        </is>
      </c>
      <c r="L879" s="20" t="inlineStr">
        <is>
          <t>Accelerator/Incubator Backed</t>
        </is>
      </c>
      <c r="M879" s="21" t="n">
        <v>41316.0</v>
      </c>
      <c r="N879" s="22" t="inlineStr">
        <is>
          <t>Accelerator/Incubator</t>
        </is>
      </c>
      <c r="O879" s="23" t="inlineStr">
        <is>
          <t/>
        </is>
      </c>
      <c r="P879" s="101">
        <f>HYPERLINK("https://my.pitchbook.com?c=104185-45", "View company online")</f>
      </c>
    </row>
    <row r="880">
      <c r="A880" s="25" t="inlineStr">
        <is>
          <t>60722-20</t>
        </is>
      </c>
      <c r="B880" s="26" t="inlineStr">
        <is>
          <t>TapThere</t>
        </is>
      </c>
      <c r="C880" s="27" t="inlineStr">
        <is>
          <t/>
        </is>
      </c>
      <c r="D880" s="28" t="inlineStr">
        <is>
          <t/>
        </is>
      </c>
      <c r="E880" s="29" t="inlineStr">
        <is>
          <t/>
        </is>
      </c>
      <c r="F880" s="30" t="inlineStr">
        <is>
          <t/>
        </is>
      </c>
      <c r="G880" s="31" t="inlineStr">
        <is>
          <t/>
        </is>
      </c>
      <c r="H880" s="32" t="inlineStr">
        <is>
          <t/>
        </is>
      </c>
      <c r="I880" s="33" t="inlineStr">
        <is>
          <t/>
        </is>
      </c>
      <c r="J880" s="34" t="inlineStr">
        <is>
          <t/>
        </is>
      </c>
      <c r="K880" s="35" t="inlineStr">
        <is>
          <t>Privately Held (backing)</t>
        </is>
      </c>
      <c r="L880" s="36" t="inlineStr">
        <is>
          <t>Angel-Backed</t>
        </is>
      </c>
      <c r="M880" s="37" t="n">
        <v>41619.0</v>
      </c>
      <c r="N880" s="38" t="inlineStr">
        <is>
          <t>Angel (individual)</t>
        </is>
      </c>
      <c r="O880" s="39" t="n">
        <v>0.53</v>
      </c>
      <c r="P880" s="102">
        <f>HYPERLINK("https://my.pitchbook.com?c=60722-20", "View company online")</f>
      </c>
    </row>
    <row r="881">
      <c r="A881" s="9" t="inlineStr">
        <is>
          <t>95407-66</t>
        </is>
      </c>
      <c r="B881" s="10" t="inlineStr">
        <is>
          <t>TapRush</t>
        </is>
      </c>
      <c r="C881" s="11" t="inlineStr">
        <is>
          <t/>
        </is>
      </c>
      <c r="D881" s="12" t="inlineStr">
        <is>
          <t/>
        </is>
      </c>
      <c r="E881" s="13" t="inlineStr">
        <is>
          <t/>
        </is>
      </c>
      <c r="F881" s="14" t="inlineStr">
        <is>
          <t/>
        </is>
      </c>
      <c r="G881" s="15" t="inlineStr">
        <is>
          <t/>
        </is>
      </c>
      <c r="H881" s="16" t="inlineStr">
        <is>
          <t/>
        </is>
      </c>
      <c r="I881" s="17" t="inlineStr">
        <is>
          <t/>
        </is>
      </c>
      <c r="J881" s="18" t="inlineStr">
        <is>
          <t/>
        </is>
      </c>
      <c r="K881" s="19" t="inlineStr">
        <is>
          <t>Privately Held (backing)</t>
        </is>
      </c>
      <c r="L881" s="20" t="inlineStr">
        <is>
          <t>Angel-Backed</t>
        </is>
      </c>
      <c r="M881" s="21" t="n">
        <v>40575.0</v>
      </c>
      <c r="N881" s="22" t="inlineStr">
        <is>
          <t>Seed Round</t>
        </is>
      </c>
      <c r="O881" s="23" t="n">
        <v>1.2</v>
      </c>
      <c r="P881" s="101">
        <f>HYPERLINK("https://my.pitchbook.com?c=95407-66", "View company online")</f>
      </c>
    </row>
    <row r="882">
      <c r="A882" s="25" t="inlineStr">
        <is>
          <t>94187-53</t>
        </is>
      </c>
      <c r="B882" s="26" t="inlineStr">
        <is>
          <t>TapResearch</t>
        </is>
      </c>
      <c r="C882" s="27" t="inlineStr">
        <is>
          <t/>
        </is>
      </c>
      <c r="D882" s="28" t="inlineStr">
        <is>
          <t/>
        </is>
      </c>
      <c r="E882" s="29" t="inlineStr">
        <is>
          <t/>
        </is>
      </c>
      <c r="F882" s="30" t="inlineStr">
        <is>
          <t/>
        </is>
      </c>
      <c r="G882" s="31" t="inlineStr">
        <is>
          <t/>
        </is>
      </c>
      <c r="H882" s="32" t="inlineStr">
        <is>
          <t/>
        </is>
      </c>
      <c r="I882" s="33" t="inlineStr">
        <is>
          <t/>
        </is>
      </c>
      <c r="J882" s="34" t="inlineStr">
        <is>
          <t/>
        </is>
      </c>
      <c r="K882" s="35" t="inlineStr">
        <is>
          <t>Privately Held (backing)</t>
        </is>
      </c>
      <c r="L882" s="36" t="inlineStr">
        <is>
          <t>Angel-Backed</t>
        </is>
      </c>
      <c r="M882" s="37" t="n">
        <v>41806.0</v>
      </c>
      <c r="N882" s="38" t="inlineStr">
        <is>
          <t>Angel (individual)</t>
        </is>
      </c>
      <c r="O882" s="39" t="n">
        <v>1.0</v>
      </c>
      <c r="P882" s="102">
        <f>HYPERLINK("https://my.pitchbook.com?c=94187-53", "View company online")</f>
      </c>
    </row>
    <row r="883">
      <c r="A883" s="9" t="inlineStr">
        <is>
          <t>99281-98</t>
        </is>
      </c>
      <c r="B883" s="10" t="inlineStr">
        <is>
          <t>Tappur</t>
        </is>
      </c>
      <c r="C883" s="11" t="inlineStr">
        <is>
          <t/>
        </is>
      </c>
      <c r="D883" s="12" t="inlineStr">
        <is>
          <t/>
        </is>
      </c>
      <c r="E883" s="13" t="inlineStr">
        <is>
          <t/>
        </is>
      </c>
      <c r="F883" s="14" t="inlineStr">
        <is>
          <t/>
        </is>
      </c>
      <c r="G883" s="15" t="inlineStr">
        <is>
          <t/>
        </is>
      </c>
      <c r="H883" s="16" t="inlineStr">
        <is>
          <t/>
        </is>
      </c>
      <c r="I883" s="17" t="inlineStr">
        <is>
          <t/>
        </is>
      </c>
      <c r="J883" s="18" t="inlineStr">
        <is>
          <t/>
        </is>
      </c>
      <c r="K883" s="19" t="inlineStr">
        <is>
          <t>Privately Held (backing)</t>
        </is>
      </c>
      <c r="L883" s="20" t="inlineStr">
        <is>
          <t>Accelerator/Incubator Backed</t>
        </is>
      </c>
      <c r="M883" s="21" t="n">
        <v>42199.0</v>
      </c>
      <c r="N883" s="22" t="inlineStr">
        <is>
          <t>Product Crowdfunding</t>
        </is>
      </c>
      <c r="O883" s="23" t="n">
        <v>0.05</v>
      </c>
      <c r="P883" s="101">
        <f>HYPERLINK("https://my.pitchbook.com?c=99281-98", "View company online")</f>
      </c>
    </row>
    <row r="884">
      <c r="A884" s="25" t="inlineStr">
        <is>
          <t>113967-73</t>
        </is>
      </c>
      <c r="B884" s="26" t="inlineStr">
        <is>
          <t>TapNSell</t>
        </is>
      </c>
      <c r="C884" s="27" t="inlineStr">
        <is>
          <t/>
        </is>
      </c>
      <c r="D884" s="28" t="inlineStr">
        <is>
          <t/>
        </is>
      </c>
      <c r="E884" s="29" t="inlineStr">
        <is>
          <t/>
        </is>
      </c>
      <c r="F884" s="30" t="inlineStr">
        <is>
          <t/>
        </is>
      </c>
      <c r="G884" s="31" t="inlineStr">
        <is>
          <t/>
        </is>
      </c>
      <c r="H884" s="32" t="inlineStr">
        <is>
          <t/>
        </is>
      </c>
      <c r="I884" s="33" t="inlineStr">
        <is>
          <t/>
        </is>
      </c>
      <c r="J884" s="34" t="inlineStr">
        <is>
          <t/>
        </is>
      </c>
      <c r="K884" s="35" t="inlineStr">
        <is>
          <t>Privately Held (backing)</t>
        </is>
      </c>
      <c r="L884" s="36" t="inlineStr">
        <is>
          <t>Angel-Backed</t>
        </is>
      </c>
      <c r="M884" s="37" t="n">
        <v>42401.0</v>
      </c>
      <c r="N884" s="38" t="inlineStr">
        <is>
          <t>Angel (individual)</t>
        </is>
      </c>
      <c r="O884" s="39" t="n">
        <v>1.32</v>
      </c>
      <c r="P884" s="102">
        <f>HYPERLINK("https://my.pitchbook.com?c=113967-73", "View company online")</f>
      </c>
    </row>
    <row r="885">
      <c r="A885" s="9" t="inlineStr">
        <is>
          <t>90561-70</t>
        </is>
      </c>
      <c r="B885" s="10" t="inlineStr">
        <is>
          <t>Taplet</t>
        </is>
      </c>
      <c r="C885" s="11" t="inlineStr">
        <is>
          <t/>
        </is>
      </c>
      <c r="D885" s="12" t="inlineStr">
        <is>
          <t/>
        </is>
      </c>
      <c r="E885" s="13" t="inlineStr">
        <is>
          <t/>
        </is>
      </c>
      <c r="F885" s="14" t="inlineStr">
        <is>
          <t/>
        </is>
      </c>
      <c r="G885" s="15" t="inlineStr">
        <is>
          <t/>
        </is>
      </c>
      <c r="H885" s="16" t="inlineStr">
        <is>
          <t/>
        </is>
      </c>
      <c r="I885" s="17" t="inlineStr">
        <is>
          <t/>
        </is>
      </c>
      <c r="J885" s="18" t="inlineStr">
        <is>
          <t/>
        </is>
      </c>
      <c r="K885" s="19" t="inlineStr">
        <is>
          <t>Privately Held (backing)</t>
        </is>
      </c>
      <c r="L885" s="20" t="inlineStr">
        <is>
          <t>Angel-Backed</t>
        </is>
      </c>
      <c r="M885" s="21" t="n">
        <v>42102.0</v>
      </c>
      <c r="N885" s="22" t="inlineStr">
        <is>
          <t>Seed Round</t>
        </is>
      </c>
      <c r="O885" s="23" t="n">
        <v>1.0</v>
      </c>
      <c r="P885" s="101">
        <f>HYPERLINK("https://my.pitchbook.com?c=90561-70", "View company online")</f>
      </c>
    </row>
    <row r="886">
      <c r="A886" s="25" t="inlineStr">
        <is>
          <t>99048-61</t>
        </is>
      </c>
      <c r="B886" s="26" t="inlineStr">
        <is>
          <t>TapHunter</t>
        </is>
      </c>
      <c r="C886" s="27" t="inlineStr">
        <is>
          <t/>
        </is>
      </c>
      <c r="D886" s="28" t="inlineStr">
        <is>
          <t/>
        </is>
      </c>
      <c r="E886" s="29" t="inlineStr">
        <is>
          <t/>
        </is>
      </c>
      <c r="F886" s="30" t="inlineStr">
        <is>
          <t/>
        </is>
      </c>
      <c r="G886" s="31" t="inlineStr">
        <is>
          <t/>
        </is>
      </c>
      <c r="H886" s="32" t="inlineStr">
        <is>
          <t/>
        </is>
      </c>
      <c r="I886" s="33" t="inlineStr">
        <is>
          <t/>
        </is>
      </c>
      <c r="J886" s="34" t="inlineStr">
        <is>
          <t/>
        </is>
      </c>
      <c r="K886" s="35" t="inlineStr">
        <is>
          <t>Privately Held (backing)</t>
        </is>
      </c>
      <c r="L886" s="36" t="inlineStr">
        <is>
          <t>Accelerator/Incubator Backed</t>
        </is>
      </c>
      <c r="M886" s="37" t="n">
        <v>42184.0</v>
      </c>
      <c r="N886" s="38" t="inlineStr">
        <is>
          <t>Early Stage VC</t>
        </is>
      </c>
      <c r="O886" s="39" t="n">
        <v>0.88</v>
      </c>
      <c r="P886" s="102">
        <f>HYPERLINK("https://my.pitchbook.com?c=99048-61", "View company online")</f>
      </c>
    </row>
    <row r="887">
      <c r="A887" s="9" t="inlineStr">
        <is>
          <t>97357-69</t>
        </is>
      </c>
      <c r="B887" s="10" t="inlineStr">
        <is>
          <t>TapHeaven</t>
        </is>
      </c>
      <c r="C887" s="11" t="inlineStr">
        <is>
          <t/>
        </is>
      </c>
      <c r="D887" s="12" t="inlineStr">
        <is>
          <t/>
        </is>
      </c>
      <c r="E887" s="13" t="inlineStr">
        <is>
          <t/>
        </is>
      </c>
      <c r="F887" s="14" t="inlineStr">
        <is>
          <t/>
        </is>
      </c>
      <c r="G887" s="15" t="inlineStr">
        <is>
          <t/>
        </is>
      </c>
      <c r="H887" s="16" t="inlineStr">
        <is>
          <t/>
        </is>
      </c>
      <c r="I887" s="17" t="inlineStr">
        <is>
          <t/>
        </is>
      </c>
      <c r="J887" s="18" t="inlineStr">
        <is>
          <t/>
        </is>
      </c>
      <c r="K887" s="19" t="inlineStr">
        <is>
          <t>Privately Held (backing)</t>
        </is>
      </c>
      <c r="L887" s="20" t="inlineStr">
        <is>
          <t>Accelerator/Incubator Backed</t>
        </is>
      </c>
      <c r="M887" s="21" t="inlineStr">
        <is>
          <t/>
        </is>
      </c>
      <c r="N887" s="22" t="inlineStr">
        <is>
          <t>Accelerator/Incubator</t>
        </is>
      </c>
      <c r="O887" s="23" t="inlineStr">
        <is>
          <t/>
        </is>
      </c>
      <c r="P887" s="101">
        <f>HYPERLINK("https://my.pitchbook.com?c=97357-69", "View company online")</f>
      </c>
    </row>
    <row r="888">
      <c r="A888" s="25" t="inlineStr">
        <is>
          <t>55614-70</t>
        </is>
      </c>
      <c r="B888" s="26" t="inlineStr">
        <is>
          <t>Tapestry</t>
        </is>
      </c>
      <c r="C888" s="27" t="inlineStr">
        <is>
          <t/>
        </is>
      </c>
      <c r="D888" s="28" t="inlineStr">
        <is>
          <t/>
        </is>
      </c>
      <c r="E888" s="29" t="inlineStr">
        <is>
          <t/>
        </is>
      </c>
      <c r="F888" s="30" t="inlineStr">
        <is>
          <t/>
        </is>
      </c>
      <c r="G888" s="31" t="inlineStr">
        <is>
          <t/>
        </is>
      </c>
      <c r="H888" s="32" t="inlineStr">
        <is>
          <t/>
        </is>
      </c>
      <c r="I888" s="33" t="inlineStr">
        <is>
          <t/>
        </is>
      </c>
      <c r="J888" s="34" t="inlineStr">
        <is>
          <t/>
        </is>
      </c>
      <c r="K888" s="35" t="inlineStr">
        <is>
          <t>Privately Held (backing)</t>
        </is>
      </c>
      <c r="L888" s="36" t="inlineStr">
        <is>
          <t>Angel-Backed</t>
        </is>
      </c>
      <c r="M888" s="37" t="n">
        <v>41400.0</v>
      </c>
      <c r="N888" s="38" t="inlineStr">
        <is>
          <t>Grant</t>
        </is>
      </c>
      <c r="O888" s="39" t="n">
        <v>0.4</v>
      </c>
      <c r="P888" s="102">
        <f>HYPERLINK("https://my.pitchbook.com?c=55614-70", "View company online")</f>
      </c>
    </row>
    <row r="889">
      <c r="A889" s="9" t="inlineStr">
        <is>
          <t>55820-17</t>
        </is>
      </c>
      <c r="B889" s="10" t="inlineStr">
        <is>
          <t>TapClicks</t>
        </is>
      </c>
      <c r="C889" s="11" t="inlineStr">
        <is>
          <t/>
        </is>
      </c>
      <c r="D889" s="12" t="inlineStr">
        <is>
          <t/>
        </is>
      </c>
      <c r="E889" s="13" t="inlineStr">
        <is>
          <t>FY 2015</t>
        </is>
      </c>
      <c r="F889" s="14" t="n">
        <v>5.59</v>
      </c>
      <c r="G889" s="15" t="inlineStr">
        <is>
          <t/>
        </is>
      </c>
      <c r="H889" s="16" t="inlineStr">
        <is>
          <t/>
        </is>
      </c>
      <c r="I889" s="17" t="inlineStr">
        <is>
          <t/>
        </is>
      </c>
      <c r="J889" s="18" t="inlineStr">
        <is>
          <t/>
        </is>
      </c>
      <c r="K889" s="19" t="inlineStr">
        <is>
          <t>Privately Held (backing)</t>
        </is>
      </c>
      <c r="L889" s="20" t="inlineStr">
        <is>
          <t>Angel-Backed</t>
        </is>
      </c>
      <c r="M889" s="21" t="n">
        <v>42853.0</v>
      </c>
      <c r="N889" s="22" t="inlineStr">
        <is>
          <t>Debt - General</t>
        </is>
      </c>
      <c r="O889" s="23" t="n">
        <v>3.0</v>
      </c>
      <c r="P889" s="101">
        <f>HYPERLINK("https://my.pitchbook.com?c=55820-17", "View company online")</f>
      </c>
    </row>
    <row r="890">
      <c r="A890" s="25" t="inlineStr">
        <is>
          <t>99048-52</t>
        </is>
      </c>
      <c r="B890" s="26" t="inlineStr">
        <is>
          <t>TapChow</t>
        </is>
      </c>
      <c r="C890" s="27" t="inlineStr">
        <is>
          <t/>
        </is>
      </c>
      <c r="D890" s="28" t="inlineStr">
        <is>
          <t/>
        </is>
      </c>
      <c r="E890" s="29" t="inlineStr">
        <is>
          <t/>
        </is>
      </c>
      <c r="F890" s="30" t="inlineStr">
        <is>
          <t/>
        </is>
      </c>
      <c r="G890" s="31" t="inlineStr">
        <is>
          <t/>
        </is>
      </c>
      <c r="H890" s="32" t="inlineStr">
        <is>
          <t/>
        </is>
      </c>
      <c r="I890" s="33" t="inlineStr">
        <is>
          <t/>
        </is>
      </c>
      <c r="J890" s="34" t="inlineStr">
        <is>
          <t/>
        </is>
      </c>
      <c r="K890" s="35" t="inlineStr">
        <is>
          <t>Privately Held (backing)</t>
        </is>
      </c>
      <c r="L890" s="36" t="inlineStr">
        <is>
          <t>Accelerator/Incubator Backed</t>
        </is>
      </c>
      <c r="M890" s="37" t="n">
        <v>40924.0</v>
      </c>
      <c r="N890" s="38" t="inlineStr">
        <is>
          <t>Accelerator/Incubator</t>
        </is>
      </c>
      <c r="O890" s="39" t="inlineStr">
        <is>
          <t/>
        </is>
      </c>
      <c r="P890" s="102">
        <f>HYPERLINK("https://my.pitchbook.com?c=99048-52", "View company online")</f>
      </c>
    </row>
    <row r="891">
      <c r="A891" s="9" t="inlineStr">
        <is>
          <t>158837-95</t>
        </is>
      </c>
      <c r="B891" s="10" t="inlineStr">
        <is>
          <t>Tap Systems</t>
        </is>
      </c>
      <c r="C891" s="11" t="inlineStr">
        <is>
          <t/>
        </is>
      </c>
      <c r="D891" s="12" t="inlineStr">
        <is>
          <t/>
        </is>
      </c>
      <c r="E891" s="13" t="inlineStr">
        <is>
          <t/>
        </is>
      </c>
      <c r="F891" s="14" t="inlineStr">
        <is>
          <t/>
        </is>
      </c>
      <c r="G891" s="15" t="inlineStr">
        <is>
          <t/>
        </is>
      </c>
      <c r="H891" s="16" t="inlineStr">
        <is>
          <t/>
        </is>
      </c>
      <c r="I891" s="17" t="inlineStr">
        <is>
          <t/>
        </is>
      </c>
      <c r="J891" s="18" t="inlineStr">
        <is>
          <t/>
        </is>
      </c>
      <c r="K891" s="19" t="inlineStr">
        <is>
          <t>Privately Held (backing)</t>
        </is>
      </c>
      <c r="L891" s="20" t="inlineStr">
        <is>
          <t>Angel-Backed</t>
        </is>
      </c>
      <c r="M891" s="21" t="n">
        <v>42824.0</v>
      </c>
      <c r="N891" s="22" t="inlineStr">
        <is>
          <t>Angel (individual)</t>
        </is>
      </c>
      <c r="O891" s="23" t="n">
        <v>1.73</v>
      </c>
      <c r="P891" s="101">
        <f>HYPERLINK("https://my.pitchbook.com?c=158837-95", "View company online")</f>
      </c>
    </row>
    <row r="892">
      <c r="A892" s="25" t="inlineStr">
        <is>
          <t>153620-02</t>
        </is>
      </c>
      <c r="B892" s="26" t="inlineStr">
        <is>
          <t>TaoLa</t>
        </is>
      </c>
      <c r="C892" s="27" t="inlineStr">
        <is>
          <t/>
        </is>
      </c>
      <c r="D892" s="28" t="inlineStr">
        <is>
          <t/>
        </is>
      </c>
      <c r="E892" s="29" t="inlineStr">
        <is>
          <t/>
        </is>
      </c>
      <c r="F892" s="30" t="inlineStr">
        <is>
          <t/>
        </is>
      </c>
      <c r="G892" s="31" t="inlineStr">
        <is>
          <t/>
        </is>
      </c>
      <c r="H892" s="32" t="inlineStr">
        <is>
          <t/>
        </is>
      </c>
      <c r="I892" s="33" t="inlineStr">
        <is>
          <t/>
        </is>
      </c>
      <c r="J892" s="34" t="inlineStr">
        <is>
          <t/>
        </is>
      </c>
      <c r="K892" s="35" t="inlineStr">
        <is>
          <t>Privately Held (backing)</t>
        </is>
      </c>
      <c r="L892" s="36" t="inlineStr">
        <is>
          <t>Angel-Backed</t>
        </is>
      </c>
      <c r="M892" s="37" t="n">
        <v>42195.0</v>
      </c>
      <c r="N892" s="38" t="inlineStr">
        <is>
          <t>Angel (individual)</t>
        </is>
      </c>
      <c r="O892" s="39" t="inlineStr">
        <is>
          <t/>
        </is>
      </c>
      <c r="P892" s="102">
        <f>HYPERLINK("https://my.pitchbook.com?c=153620-02", "View company online")</f>
      </c>
    </row>
    <row r="893">
      <c r="A893" s="9" t="inlineStr">
        <is>
          <t>166102-93</t>
        </is>
      </c>
      <c r="B893" s="10" t="inlineStr">
        <is>
          <t>TAO Network (Content Distribution Platform)</t>
        </is>
      </c>
      <c r="C893" s="11" t="inlineStr">
        <is>
          <t/>
        </is>
      </c>
      <c r="D893" s="12" t="inlineStr">
        <is>
          <t/>
        </is>
      </c>
      <c r="E893" s="13" t="inlineStr">
        <is>
          <t/>
        </is>
      </c>
      <c r="F893" s="14" t="inlineStr">
        <is>
          <t/>
        </is>
      </c>
      <c r="G893" s="15" t="inlineStr">
        <is>
          <t/>
        </is>
      </c>
      <c r="H893" s="16" t="inlineStr">
        <is>
          <t/>
        </is>
      </c>
      <c r="I893" s="17" t="inlineStr">
        <is>
          <t/>
        </is>
      </c>
      <c r="J893" s="18" t="inlineStr">
        <is>
          <t/>
        </is>
      </c>
      <c r="K893" s="19" t="inlineStr">
        <is>
          <t>Privately Held (backing)</t>
        </is>
      </c>
      <c r="L893" s="20" t="inlineStr">
        <is>
          <t>Angel-Backed</t>
        </is>
      </c>
      <c r="M893" s="21" t="n">
        <v>42610.0</v>
      </c>
      <c r="N893" s="22" t="inlineStr">
        <is>
          <t>Angel (individual)</t>
        </is>
      </c>
      <c r="O893" s="23" t="n">
        <v>0.11</v>
      </c>
      <c r="P893" s="101">
        <f>HYPERLINK("https://my.pitchbook.com?c=166102-93", "View company online")</f>
      </c>
    </row>
    <row r="894">
      <c r="A894" s="25" t="inlineStr">
        <is>
          <t>172628-83</t>
        </is>
      </c>
      <c r="B894" s="26" t="inlineStr">
        <is>
          <t>Tantiv4</t>
        </is>
      </c>
      <c r="C894" s="27" t="inlineStr">
        <is>
          <t/>
        </is>
      </c>
      <c r="D894" s="28" t="inlineStr">
        <is>
          <t/>
        </is>
      </c>
      <c r="E894" s="29" t="inlineStr">
        <is>
          <t/>
        </is>
      </c>
      <c r="F894" s="30" t="inlineStr">
        <is>
          <t/>
        </is>
      </c>
      <c r="G894" s="31" t="inlineStr">
        <is>
          <t/>
        </is>
      </c>
      <c r="H894" s="32" t="inlineStr">
        <is>
          <t/>
        </is>
      </c>
      <c r="I894" s="33" t="inlineStr">
        <is>
          <t/>
        </is>
      </c>
      <c r="J894" s="34" t="inlineStr">
        <is>
          <t/>
        </is>
      </c>
      <c r="K894" s="35" t="inlineStr">
        <is>
          <t>Privately Held (backing)</t>
        </is>
      </c>
      <c r="L894" s="36" t="inlineStr">
        <is>
          <t>Accelerator/Incubator Backed</t>
        </is>
      </c>
      <c r="M894" s="37" t="n">
        <v>42794.0</v>
      </c>
      <c r="N894" s="38" t="inlineStr">
        <is>
          <t>Product Crowdfunding</t>
        </is>
      </c>
      <c r="O894" s="39" t="n">
        <v>0.04</v>
      </c>
      <c r="P894" s="102">
        <f>HYPERLINK("https://my.pitchbook.com?c=172628-83", "View company online")</f>
      </c>
    </row>
    <row r="895">
      <c r="A895" s="9" t="inlineStr">
        <is>
          <t>92696-68</t>
        </is>
      </c>
      <c r="B895" s="10" t="inlineStr">
        <is>
          <t>Tango Tech</t>
        </is>
      </c>
      <c r="C895" s="77">
        <f>HYPERLINK("https://my.pitchbook.com?rrp=92696-68&amp;type=c", "This Company's information is not available to download. Need this Company? Request availability")</f>
      </c>
      <c r="D895" s="12" t="inlineStr">
        <is>
          <t/>
        </is>
      </c>
      <c r="E895" s="13" t="inlineStr">
        <is>
          <t/>
        </is>
      </c>
      <c r="F895" s="14" t="inlineStr">
        <is>
          <t/>
        </is>
      </c>
      <c r="G895" s="15" t="inlineStr">
        <is>
          <t/>
        </is>
      </c>
      <c r="H895" s="16" t="inlineStr">
        <is>
          <t/>
        </is>
      </c>
      <c r="I895" s="17" t="inlineStr">
        <is>
          <t/>
        </is>
      </c>
      <c r="J895" s="18" t="inlineStr">
        <is>
          <t/>
        </is>
      </c>
      <c r="K895" s="19" t="inlineStr">
        <is>
          <t/>
        </is>
      </c>
      <c r="L895" s="20" t="inlineStr">
        <is>
          <t/>
        </is>
      </c>
      <c r="M895" s="21" t="inlineStr">
        <is>
          <t/>
        </is>
      </c>
      <c r="N895" s="22" t="inlineStr">
        <is>
          <t/>
        </is>
      </c>
      <c r="O895" s="23" t="inlineStr">
        <is>
          <t/>
        </is>
      </c>
      <c r="P895" s="24" t="inlineStr">
        <is>
          <t/>
        </is>
      </c>
    </row>
    <row r="896">
      <c r="A896" s="25" t="inlineStr">
        <is>
          <t>94186-36</t>
        </is>
      </c>
      <c r="B896" s="26" t="inlineStr">
        <is>
          <t>Tangled Web Communications</t>
        </is>
      </c>
      <c r="C896" s="27" t="inlineStr">
        <is>
          <t/>
        </is>
      </c>
      <c r="D896" s="28" t="inlineStr">
        <is>
          <t/>
        </is>
      </c>
      <c r="E896" s="29" t="inlineStr">
        <is>
          <t/>
        </is>
      </c>
      <c r="F896" s="30" t="inlineStr">
        <is>
          <t/>
        </is>
      </c>
      <c r="G896" s="31" t="inlineStr">
        <is>
          <t/>
        </is>
      </c>
      <c r="H896" s="32" t="inlineStr">
        <is>
          <t/>
        </is>
      </c>
      <c r="I896" s="33" t="inlineStr">
        <is>
          <t/>
        </is>
      </c>
      <c r="J896" s="34" t="inlineStr">
        <is>
          <t/>
        </is>
      </c>
      <c r="K896" s="35" t="inlineStr">
        <is>
          <t>Privately Held (backing)</t>
        </is>
      </c>
      <c r="L896" s="36" t="inlineStr">
        <is>
          <t>Angel-Backed</t>
        </is>
      </c>
      <c r="M896" s="37" t="n">
        <v>40592.0</v>
      </c>
      <c r="N896" s="38" t="inlineStr">
        <is>
          <t>Seed Round</t>
        </is>
      </c>
      <c r="O896" s="39" t="n">
        <v>0.03</v>
      </c>
      <c r="P896" s="102">
        <f>HYPERLINK("https://my.pitchbook.com?c=94186-36", "View company online")</f>
      </c>
    </row>
    <row r="897">
      <c r="A897" s="9" t="inlineStr">
        <is>
          <t>96797-89</t>
        </is>
      </c>
      <c r="B897" s="10" t="inlineStr">
        <is>
          <t>Tangelo</t>
        </is>
      </c>
      <c r="C897" s="11" t="inlineStr">
        <is>
          <t/>
        </is>
      </c>
      <c r="D897" s="12" t="inlineStr">
        <is>
          <t/>
        </is>
      </c>
      <c r="E897" s="13" t="inlineStr">
        <is>
          <t/>
        </is>
      </c>
      <c r="F897" s="14" t="inlineStr">
        <is>
          <t/>
        </is>
      </c>
      <c r="G897" s="15" t="inlineStr">
        <is>
          <t/>
        </is>
      </c>
      <c r="H897" s="16" t="inlineStr">
        <is>
          <t/>
        </is>
      </c>
      <c r="I897" s="17" t="inlineStr">
        <is>
          <t/>
        </is>
      </c>
      <c r="J897" s="18" t="inlineStr">
        <is>
          <t/>
        </is>
      </c>
      <c r="K897" s="19" t="inlineStr">
        <is>
          <t>Privately Held (backing)</t>
        </is>
      </c>
      <c r="L897" s="20" t="inlineStr">
        <is>
          <t>Accelerator/Incubator Backed</t>
        </is>
      </c>
      <c r="M897" s="21" t="inlineStr">
        <is>
          <t/>
        </is>
      </c>
      <c r="N897" s="22" t="inlineStr">
        <is>
          <t>Accelerator/Incubator</t>
        </is>
      </c>
      <c r="O897" s="23" t="inlineStr">
        <is>
          <t/>
        </is>
      </c>
      <c r="P897" s="101">
        <f>HYPERLINK("https://my.pitchbook.com?c=96797-89", "View company online")</f>
      </c>
    </row>
    <row r="898">
      <c r="A898" s="25" t="inlineStr">
        <is>
          <t>88740-10</t>
        </is>
      </c>
      <c r="B898" s="26" t="inlineStr">
        <is>
          <t>Tame</t>
        </is>
      </c>
      <c r="C898" s="27" t="inlineStr">
        <is>
          <t/>
        </is>
      </c>
      <c r="D898" s="28" t="inlineStr">
        <is>
          <t/>
        </is>
      </c>
      <c r="E898" s="29" t="inlineStr">
        <is>
          <t/>
        </is>
      </c>
      <c r="F898" s="30" t="inlineStr">
        <is>
          <t/>
        </is>
      </c>
      <c r="G898" s="31" t="inlineStr">
        <is>
          <t/>
        </is>
      </c>
      <c r="H898" s="32" t="inlineStr">
        <is>
          <t/>
        </is>
      </c>
      <c r="I898" s="33" t="inlineStr">
        <is>
          <t/>
        </is>
      </c>
      <c r="J898" s="34" t="inlineStr">
        <is>
          <t/>
        </is>
      </c>
      <c r="K898" s="35" t="inlineStr">
        <is>
          <t>Privately Held (backing)</t>
        </is>
      </c>
      <c r="L898" s="36" t="inlineStr">
        <is>
          <t>Accelerator/Incubator Backed</t>
        </is>
      </c>
      <c r="M898" s="37" t="n">
        <v>42131.0</v>
      </c>
      <c r="N898" s="38" t="inlineStr">
        <is>
          <t>Accelerator/Incubator</t>
        </is>
      </c>
      <c r="O898" s="39" t="inlineStr">
        <is>
          <t/>
        </is>
      </c>
      <c r="P898" s="102">
        <f>HYPERLINK("https://my.pitchbook.com?c=88740-10", "View company online")</f>
      </c>
    </row>
    <row r="899">
      <c r="A899" s="9" t="inlineStr">
        <is>
          <t>96797-35</t>
        </is>
      </c>
      <c r="B899" s="10" t="inlineStr">
        <is>
          <t>Taltopia</t>
        </is>
      </c>
      <c r="C899" s="11" t="inlineStr">
        <is>
          <t/>
        </is>
      </c>
      <c r="D899" s="12" t="inlineStr">
        <is>
          <t/>
        </is>
      </c>
      <c r="E899" s="13" t="inlineStr">
        <is>
          <t/>
        </is>
      </c>
      <c r="F899" s="14" t="inlineStr">
        <is>
          <t/>
        </is>
      </c>
      <c r="G899" s="15" t="inlineStr">
        <is>
          <t/>
        </is>
      </c>
      <c r="H899" s="16" t="inlineStr">
        <is>
          <t/>
        </is>
      </c>
      <c r="I899" s="17" t="inlineStr">
        <is>
          <t/>
        </is>
      </c>
      <c r="J899" s="18" t="inlineStr">
        <is>
          <t/>
        </is>
      </c>
      <c r="K899" s="19" t="inlineStr">
        <is>
          <t>Privately Held (backing)</t>
        </is>
      </c>
      <c r="L899" s="20" t="inlineStr">
        <is>
          <t>Angel-Backed</t>
        </is>
      </c>
      <c r="M899" s="21" t="n">
        <v>39515.0</v>
      </c>
      <c r="N899" s="22" t="inlineStr">
        <is>
          <t>Seed Round</t>
        </is>
      </c>
      <c r="O899" s="23" t="n">
        <v>0.8</v>
      </c>
      <c r="P899" s="101">
        <f>HYPERLINK("https://my.pitchbook.com?c=96797-35", "View company online")</f>
      </c>
    </row>
    <row r="900">
      <c r="A900" s="25" t="inlineStr">
        <is>
          <t>93958-21</t>
        </is>
      </c>
      <c r="B900" s="26" t="inlineStr">
        <is>
          <t>Talnts</t>
        </is>
      </c>
      <c r="C900" s="27" t="inlineStr">
        <is>
          <t/>
        </is>
      </c>
      <c r="D900" s="28" t="inlineStr">
        <is>
          <t/>
        </is>
      </c>
      <c r="E900" s="29" t="inlineStr">
        <is>
          <t/>
        </is>
      </c>
      <c r="F900" s="30" t="inlineStr">
        <is>
          <t/>
        </is>
      </c>
      <c r="G900" s="31" t="inlineStr">
        <is>
          <t/>
        </is>
      </c>
      <c r="H900" s="32" t="inlineStr">
        <is>
          <t/>
        </is>
      </c>
      <c r="I900" s="33" t="inlineStr">
        <is>
          <t/>
        </is>
      </c>
      <c r="J900" s="34" t="inlineStr">
        <is>
          <t/>
        </is>
      </c>
      <c r="K900" s="35" t="inlineStr">
        <is>
          <t>Privately Held (backing)</t>
        </is>
      </c>
      <c r="L900" s="36" t="inlineStr">
        <is>
          <t>Angel-Backed</t>
        </is>
      </c>
      <c r="M900" s="37" t="n">
        <v>42047.0</v>
      </c>
      <c r="N900" s="38" t="inlineStr">
        <is>
          <t>Seed Round</t>
        </is>
      </c>
      <c r="O900" s="39" t="n">
        <v>1.5</v>
      </c>
      <c r="P900" s="102">
        <f>HYPERLINK("https://my.pitchbook.com?c=93958-21", "View company online")</f>
      </c>
    </row>
    <row r="901">
      <c r="A901" s="9" t="inlineStr">
        <is>
          <t>110516-95</t>
        </is>
      </c>
      <c r="B901" s="10" t="inlineStr">
        <is>
          <t>Tally Holdings</t>
        </is>
      </c>
      <c r="C901" s="11" t="inlineStr">
        <is>
          <t/>
        </is>
      </c>
      <c r="D901" s="12" t="inlineStr">
        <is>
          <t/>
        </is>
      </c>
      <c r="E901" s="13" t="inlineStr">
        <is>
          <t/>
        </is>
      </c>
      <c r="F901" s="14" t="inlineStr">
        <is>
          <t/>
        </is>
      </c>
      <c r="G901" s="15" t="inlineStr">
        <is>
          <t/>
        </is>
      </c>
      <c r="H901" s="16" t="inlineStr">
        <is>
          <t/>
        </is>
      </c>
      <c r="I901" s="17" t="inlineStr">
        <is>
          <t/>
        </is>
      </c>
      <c r="J901" s="18" t="inlineStr">
        <is>
          <t/>
        </is>
      </c>
      <c r="K901" s="19" t="inlineStr">
        <is>
          <t>Privately Held (backing)</t>
        </is>
      </c>
      <c r="L901" s="20" t="inlineStr">
        <is>
          <t>Accelerator/Incubator Backed</t>
        </is>
      </c>
      <c r="M901" s="21" t="n">
        <v>41471.0</v>
      </c>
      <c r="N901" s="22" t="inlineStr">
        <is>
          <t>Accelerator/Incubator</t>
        </is>
      </c>
      <c r="O901" s="23" t="inlineStr">
        <is>
          <t/>
        </is>
      </c>
      <c r="P901" s="101">
        <f>HYPERLINK("https://my.pitchbook.com?c=110516-95", "View company online")</f>
      </c>
    </row>
    <row r="902">
      <c r="A902" s="25" t="inlineStr">
        <is>
          <t>174420-82</t>
        </is>
      </c>
      <c r="B902" s="26" t="inlineStr">
        <is>
          <t>Tallscreen</t>
        </is>
      </c>
      <c r="C902" s="78">
        <f>HYPERLINK("https://my.pitchbook.com?rrp=174420-82&amp;type=c", "This Company's information is not available to download. Need this Company? Request availability")</f>
      </c>
      <c r="D902" s="28" t="inlineStr">
        <is>
          <t/>
        </is>
      </c>
      <c r="E902" s="29" t="inlineStr">
        <is>
          <t/>
        </is>
      </c>
      <c r="F902" s="30" t="inlineStr">
        <is>
          <t/>
        </is>
      </c>
      <c r="G902" s="31" t="inlineStr">
        <is>
          <t/>
        </is>
      </c>
      <c r="H902" s="32" t="inlineStr">
        <is>
          <t/>
        </is>
      </c>
      <c r="I902" s="33" t="inlineStr">
        <is>
          <t/>
        </is>
      </c>
      <c r="J902" s="34" t="inlineStr">
        <is>
          <t/>
        </is>
      </c>
      <c r="K902" s="35" t="inlineStr">
        <is>
          <t/>
        </is>
      </c>
      <c r="L902" s="36" t="inlineStr">
        <is>
          <t/>
        </is>
      </c>
      <c r="M902" s="37" t="inlineStr">
        <is>
          <t/>
        </is>
      </c>
      <c r="N902" s="38" t="inlineStr">
        <is>
          <t/>
        </is>
      </c>
      <c r="O902" s="39" t="inlineStr">
        <is>
          <t/>
        </is>
      </c>
      <c r="P902" s="40" t="inlineStr">
        <is>
          <t/>
        </is>
      </c>
    </row>
    <row r="903">
      <c r="A903" s="9" t="inlineStr">
        <is>
          <t>124852-42</t>
        </is>
      </c>
      <c r="B903" s="10" t="inlineStr">
        <is>
          <t>Tallac Networks</t>
        </is>
      </c>
      <c r="C903" s="11" t="inlineStr">
        <is>
          <t/>
        </is>
      </c>
      <c r="D903" s="12" t="inlineStr">
        <is>
          <t/>
        </is>
      </c>
      <c r="E903" s="13" t="inlineStr">
        <is>
          <t/>
        </is>
      </c>
      <c r="F903" s="14" t="inlineStr">
        <is>
          <t/>
        </is>
      </c>
      <c r="G903" s="15" t="inlineStr">
        <is>
          <t/>
        </is>
      </c>
      <c r="H903" s="16" t="inlineStr">
        <is>
          <t/>
        </is>
      </c>
      <c r="I903" s="17" t="inlineStr">
        <is>
          <t/>
        </is>
      </c>
      <c r="J903" s="18" t="inlineStr">
        <is>
          <t/>
        </is>
      </c>
      <c r="K903" s="19" t="inlineStr">
        <is>
          <t>Privately Held (backing)</t>
        </is>
      </c>
      <c r="L903" s="20" t="inlineStr">
        <is>
          <t>Accelerator/Incubator Backed</t>
        </is>
      </c>
      <c r="M903" s="21" t="n">
        <v>41906.0</v>
      </c>
      <c r="N903" s="22" t="inlineStr">
        <is>
          <t>Accelerator/Incubator</t>
        </is>
      </c>
      <c r="O903" s="23" t="inlineStr">
        <is>
          <t/>
        </is>
      </c>
      <c r="P903" s="101">
        <f>HYPERLINK("https://my.pitchbook.com?c=124852-42", "View company online")</f>
      </c>
    </row>
    <row r="904">
      <c r="A904" s="25" t="inlineStr">
        <is>
          <t>103099-78</t>
        </is>
      </c>
      <c r="B904" s="26" t="inlineStr">
        <is>
          <t>TalkToChef</t>
        </is>
      </c>
      <c r="C904" s="78">
        <f>HYPERLINK("https://my.pitchbook.com?rrp=103099-78&amp;type=c", "This Company's information is not available to download. Need this Company? Request availability")</f>
      </c>
      <c r="D904" s="28" t="inlineStr">
        <is>
          <t/>
        </is>
      </c>
      <c r="E904" s="29" t="inlineStr">
        <is>
          <t/>
        </is>
      </c>
      <c r="F904" s="30" t="inlineStr">
        <is>
          <t/>
        </is>
      </c>
      <c r="G904" s="31" t="inlineStr">
        <is>
          <t/>
        </is>
      </c>
      <c r="H904" s="32" t="inlineStr">
        <is>
          <t/>
        </is>
      </c>
      <c r="I904" s="33" t="inlineStr">
        <is>
          <t/>
        </is>
      </c>
      <c r="J904" s="34" t="inlineStr">
        <is>
          <t/>
        </is>
      </c>
      <c r="K904" s="35" t="inlineStr">
        <is>
          <t/>
        </is>
      </c>
      <c r="L904" s="36" t="inlineStr">
        <is>
          <t/>
        </is>
      </c>
      <c r="M904" s="37" t="inlineStr">
        <is>
          <t/>
        </is>
      </c>
      <c r="N904" s="38" t="inlineStr">
        <is>
          <t/>
        </is>
      </c>
      <c r="O904" s="39" t="inlineStr">
        <is>
          <t/>
        </is>
      </c>
      <c r="P904" s="40" t="inlineStr">
        <is>
          <t/>
        </is>
      </c>
    </row>
    <row r="905">
      <c r="A905" s="9" t="inlineStr">
        <is>
          <t>121183-57</t>
        </is>
      </c>
      <c r="B905" s="10" t="inlineStr">
        <is>
          <t>Talksho</t>
        </is>
      </c>
      <c r="C905" s="11" t="inlineStr">
        <is>
          <t/>
        </is>
      </c>
      <c r="D905" s="12" t="inlineStr">
        <is>
          <t/>
        </is>
      </c>
      <c r="E905" s="13" t="inlineStr">
        <is>
          <t/>
        </is>
      </c>
      <c r="F905" s="14" t="inlineStr">
        <is>
          <t/>
        </is>
      </c>
      <c r="G905" s="15" t="inlineStr">
        <is>
          <t/>
        </is>
      </c>
      <c r="H905" s="16" t="inlineStr">
        <is>
          <t/>
        </is>
      </c>
      <c r="I905" s="17" t="inlineStr">
        <is>
          <t/>
        </is>
      </c>
      <c r="J905" s="18" t="inlineStr">
        <is>
          <t/>
        </is>
      </c>
      <c r="K905" s="19" t="inlineStr">
        <is>
          <t>Privately Held (backing)</t>
        </is>
      </c>
      <c r="L905" s="20" t="inlineStr">
        <is>
          <t>Angel-Backed</t>
        </is>
      </c>
      <c r="M905" s="21" t="n">
        <v>42529.0</v>
      </c>
      <c r="N905" s="22" t="inlineStr">
        <is>
          <t>Angel (individual)</t>
        </is>
      </c>
      <c r="O905" s="23" t="n">
        <v>0.03</v>
      </c>
      <c r="P905" s="101">
        <f>HYPERLINK("https://my.pitchbook.com?c=121183-57", "View company online")</f>
      </c>
    </row>
    <row r="906">
      <c r="A906" s="25" t="inlineStr">
        <is>
          <t>162198-28</t>
        </is>
      </c>
      <c r="B906" s="26" t="inlineStr">
        <is>
          <t>Talk Therapy Psychology Center</t>
        </is>
      </c>
      <c r="C906" s="27" t="inlineStr">
        <is>
          <t/>
        </is>
      </c>
      <c r="D906" s="28" t="inlineStr">
        <is>
          <t/>
        </is>
      </c>
      <c r="E906" s="29" t="inlineStr">
        <is>
          <t/>
        </is>
      </c>
      <c r="F906" s="30" t="inlineStr">
        <is>
          <t/>
        </is>
      </c>
      <c r="G906" s="31" t="inlineStr">
        <is>
          <t/>
        </is>
      </c>
      <c r="H906" s="32" t="inlineStr">
        <is>
          <t/>
        </is>
      </c>
      <c r="I906" s="33" t="inlineStr">
        <is>
          <t/>
        </is>
      </c>
      <c r="J906" s="34" t="inlineStr">
        <is>
          <t/>
        </is>
      </c>
      <c r="K906" s="35" t="inlineStr">
        <is>
          <t>Privately Held (backing)</t>
        </is>
      </c>
      <c r="L906" s="36" t="inlineStr">
        <is>
          <t>Angel-Backed</t>
        </is>
      </c>
      <c r="M906" s="37" t="n">
        <v>42556.0</v>
      </c>
      <c r="N906" s="38" t="inlineStr">
        <is>
          <t>Angel (individual)</t>
        </is>
      </c>
      <c r="O906" s="39" t="n">
        <v>0.01</v>
      </c>
      <c r="P906" s="102">
        <f>HYPERLINK("https://my.pitchbook.com?c=162198-28", "View company online")</f>
      </c>
    </row>
    <row r="907">
      <c r="A907" s="9" t="inlineStr">
        <is>
          <t>171690-22</t>
        </is>
      </c>
      <c r="B907" s="10" t="inlineStr">
        <is>
          <t>Talespin</t>
        </is>
      </c>
      <c r="C907" s="77">
        <f>HYPERLINK("https://my.pitchbook.com?rrp=171690-22&amp;type=c", "This Company's information is not available to download. Need this Company? Request availability")</f>
      </c>
      <c r="D907" s="12" t="inlineStr">
        <is>
          <t/>
        </is>
      </c>
      <c r="E907" s="13" t="inlineStr">
        <is>
          <t/>
        </is>
      </c>
      <c r="F907" s="14" t="inlineStr">
        <is>
          <t/>
        </is>
      </c>
      <c r="G907" s="15" t="inlineStr">
        <is>
          <t/>
        </is>
      </c>
      <c r="H907" s="16" t="inlineStr">
        <is>
          <t/>
        </is>
      </c>
      <c r="I907" s="17" t="inlineStr">
        <is>
          <t/>
        </is>
      </c>
      <c r="J907" s="18" t="inlineStr">
        <is>
          <t/>
        </is>
      </c>
      <c r="K907" s="19" t="inlineStr">
        <is>
          <t/>
        </is>
      </c>
      <c r="L907" s="20" t="inlineStr">
        <is>
          <t/>
        </is>
      </c>
      <c r="M907" s="21" t="inlineStr">
        <is>
          <t/>
        </is>
      </c>
      <c r="N907" s="22" t="inlineStr">
        <is>
          <t/>
        </is>
      </c>
      <c r="O907" s="23" t="inlineStr">
        <is>
          <t/>
        </is>
      </c>
      <c r="P907" s="24" t="inlineStr">
        <is>
          <t/>
        </is>
      </c>
    </row>
    <row r="908">
      <c r="A908" s="25" t="inlineStr">
        <is>
          <t>62589-16</t>
        </is>
      </c>
      <c r="B908" s="26" t="inlineStr">
        <is>
          <t>TalentSky</t>
        </is>
      </c>
      <c r="C908" s="27" t="inlineStr">
        <is>
          <t/>
        </is>
      </c>
      <c r="D908" s="28" t="inlineStr">
        <is>
          <t/>
        </is>
      </c>
      <c r="E908" s="29" t="inlineStr">
        <is>
          <t/>
        </is>
      </c>
      <c r="F908" s="30" t="inlineStr">
        <is>
          <t/>
        </is>
      </c>
      <c r="G908" s="31" t="inlineStr">
        <is>
          <t/>
        </is>
      </c>
      <c r="H908" s="32" t="inlineStr">
        <is>
          <t/>
        </is>
      </c>
      <c r="I908" s="33" t="inlineStr">
        <is>
          <t/>
        </is>
      </c>
      <c r="J908" s="34" t="inlineStr">
        <is>
          <t/>
        </is>
      </c>
      <c r="K908" s="35" t="inlineStr">
        <is>
          <t>Privately Held (backing)</t>
        </is>
      </c>
      <c r="L908" s="36" t="inlineStr">
        <is>
          <t>Angel-Backed</t>
        </is>
      </c>
      <c r="M908" s="37" t="n">
        <v>42822.0</v>
      </c>
      <c r="N908" s="38" t="inlineStr">
        <is>
          <t>Angel (individual)</t>
        </is>
      </c>
      <c r="O908" s="39" t="n">
        <v>3.98</v>
      </c>
      <c r="P908" s="102">
        <f>HYPERLINK("https://my.pitchbook.com?c=62589-16", "View company online")</f>
      </c>
    </row>
    <row r="909">
      <c r="A909" s="9" t="inlineStr">
        <is>
          <t>121654-90</t>
        </is>
      </c>
      <c r="B909" s="10" t="inlineStr">
        <is>
          <t>TalentSity</t>
        </is>
      </c>
      <c r="C909" s="77">
        <f>HYPERLINK("https://my.pitchbook.com?rrp=121654-90&amp;type=c", "This Company's information is not available to download. Need this Company? Request availability")</f>
      </c>
      <c r="D909" s="12" t="inlineStr">
        <is>
          <t/>
        </is>
      </c>
      <c r="E909" s="13" t="inlineStr">
        <is>
          <t/>
        </is>
      </c>
      <c r="F909" s="14" t="inlineStr">
        <is>
          <t/>
        </is>
      </c>
      <c r="G909" s="15" t="inlineStr">
        <is>
          <t/>
        </is>
      </c>
      <c r="H909" s="16" t="inlineStr">
        <is>
          <t/>
        </is>
      </c>
      <c r="I909" s="17" t="inlineStr">
        <is>
          <t/>
        </is>
      </c>
      <c r="J909" s="18" t="inlineStr">
        <is>
          <t/>
        </is>
      </c>
      <c r="K909" s="19" t="inlineStr">
        <is>
          <t/>
        </is>
      </c>
      <c r="L909" s="20" t="inlineStr">
        <is>
          <t/>
        </is>
      </c>
      <c r="M909" s="21" t="inlineStr">
        <is>
          <t/>
        </is>
      </c>
      <c r="N909" s="22" t="inlineStr">
        <is>
          <t/>
        </is>
      </c>
      <c r="O909" s="23" t="inlineStr">
        <is>
          <t/>
        </is>
      </c>
      <c r="P909" s="24" t="inlineStr">
        <is>
          <t/>
        </is>
      </c>
    </row>
    <row r="910">
      <c r="A910" s="25" t="inlineStr">
        <is>
          <t>177276-70</t>
        </is>
      </c>
      <c r="B910" s="26" t="inlineStr">
        <is>
          <t>TalentSeer</t>
        </is>
      </c>
      <c r="C910" s="78">
        <f>HYPERLINK("https://my.pitchbook.com?rrp=177276-70&amp;type=c", "This Company's information is not available to download. Need this Company? Request availability")</f>
      </c>
      <c r="D910" s="28" t="inlineStr">
        <is>
          <t/>
        </is>
      </c>
      <c r="E910" s="29" t="inlineStr">
        <is>
          <t/>
        </is>
      </c>
      <c r="F910" s="30" t="inlineStr">
        <is>
          <t/>
        </is>
      </c>
      <c r="G910" s="31" t="inlineStr">
        <is>
          <t/>
        </is>
      </c>
      <c r="H910" s="32" t="inlineStr">
        <is>
          <t/>
        </is>
      </c>
      <c r="I910" s="33" t="inlineStr">
        <is>
          <t/>
        </is>
      </c>
      <c r="J910" s="34" t="inlineStr">
        <is>
          <t/>
        </is>
      </c>
      <c r="K910" s="35" t="inlineStr">
        <is>
          <t/>
        </is>
      </c>
      <c r="L910" s="36" t="inlineStr">
        <is>
          <t/>
        </is>
      </c>
      <c r="M910" s="37" t="inlineStr">
        <is>
          <t/>
        </is>
      </c>
      <c r="N910" s="38" t="inlineStr">
        <is>
          <t/>
        </is>
      </c>
      <c r="O910" s="39" t="inlineStr">
        <is>
          <t/>
        </is>
      </c>
      <c r="P910" s="40" t="inlineStr">
        <is>
          <t/>
        </is>
      </c>
    </row>
    <row r="911">
      <c r="A911" s="9" t="inlineStr">
        <is>
          <t>66031-30</t>
        </is>
      </c>
      <c r="B911" s="10" t="inlineStr">
        <is>
          <t>Talentoday</t>
        </is>
      </c>
      <c r="C911" s="11" t="inlineStr">
        <is>
          <t/>
        </is>
      </c>
      <c r="D911" s="12" t="inlineStr">
        <is>
          <t/>
        </is>
      </c>
      <c r="E911" s="13" t="inlineStr">
        <is>
          <t/>
        </is>
      </c>
      <c r="F911" s="14" t="inlineStr">
        <is>
          <t/>
        </is>
      </c>
      <c r="G911" s="15" t="inlineStr">
        <is>
          <t/>
        </is>
      </c>
      <c r="H911" s="16" t="inlineStr">
        <is>
          <t/>
        </is>
      </c>
      <c r="I911" s="17" t="inlineStr">
        <is>
          <t/>
        </is>
      </c>
      <c r="J911" s="18" t="inlineStr">
        <is>
          <t/>
        </is>
      </c>
      <c r="K911" s="19" t="inlineStr">
        <is>
          <t>Privately Held (backing)</t>
        </is>
      </c>
      <c r="L911" s="20" t="inlineStr">
        <is>
          <t>Angel-Backed</t>
        </is>
      </c>
      <c r="M911" s="21" t="n">
        <v>42716.0</v>
      </c>
      <c r="N911" s="22" t="inlineStr">
        <is>
          <t>Corporate</t>
        </is>
      </c>
      <c r="O911" s="23" t="n">
        <v>3.49</v>
      </c>
      <c r="P911" s="101">
        <f>HYPERLINK("https://my.pitchbook.com?c=66031-30", "View company online")</f>
      </c>
    </row>
    <row r="912">
      <c r="A912" s="25" t="inlineStr">
        <is>
          <t>94184-56</t>
        </is>
      </c>
      <c r="B912" s="26" t="inlineStr">
        <is>
          <t>TalentEarth</t>
        </is>
      </c>
      <c r="C912" s="27" t="inlineStr">
        <is>
          <t/>
        </is>
      </c>
      <c r="D912" s="28" t="inlineStr">
        <is>
          <t/>
        </is>
      </c>
      <c r="E912" s="29" t="inlineStr">
        <is>
          <t/>
        </is>
      </c>
      <c r="F912" s="30" t="inlineStr">
        <is>
          <t/>
        </is>
      </c>
      <c r="G912" s="31" t="inlineStr">
        <is>
          <t/>
        </is>
      </c>
      <c r="H912" s="32" t="inlineStr">
        <is>
          <t/>
        </is>
      </c>
      <c r="I912" s="33" t="inlineStr">
        <is>
          <t/>
        </is>
      </c>
      <c r="J912" s="34" t="inlineStr">
        <is>
          <t/>
        </is>
      </c>
      <c r="K912" s="35" t="inlineStr">
        <is>
          <t>Privately Held (backing)</t>
        </is>
      </c>
      <c r="L912" s="36" t="inlineStr">
        <is>
          <t>Angel-Backed</t>
        </is>
      </c>
      <c r="M912" s="37" t="n">
        <v>42395.0</v>
      </c>
      <c r="N912" s="38" t="inlineStr">
        <is>
          <t>Seed Round</t>
        </is>
      </c>
      <c r="O912" s="39" t="n">
        <v>0.75</v>
      </c>
      <c r="P912" s="102">
        <f>HYPERLINK("https://my.pitchbook.com?c=94184-56", "View company online")</f>
      </c>
    </row>
    <row r="913">
      <c r="A913" s="9" t="inlineStr">
        <is>
          <t>176416-57</t>
        </is>
      </c>
      <c r="B913" s="10" t="inlineStr">
        <is>
          <t>Talent Writers</t>
        </is>
      </c>
      <c r="C913" s="77">
        <f>HYPERLINK("https://my.pitchbook.com?rrp=176416-57&amp;type=c", "This Company's information is not available to download. Need this Company? Request availability")</f>
      </c>
      <c r="D913" s="12" t="inlineStr">
        <is>
          <t/>
        </is>
      </c>
      <c r="E913" s="13" t="inlineStr">
        <is>
          <t/>
        </is>
      </c>
      <c r="F913" s="14" t="inlineStr">
        <is>
          <t/>
        </is>
      </c>
      <c r="G913" s="15" t="inlineStr">
        <is>
          <t/>
        </is>
      </c>
      <c r="H913" s="16" t="inlineStr">
        <is>
          <t/>
        </is>
      </c>
      <c r="I913" s="17" t="inlineStr">
        <is>
          <t/>
        </is>
      </c>
      <c r="J913" s="18" t="inlineStr">
        <is>
          <t/>
        </is>
      </c>
      <c r="K913" s="19" t="inlineStr">
        <is>
          <t/>
        </is>
      </c>
      <c r="L913" s="20" t="inlineStr">
        <is>
          <t/>
        </is>
      </c>
      <c r="M913" s="21" t="inlineStr">
        <is>
          <t/>
        </is>
      </c>
      <c r="N913" s="22" t="inlineStr">
        <is>
          <t/>
        </is>
      </c>
      <c r="O913" s="23" t="inlineStr">
        <is>
          <t/>
        </is>
      </c>
      <c r="P913" s="24" t="inlineStr">
        <is>
          <t/>
        </is>
      </c>
    </row>
    <row r="914">
      <c r="A914" s="25" t="inlineStr">
        <is>
          <t>151281-01</t>
        </is>
      </c>
      <c r="B914" s="26" t="inlineStr">
        <is>
          <t>Talent Rover</t>
        </is>
      </c>
      <c r="C914" s="27" t="inlineStr">
        <is>
          <t/>
        </is>
      </c>
      <c r="D914" s="28" t="inlineStr">
        <is>
          <t/>
        </is>
      </c>
      <c r="E914" s="29" t="inlineStr">
        <is>
          <t/>
        </is>
      </c>
      <c r="F914" s="30" t="inlineStr">
        <is>
          <t/>
        </is>
      </c>
      <c r="G914" s="31" t="inlineStr">
        <is>
          <t/>
        </is>
      </c>
      <c r="H914" s="32" t="inlineStr">
        <is>
          <t/>
        </is>
      </c>
      <c r="I914" s="33" t="inlineStr">
        <is>
          <t/>
        </is>
      </c>
      <c r="J914" s="34" t="inlineStr">
        <is>
          <t/>
        </is>
      </c>
      <c r="K914" s="35" t="inlineStr">
        <is>
          <t>Privately Held (backing)</t>
        </is>
      </c>
      <c r="L914" s="36" t="inlineStr">
        <is>
          <t>Angel-Backed</t>
        </is>
      </c>
      <c r="M914" s="37" t="n">
        <v>42380.0</v>
      </c>
      <c r="N914" s="38" t="inlineStr">
        <is>
          <t>Angel (individual)</t>
        </is>
      </c>
      <c r="O914" s="39" t="n">
        <v>2.2</v>
      </c>
      <c r="P914" s="102">
        <f>HYPERLINK("https://my.pitchbook.com?c=151281-01", "View company online")</f>
      </c>
    </row>
    <row r="915">
      <c r="A915" s="9" t="inlineStr">
        <is>
          <t>56341-54</t>
        </is>
      </c>
      <c r="B915" s="10" t="inlineStr">
        <is>
          <t>Talei</t>
        </is>
      </c>
      <c r="C915" s="11" t="inlineStr">
        <is>
          <t/>
        </is>
      </c>
      <c r="D915" s="12" t="inlineStr">
        <is>
          <t/>
        </is>
      </c>
      <c r="E915" s="13" t="inlineStr">
        <is>
          <t/>
        </is>
      </c>
      <c r="F915" s="14" t="inlineStr">
        <is>
          <t/>
        </is>
      </c>
      <c r="G915" s="15" t="inlineStr">
        <is>
          <t/>
        </is>
      </c>
      <c r="H915" s="16" t="inlineStr">
        <is>
          <t/>
        </is>
      </c>
      <c r="I915" s="17" t="inlineStr">
        <is>
          <t/>
        </is>
      </c>
      <c r="J915" s="18" t="inlineStr">
        <is>
          <t/>
        </is>
      </c>
      <c r="K915" s="19" t="inlineStr">
        <is>
          <t>Privately Held (backing)</t>
        </is>
      </c>
      <c r="L915" s="20" t="inlineStr">
        <is>
          <t>Angel-Backed</t>
        </is>
      </c>
      <c r="M915" s="21" t="n">
        <v>41347.0</v>
      </c>
      <c r="N915" s="22" t="inlineStr">
        <is>
          <t>Seed Round</t>
        </is>
      </c>
      <c r="O915" s="23" t="n">
        <v>0.3</v>
      </c>
      <c r="P915" s="101">
        <f>HYPERLINK("https://my.pitchbook.com?c=56341-54", "View company online")</f>
      </c>
    </row>
    <row r="916">
      <c r="A916" s="25" t="inlineStr">
        <is>
          <t>166933-09</t>
        </is>
      </c>
      <c r="B916" s="26" t="inlineStr">
        <is>
          <t>Tala Security</t>
        </is>
      </c>
      <c r="C916" s="27" t="inlineStr">
        <is>
          <t/>
        </is>
      </c>
      <c r="D916" s="28" t="inlineStr">
        <is>
          <t/>
        </is>
      </c>
      <c r="E916" s="29" t="inlineStr">
        <is>
          <t/>
        </is>
      </c>
      <c r="F916" s="30" t="inlineStr">
        <is>
          <t/>
        </is>
      </c>
      <c r="G916" s="31" t="inlineStr">
        <is>
          <t/>
        </is>
      </c>
      <c r="H916" s="32" t="inlineStr">
        <is>
          <t/>
        </is>
      </c>
      <c r="I916" s="33" t="inlineStr">
        <is>
          <t/>
        </is>
      </c>
      <c r="J916" s="34" t="inlineStr">
        <is>
          <t/>
        </is>
      </c>
      <c r="K916" s="35" t="inlineStr">
        <is>
          <t>Privately Held (backing)</t>
        </is>
      </c>
      <c r="L916" s="36" t="inlineStr">
        <is>
          <t>Angel-Backed</t>
        </is>
      </c>
      <c r="M916" s="37" t="n">
        <v>42647.0</v>
      </c>
      <c r="N916" s="38" t="inlineStr">
        <is>
          <t>Angel (individual)</t>
        </is>
      </c>
      <c r="O916" s="39" t="n">
        <v>0.51</v>
      </c>
      <c r="P916" s="102">
        <f>HYPERLINK("https://my.pitchbook.com?c=166933-09", "View company online")</f>
      </c>
    </row>
    <row r="917">
      <c r="A917" s="9" t="inlineStr">
        <is>
          <t>88737-85</t>
        </is>
      </c>
      <c r="B917" s="10" t="inlineStr">
        <is>
          <t>Tailored Games</t>
        </is>
      </c>
      <c r="C917" s="11" t="inlineStr">
        <is>
          <t/>
        </is>
      </c>
      <c r="D917" s="12" t="inlineStr">
        <is>
          <t/>
        </is>
      </c>
      <c r="E917" s="13" t="inlineStr">
        <is>
          <t/>
        </is>
      </c>
      <c r="F917" s="14" t="inlineStr">
        <is>
          <t/>
        </is>
      </c>
      <c r="G917" s="15" t="inlineStr">
        <is>
          <t/>
        </is>
      </c>
      <c r="H917" s="16" t="inlineStr">
        <is>
          <t/>
        </is>
      </c>
      <c r="I917" s="17" t="inlineStr">
        <is>
          <t/>
        </is>
      </c>
      <c r="J917" s="18" t="inlineStr">
        <is>
          <t/>
        </is>
      </c>
      <c r="K917" s="19" t="inlineStr">
        <is>
          <t>Privately Held (backing)</t>
        </is>
      </c>
      <c r="L917" s="20" t="inlineStr">
        <is>
          <t>Angel-Backed</t>
        </is>
      </c>
      <c r="M917" s="21" t="n">
        <v>40739.0</v>
      </c>
      <c r="N917" s="22" t="inlineStr">
        <is>
          <t>Seed Round</t>
        </is>
      </c>
      <c r="O917" s="23" t="n">
        <v>0.25</v>
      </c>
      <c r="P917" s="101">
        <f>HYPERLINK("https://my.pitchbook.com?c=88737-85", "View company online")</f>
      </c>
    </row>
    <row r="918">
      <c r="A918" s="25" t="inlineStr">
        <is>
          <t>87397-03</t>
        </is>
      </c>
      <c r="B918" s="26" t="inlineStr">
        <is>
          <t>Tailio</t>
        </is>
      </c>
      <c r="C918" s="27" t="inlineStr">
        <is>
          <t/>
        </is>
      </c>
      <c r="D918" s="28" t="inlineStr">
        <is>
          <t/>
        </is>
      </c>
      <c r="E918" s="29" t="inlineStr">
        <is>
          <t/>
        </is>
      </c>
      <c r="F918" s="30" t="inlineStr">
        <is>
          <t/>
        </is>
      </c>
      <c r="G918" s="31" t="inlineStr">
        <is>
          <t/>
        </is>
      </c>
      <c r="H918" s="32" t="inlineStr">
        <is>
          <t/>
        </is>
      </c>
      <c r="I918" s="33" t="inlineStr">
        <is>
          <t/>
        </is>
      </c>
      <c r="J918" s="34" t="inlineStr">
        <is>
          <t/>
        </is>
      </c>
      <c r="K918" s="35" t="inlineStr">
        <is>
          <t>Privately Held (backing)</t>
        </is>
      </c>
      <c r="L918" s="36" t="inlineStr">
        <is>
          <t>Accelerator/Incubator Backed</t>
        </is>
      </c>
      <c r="M918" s="37" t="n">
        <v>42349.0</v>
      </c>
      <c r="N918" s="38" t="inlineStr">
        <is>
          <t>Convertible Debt</t>
        </is>
      </c>
      <c r="O918" s="39" t="n">
        <v>0.75</v>
      </c>
      <c r="P918" s="102">
        <f>HYPERLINK("https://my.pitchbook.com?c=87397-03", "View company online")</f>
      </c>
    </row>
    <row r="919">
      <c r="A919" s="9" t="inlineStr">
        <is>
          <t>110739-70</t>
        </is>
      </c>
      <c r="B919" s="10" t="inlineStr">
        <is>
          <t>Tahoe Spirits</t>
        </is>
      </c>
      <c r="C919" s="11" t="inlineStr">
        <is>
          <t/>
        </is>
      </c>
      <c r="D919" s="12" t="inlineStr">
        <is>
          <t/>
        </is>
      </c>
      <c r="E919" s="13" t="inlineStr">
        <is>
          <t/>
        </is>
      </c>
      <c r="F919" s="14" t="inlineStr">
        <is>
          <t/>
        </is>
      </c>
      <c r="G919" s="15" t="inlineStr">
        <is>
          <t/>
        </is>
      </c>
      <c r="H919" s="16" t="inlineStr">
        <is>
          <t/>
        </is>
      </c>
      <c r="I919" s="17" t="inlineStr">
        <is>
          <t/>
        </is>
      </c>
      <c r="J919" s="18" t="inlineStr">
        <is>
          <t/>
        </is>
      </c>
      <c r="K919" s="19" t="inlineStr">
        <is>
          <t>Privately Held (backing)</t>
        </is>
      </c>
      <c r="L919" s="20" t="inlineStr">
        <is>
          <t>Angel-Backed</t>
        </is>
      </c>
      <c r="M919" s="21" t="n">
        <v>42760.0</v>
      </c>
      <c r="N919" s="22" t="inlineStr">
        <is>
          <t>Angel (individual)</t>
        </is>
      </c>
      <c r="O919" s="23" t="n">
        <v>0.86</v>
      </c>
      <c r="P919" s="101">
        <f>HYPERLINK("https://my.pitchbook.com?c=110739-70", "View company online")</f>
      </c>
    </row>
    <row r="920">
      <c r="A920" s="25" t="inlineStr">
        <is>
          <t>89908-30</t>
        </is>
      </c>
      <c r="B920" s="26" t="inlineStr">
        <is>
          <t>Tahlent</t>
        </is>
      </c>
      <c r="C920" s="27" t="inlineStr">
        <is>
          <t/>
        </is>
      </c>
      <c r="D920" s="28" t="inlineStr">
        <is>
          <t/>
        </is>
      </c>
      <c r="E920" s="29" t="inlineStr">
        <is>
          <t/>
        </is>
      </c>
      <c r="F920" s="30" t="inlineStr">
        <is>
          <t/>
        </is>
      </c>
      <c r="G920" s="31" t="inlineStr">
        <is>
          <t/>
        </is>
      </c>
      <c r="H920" s="32" t="inlineStr">
        <is>
          <t/>
        </is>
      </c>
      <c r="I920" s="33" t="inlineStr">
        <is>
          <t/>
        </is>
      </c>
      <c r="J920" s="34" t="inlineStr">
        <is>
          <t/>
        </is>
      </c>
      <c r="K920" s="35" t="inlineStr">
        <is>
          <t>Privately Held (backing)</t>
        </is>
      </c>
      <c r="L920" s="36" t="inlineStr">
        <is>
          <t>Angel-Backed</t>
        </is>
      </c>
      <c r="M920" s="37" t="n">
        <v>41228.0</v>
      </c>
      <c r="N920" s="38" t="inlineStr">
        <is>
          <t>Angel (individual)</t>
        </is>
      </c>
      <c r="O920" s="39" t="n">
        <v>0.15</v>
      </c>
      <c r="P920" s="102">
        <f>HYPERLINK("https://my.pitchbook.com?c=89908-30", "View company online")</f>
      </c>
    </row>
    <row r="921">
      <c r="A921" s="9" t="inlineStr">
        <is>
          <t>168339-79</t>
        </is>
      </c>
      <c r="B921" s="10" t="inlineStr">
        <is>
          <t>Tagove</t>
        </is>
      </c>
      <c r="C921" s="11" t="inlineStr">
        <is>
          <t/>
        </is>
      </c>
      <c r="D921" s="12" t="inlineStr">
        <is>
          <t/>
        </is>
      </c>
      <c r="E921" s="13" t="inlineStr">
        <is>
          <t/>
        </is>
      </c>
      <c r="F921" s="14" t="inlineStr">
        <is>
          <t/>
        </is>
      </c>
      <c r="G921" s="15" t="inlineStr">
        <is>
          <t/>
        </is>
      </c>
      <c r="H921" s="16" t="inlineStr">
        <is>
          <t/>
        </is>
      </c>
      <c r="I921" s="17" t="inlineStr">
        <is>
          <t/>
        </is>
      </c>
      <c r="J921" s="18" t="inlineStr">
        <is>
          <t/>
        </is>
      </c>
      <c r="K921" s="19" t="inlineStr">
        <is>
          <t>Privately Held (backing)</t>
        </is>
      </c>
      <c r="L921" s="20" t="inlineStr">
        <is>
          <t>Accelerator/Incubator Backed</t>
        </is>
      </c>
      <c r="M921" s="21" t="n">
        <v>42804.0</v>
      </c>
      <c r="N921" s="22" t="inlineStr">
        <is>
          <t>Early Stage VC</t>
        </is>
      </c>
      <c r="O921" s="23" t="inlineStr">
        <is>
          <t/>
        </is>
      </c>
      <c r="P921" s="101">
        <f>HYPERLINK("https://my.pitchbook.com?c=168339-79", "View company online")</f>
      </c>
    </row>
    <row r="922">
      <c r="A922" s="25" t="inlineStr">
        <is>
          <t>115405-66</t>
        </is>
      </c>
      <c r="B922" s="26" t="inlineStr">
        <is>
          <t>Tagnos</t>
        </is>
      </c>
      <c r="C922" s="27" t="inlineStr">
        <is>
          <t/>
        </is>
      </c>
      <c r="D922" s="28" t="inlineStr">
        <is>
          <t/>
        </is>
      </c>
      <c r="E922" s="29" t="inlineStr">
        <is>
          <t/>
        </is>
      </c>
      <c r="F922" s="30" t="inlineStr">
        <is>
          <t/>
        </is>
      </c>
      <c r="G922" s="31" t="inlineStr">
        <is>
          <t/>
        </is>
      </c>
      <c r="H922" s="32" t="inlineStr">
        <is>
          <t/>
        </is>
      </c>
      <c r="I922" s="33" t="inlineStr">
        <is>
          <t/>
        </is>
      </c>
      <c r="J922" s="34" t="inlineStr">
        <is>
          <t/>
        </is>
      </c>
      <c r="K922" s="35" t="inlineStr">
        <is>
          <t>Privately Held (backing)</t>
        </is>
      </c>
      <c r="L922" s="36" t="inlineStr">
        <is>
          <t>Accelerator/Incubator Backed</t>
        </is>
      </c>
      <c r="M922" s="37" t="n">
        <v>42130.0</v>
      </c>
      <c r="N922" s="38" t="inlineStr">
        <is>
          <t>Accelerator/Incubator</t>
        </is>
      </c>
      <c r="O922" s="39" t="inlineStr">
        <is>
          <t/>
        </is>
      </c>
      <c r="P922" s="102">
        <f>HYPERLINK("https://my.pitchbook.com?c=115405-66", "View company online")</f>
      </c>
    </row>
    <row r="923">
      <c r="A923" s="9" t="inlineStr">
        <is>
          <t>98474-05</t>
        </is>
      </c>
      <c r="B923" s="10" t="inlineStr">
        <is>
          <t>Taggler</t>
        </is>
      </c>
      <c r="C923" s="11" t="inlineStr">
        <is>
          <t/>
        </is>
      </c>
      <c r="D923" s="12" t="inlineStr">
        <is>
          <t/>
        </is>
      </c>
      <c r="E923" s="13" t="inlineStr">
        <is>
          <t/>
        </is>
      </c>
      <c r="F923" s="14" t="inlineStr">
        <is>
          <t/>
        </is>
      </c>
      <c r="G923" s="15" t="inlineStr">
        <is>
          <t/>
        </is>
      </c>
      <c r="H923" s="16" t="inlineStr">
        <is>
          <t/>
        </is>
      </c>
      <c r="I923" s="17" t="inlineStr">
        <is>
          <t/>
        </is>
      </c>
      <c r="J923" s="18" t="inlineStr">
        <is>
          <t/>
        </is>
      </c>
      <c r="K923" s="19" t="inlineStr">
        <is>
          <t>Privately Held (backing)</t>
        </is>
      </c>
      <c r="L923" s="20" t="inlineStr">
        <is>
          <t>Accelerator/Incubator Backed</t>
        </is>
      </c>
      <c r="M923" s="21" t="n">
        <v>41927.0</v>
      </c>
      <c r="N923" s="22" t="inlineStr">
        <is>
          <t>Angel (individual)</t>
        </is>
      </c>
      <c r="O923" s="23" t="n">
        <v>0.5</v>
      </c>
      <c r="P923" s="101">
        <f>HYPERLINK("https://my.pitchbook.com?c=98474-05", "View company online")</f>
      </c>
    </row>
    <row r="924">
      <c r="A924" s="25" t="inlineStr">
        <is>
          <t>179057-08</t>
        </is>
      </c>
      <c r="B924" s="26" t="inlineStr">
        <is>
          <t>TagDat</t>
        </is>
      </c>
      <c r="C924" s="27" t="inlineStr">
        <is>
          <t/>
        </is>
      </c>
      <c r="D924" s="28" t="inlineStr">
        <is>
          <t/>
        </is>
      </c>
      <c r="E924" s="29" t="inlineStr">
        <is>
          <t/>
        </is>
      </c>
      <c r="F924" s="30" t="inlineStr">
        <is>
          <t/>
        </is>
      </c>
      <c r="G924" s="31" t="inlineStr">
        <is>
          <t/>
        </is>
      </c>
      <c r="H924" s="32" t="inlineStr">
        <is>
          <t/>
        </is>
      </c>
      <c r="I924" s="33" t="inlineStr">
        <is>
          <t/>
        </is>
      </c>
      <c r="J924" s="34" t="inlineStr">
        <is>
          <t/>
        </is>
      </c>
      <c r="K924" s="35" t="inlineStr">
        <is>
          <t>Privately Held (backing)</t>
        </is>
      </c>
      <c r="L924" s="36" t="inlineStr">
        <is>
          <t>Angel-Backed</t>
        </is>
      </c>
      <c r="M924" s="37" t="inlineStr">
        <is>
          <t/>
        </is>
      </c>
      <c r="N924" s="38" t="inlineStr">
        <is>
          <t>Seed Round</t>
        </is>
      </c>
      <c r="O924" s="39" t="n">
        <v>4.0</v>
      </c>
      <c r="P924" s="102">
        <f>HYPERLINK("https://my.pitchbook.com?c=179057-08", "View company online")</f>
      </c>
    </row>
    <row r="925">
      <c r="A925" s="9" t="inlineStr">
        <is>
          <t>169573-06</t>
        </is>
      </c>
      <c r="B925" s="10" t="inlineStr">
        <is>
          <t>Tactus Dynamics</t>
        </is>
      </c>
      <c r="C925" s="11" t="inlineStr">
        <is>
          <t/>
        </is>
      </c>
      <c r="D925" s="12" t="inlineStr">
        <is>
          <t/>
        </is>
      </c>
      <c r="E925" s="13" t="inlineStr">
        <is>
          <t/>
        </is>
      </c>
      <c r="F925" s="14" t="inlineStr">
        <is>
          <t/>
        </is>
      </c>
      <c r="G925" s="15" t="inlineStr">
        <is>
          <t/>
        </is>
      </c>
      <c r="H925" s="16" t="inlineStr">
        <is>
          <t/>
        </is>
      </c>
      <c r="I925" s="17" t="inlineStr">
        <is>
          <t/>
        </is>
      </c>
      <c r="J925" s="18" t="inlineStr">
        <is>
          <t/>
        </is>
      </c>
      <c r="K925" s="19" t="inlineStr">
        <is>
          <t>Privately Held (backing)</t>
        </is>
      </c>
      <c r="L925" s="20" t="inlineStr">
        <is>
          <t>Accelerator/Incubator Backed</t>
        </is>
      </c>
      <c r="M925" s="21" t="inlineStr">
        <is>
          <t/>
        </is>
      </c>
      <c r="N925" s="22" t="inlineStr">
        <is>
          <t>Accelerator/Incubator</t>
        </is>
      </c>
      <c r="O925" s="23" t="inlineStr">
        <is>
          <t/>
        </is>
      </c>
      <c r="P925" s="101">
        <f>HYPERLINK("https://my.pitchbook.com?c=169573-06", "View company online")</f>
      </c>
    </row>
    <row r="926">
      <c r="A926" s="25" t="inlineStr">
        <is>
          <t>172828-18</t>
        </is>
      </c>
      <c r="B926" s="26" t="inlineStr">
        <is>
          <t>Taction Enterprises</t>
        </is>
      </c>
      <c r="C926" s="78">
        <f>HYPERLINK("https://my.pitchbook.com?rrp=172828-18&amp;type=c", "This Company's information is not available to download. Need this Company? Request availability")</f>
      </c>
      <c r="D926" s="28" t="inlineStr">
        <is>
          <t/>
        </is>
      </c>
      <c r="E926" s="29" t="inlineStr">
        <is>
          <t/>
        </is>
      </c>
      <c r="F926" s="30" t="inlineStr">
        <is>
          <t/>
        </is>
      </c>
      <c r="G926" s="31" t="inlineStr">
        <is>
          <t/>
        </is>
      </c>
      <c r="H926" s="32" t="inlineStr">
        <is>
          <t/>
        </is>
      </c>
      <c r="I926" s="33" t="inlineStr">
        <is>
          <t/>
        </is>
      </c>
      <c r="J926" s="34" t="inlineStr">
        <is>
          <t/>
        </is>
      </c>
      <c r="K926" s="35" t="inlineStr">
        <is>
          <t/>
        </is>
      </c>
      <c r="L926" s="36" t="inlineStr">
        <is>
          <t/>
        </is>
      </c>
      <c r="M926" s="37" t="inlineStr">
        <is>
          <t/>
        </is>
      </c>
      <c r="N926" s="38" t="inlineStr">
        <is>
          <t/>
        </is>
      </c>
      <c r="O926" s="39" t="inlineStr">
        <is>
          <t/>
        </is>
      </c>
      <c r="P926" s="40" t="inlineStr">
        <is>
          <t/>
        </is>
      </c>
    </row>
    <row r="927">
      <c r="A927" s="9" t="inlineStr">
        <is>
          <t>98940-79</t>
        </is>
      </c>
      <c r="B927" s="10" t="inlineStr">
        <is>
          <t>TacSense</t>
        </is>
      </c>
      <c r="C927" s="11" t="inlineStr">
        <is>
          <t/>
        </is>
      </c>
      <c r="D927" s="12" t="inlineStr">
        <is>
          <t/>
        </is>
      </c>
      <c r="E927" s="13" t="inlineStr">
        <is>
          <t/>
        </is>
      </c>
      <c r="F927" s="14" t="inlineStr">
        <is>
          <t/>
        </is>
      </c>
      <c r="G927" s="15" t="inlineStr">
        <is>
          <t/>
        </is>
      </c>
      <c r="H927" s="16" t="inlineStr">
        <is>
          <t/>
        </is>
      </c>
      <c r="I927" s="17" t="inlineStr">
        <is>
          <t/>
        </is>
      </c>
      <c r="J927" s="18" t="inlineStr">
        <is>
          <t/>
        </is>
      </c>
      <c r="K927" s="19" t="inlineStr">
        <is>
          <t>Privately Held (backing)</t>
        </is>
      </c>
      <c r="L927" s="20" t="inlineStr">
        <is>
          <t>Accelerator/Incubator Backed</t>
        </is>
      </c>
      <c r="M927" s="21" t="n">
        <v>42247.0</v>
      </c>
      <c r="N927" s="22" t="inlineStr">
        <is>
          <t>Grant</t>
        </is>
      </c>
      <c r="O927" s="23" t="n">
        <v>0.05</v>
      </c>
      <c r="P927" s="101">
        <f>HYPERLINK("https://my.pitchbook.com?c=98940-79", "View company online")</f>
      </c>
    </row>
    <row r="928">
      <c r="A928" s="25" t="inlineStr">
        <is>
          <t>177413-32</t>
        </is>
      </c>
      <c r="B928" s="26" t="inlineStr">
        <is>
          <t>Tacsat Networks</t>
        </is>
      </c>
      <c r="C928" s="78">
        <f>HYPERLINK("https://my.pitchbook.com?rrp=177413-32&amp;type=c", "This Company's information is not available to download. Need this Company? Request availability")</f>
      </c>
      <c r="D928" s="28" t="inlineStr">
        <is>
          <t/>
        </is>
      </c>
      <c r="E928" s="29" t="inlineStr">
        <is>
          <t/>
        </is>
      </c>
      <c r="F928" s="30" t="inlineStr">
        <is>
          <t/>
        </is>
      </c>
      <c r="G928" s="31" t="inlineStr">
        <is>
          <t/>
        </is>
      </c>
      <c r="H928" s="32" t="inlineStr">
        <is>
          <t/>
        </is>
      </c>
      <c r="I928" s="33" t="inlineStr">
        <is>
          <t/>
        </is>
      </c>
      <c r="J928" s="34" t="inlineStr">
        <is>
          <t/>
        </is>
      </c>
      <c r="K928" s="35" t="inlineStr">
        <is>
          <t/>
        </is>
      </c>
      <c r="L928" s="36" t="inlineStr">
        <is>
          <t/>
        </is>
      </c>
      <c r="M928" s="37" t="inlineStr">
        <is>
          <t/>
        </is>
      </c>
      <c r="N928" s="38" t="inlineStr">
        <is>
          <t/>
        </is>
      </c>
      <c r="O928" s="39" t="inlineStr">
        <is>
          <t/>
        </is>
      </c>
      <c r="P928" s="40" t="inlineStr">
        <is>
          <t/>
        </is>
      </c>
    </row>
    <row r="929">
      <c r="A929" s="9" t="inlineStr">
        <is>
          <t>104459-77</t>
        </is>
      </c>
      <c r="B929" s="10" t="inlineStr">
        <is>
          <t>Tablomedia</t>
        </is>
      </c>
      <c r="C929" s="11" t="inlineStr">
        <is>
          <t/>
        </is>
      </c>
      <c r="D929" s="12" t="inlineStr">
        <is>
          <t/>
        </is>
      </c>
      <c r="E929" s="13" t="inlineStr">
        <is>
          <t/>
        </is>
      </c>
      <c r="F929" s="14" t="inlineStr">
        <is>
          <t/>
        </is>
      </c>
      <c r="G929" s="15" t="inlineStr">
        <is>
          <t/>
        </is>
      </c>
      <c r="H929" s="16" t="inlineStr">
        <is>
          <t/>
        </is>
      </c>
      <c r="I929" s="17" t="inlineStr">
        <is>
          <t/>
        </is>
      </c>
      <c r="J929" s="18" t="inlineStr">
        <is>
          <t/>
        </is>
      </c>
      <c r="K929" s="19" t="inlineStr">
        <is>
          <t>Privately Held (backing)</t>
        </is>
      </c>
      <c r="L929" s="20" t="inlineStr">
        <is>
          <t>Accelerator/Incubator Backed</t>
        </is>
      </c>
      <c r="M929" s="21" t="n">
        <v>41742.0</v>
      </c>
      <c r="N929" s="22" t="inlineStr">
        <is>
          <t>Seed Round</t>
        </is>
      </c>
      <c r="O929" s="23" t="n">
        <v>0.16</v>
      </c>
      <c r="P929" s="101">
        <f>HYPERLINK("https://my.pitchbook.com?c=104459-77", "View company online")</f>
      </c>
    </row>
    <row r="930">
      <c r="A930" s="25" t="inlineStr">
        <is>
          <t>178650-01</t>
        </is>
      </c>
      <c r="B930" s="26" t="inlineStr">
        <is>
          <t>TableTime</t>
        </is>
      </c>
      <c r="C930" s="78">
        <f>HYPERLINK("https://my.pitchbook.com?rrp=178650-01&amp;type=c", "This Company's information is not available to download. Need this Company? Request availability")</f>
      </c>
      <c r="D930" s="28" t="inlineStr">
        <is>
          <t/>
        </is>
      </c>
      <c r="E930" s="29" t="inlineStr">
        <is>
          <t/>
        </is>
      </c>
      <c r="F930" s="30" t="inlineStr">
        <is>
          <t/>
        </is>
      </c>
      <c r="G930" s="31" t="inlineStr">
        <is>
          <t/>
        </is>
      </c>
      <c r="H930" s="32" t="inlineStr">
        <is>
          <t/>
        </is>
      </c>
      <c r="I930" s="33" t="inlineStr">
        <is>
          <t/>
        </is>
      </c>
      <c r="J930" s="34" t="inlineStr">
        <is>
          <t/>
        </is>
      </c>
      <c r="K930" s="35" t="inlineStr">
        <is>
          <t/>
        </is>
      </c>
      <c r="L930" s="36" t="inlineStr">
        <is>
          <t/>
        </is>
      </c>
      <c r="M930" s="37" t="inlineStr">
        <is>
          <t/>
        </is>
      </c>
      <c r="N930" s="38" t="inlineStr">
        <is>
          <t/>
        </is>
      </c>
      <c r="O930" s="39" t="inlineStr">
        <is>
          <t/>
        </is>
      </c>
      <c r="P930" s="40" t="inlineStr">
        <is>
          <t/>
        </is>
      </c>
    </row>
    <row r="931">
      <c r="A931" s="9" t="inlineStr">
        <is>
          <t>178654-96</t>
        </is>
      </c>
      <c r="B931" s="10" t="inlineStr">
        <is>
          <t>TableFLIX</t>
        </is>
      </c>
      <c r="C931" s="77">
        <f>HYPERLINK("https://my.pitchbook.com?rrp=178654-96&amp;type=c", "This Company's information is not available to download. Need this Company? Request availability")</f>
      </c>
      <c r="D931" s="12" t="inlineStr">
        <is>
          <t/>
        </is>
      </c>
      <c r="E931" s="13" t="inlineStr">
        <is>
          <t/>
        </is>
      </c>
      <c r="F931" s="14" t="inlineStr">
        <is>
          <t/>
        </is>
      </c>
      <c r="G931" s="15" t="inlineStr">
        <is>
          <t/>
        </is>
      </c>
      <c r="H931" s="16" t="inlineStr">
        <is>
          <t/>
        </is>
      </c>
      <c r="I931" s="17" t="inlineStr">
        <is>
          <t/>
        </is>
      </c>
      <c r="J931" s="18" t="inlineStr">
        <is>
          <t/>
        </is>
      </c>
      <c r="K931" s="19" t="inlineStr">
        <is>
          <t/>
        </is>
      </c>
      <c r="L931" s="20" t="inlineStr">
        <is>
          <t/>
        </is>
      </c>
      <c r="M931" s="21" t="inlineStr">
        <is>
          <t/>
        </is>
      </c>
      <c r="N931" s="22" t="inlineStr">
        <is>
          <t/>
        </is>
      </c>
      <c r="O931" s="23" t="inlineStr">
        <is>
          <t/>
        </is>
      </c>
      <c r="P931" s="24" t="inlineStr">
        <is>
          <t/>
        </is>
      </c>
    </row>
    <row r="932">
      <c r="A932" s="25" t="inlineStr">
        <is>
          <t>175515-67</t>
        </is>
      </c>
      <c r="B932" s="26" t="inlineStr">
        <is>
          <t>Table Topic Ventures</t>
        </is>
      </c>
      <c r="C932" s="78">
        <f>HYPERLINK("https://my.pitchbook.com?rrp=175515-67&amp;type=c", "This Company's information is not available to download. Need this Company? Request availability")</f>
      </c>
      <c r="D932" s="28" t="inlineStr">
        <is>
          <t/>
        </is>
      </c>
      <c r="E932" s="29" t="inlineStr">
        <is>
          <t/>
        </is>
      </c>
      <c r="F932" s="30" t="inlineStr">
        <is>
          <t/>
        </is>
      </c>
      <c r="G932" s="31" t="inlineStr">
        <is>
          <t/>
        </is>
      </c>
      <c r="H932" s="32" t="inlineStr">
        <is>
          <t/>
        </is>
      </c>
      <c r="I932" s="33" t="inlineStr">
        <is>
          <t/>
        </is>
      </c>
      <c r="J932" s="34" t="inlineStr">
        <is>
          <t/>
        </is>
      </c>
      <c r="K932" s="35" t="inlineStr">
        <is>
          <t/>
        </is>
      </c>
      <c r="L932" s="36" t="inlineStr">
        <is>
          <t/>
        </is>
      </c>
      <c r="M932" s="37" t="inlineStr">
        <is>
          <t/>
        </is>
      </c>
      <c r="N932" s="38" t="inlineStr">
        <is>
          <t/>
        </is>
      </c>
      <c r="O932" s="39" t="inlineStr">
        <is>
          <t/>
        </is>
      </c>
      <c r="P932" s="40" t="inlineStr">
        <is>
          <t/>
        </is>
      </c>
    </row>
    <row r="933">
      <c r="A933" s="9" t="inlineStr">
        <is>
          <t>146298-16</t>
        </is>
      </c>
      <c r="B933" s="10" t="inlineStr">
        <is>
          <t>t4 Spatial</t>
        </is>
      </c>
      <c r="C933" s="11" t="inlineStr">
        <is>
          <t/>
        </is>
      </c>
      <c r="D933" s="12" t="inlineStr">
        <is>
          <t/>
        </is>
      </c>
      <c r="E933" s="13" t="inlineStr">
        <is>
          <t/>
        </is>
      </c>
      <c r="F933" s="14" t="inlineStr">
        <is>
          <t/>
        </is>
      </c>
      <c r="G933" s="15" t="inlineStr">
        <is>
          <t/>
        </is>
      </c>
      <c r="H933" s="16" t="inlineStr">
        <is>
          <t/>
        </is>
      </c>
      <c r="I933" s="17" t="inlineStr">
        <is>
          <t/>
        </is>
      </c>
      <c r="J933" s="18" t="inlineStr">
        <is>
          <t/>
        </is>
      </c>
      <c r="K933" s="19" t="inlineStr">
        <is>
          <t>Privately Held (backing)</t>
        </is>
      </c>
      <c r="L933" s="20" t="inlineStr">
        <is>
          <t>Angel-Backed</t>
        </is>
      </c>
      <c r="M933" s="21" t="n">
        <v>42383.0</v>
      </c>
      <c r="N933" s="22" t="inlineStr">
        <is>
          <t>Convertible Debt</t>
        </is>
      </c>
      <c r="O933" s="23" t="n">
        <v>2.0</v>
      </c>
      <c r="P933" s="101">
        <f>HYPERLINK("https://my.pitchbook.com?c=146298-16", "View company online")</f>
      </c>
    </row>
    <row r="934">
      <c r="A934" s="25" t="inlineStr">
        <is>
          <t>65250-55</t>
        </is>
      </c>
      <c r="B934" s="26" t="inlineStr">
        <is>
          <t>T Alliance Three - Sunnyvale</t>
        </is>
      </c>
      <c r="C934" s="27" t="inlineStr">
        <is>
          <t/>
        </is>
      </c>
      <c r="D934" s="28" t="inlineStr">
        <is>
          <t/>
        </is>
      </c>
      <c r="E934" s="29" t="inlineStr">
        <is>
          <t/>
        </is>
      </c>
      <c r="F934" s="30" t="inlineStr">
        <is>
          <t/>
        </is>
      </c>
      <c r="G934" s="31" t="inlineStr">
        <is>
          <t/>
        </is>
      </c>
      <c r="H934" s="32" t="inlineStr">
        <is>
          <t/>
        </is>
      </c>
      <c r="I934" s="33" t="inlineStr">
        <is>
          <t/>
        </is>
      </c>
      <c r="J934" s="34" t="inlineStr">
        <is>
          <t/>
        </is>
      </c>
      <c r="K934" s="35" t="inlineStr">
        <is>
          <t>Privately Held (backing)</t>
        </is>
      </c>
      <c r="L934" s="36" t="inlineStr">
        <is>
          <t>Angel-Backed</t>
        </is>
      </c>
      <c r="M934" s="37" t="n">
        <v>41838.0</v>
      </c>
      <c r="N934" s="38" t="inlineStr">
        <is>
          <t>Angel (individual)</t>
        </is>
      </c>
      <c r="O934" s="39" t="n">
        <v>9.0</v>
      </c>
      <c r="P934" s="102">
        <f>HYPERLINK("https://my.pitchbook.com?c=65250-55", "View company online")</f>
      </c>
    </row>
    <row r="935">
      <c r="A935" s="9" t="inlineStr">
        <is>
          <t>108879-58</t>
        </is>
      </c>
      <c r="B935" s="10" t="inlineStr">
        <is>
          <t>Sywork</t>
        </is>
      </c>
      <c r="C935" s="11" t="inlineStr">
        <is>
          <t/>
        </is>
      </c>
      <c r="D935" s="12" t="inlineStr">
        <is>
          <t/>
        </is>
      </c>
      <c r="E935" s="13" t="inlineStr">
        <is>
          <t/>
        </is>
      </c>
      <c r="F935" s="14" t="inlineStr">
        <is>
          <t/>
        </is>
      </c>
      <c r="G935" s="15" t="inlineStr">
        <is>
          <t/>
        </is>
      </c>
      <c r="H935" s="16" t="inlineStr">
        <is>
          <t/>
        </is>
      </c>
      <c r="I935" s="17" t="inlineStr">
        <is>
          <t/>
        </is>
      </c>
      <c r="J935" s="18" t="inlineStr">
        <is>
          <t/>
        </is>
      </c>
      <c r="K935" s="19" t="inlineStr">
        <is>
          <t>Privately Held (backing)</t>
        </is>
      </c>
      <c r="L935" s="20" t="inlineStr">
        <is>
          <t>Accelerator/Incubator Backed</t>
        </is>
      </c>
      <c r="M935" s="21" t="n">
        <v>42221.0</v>
      </c>
      <c r="N935" s="22" t="inlineStr">
        <is>
          <t>Accelerator/Incubator</t>
        </is>
      </c>
      <c r="O935" s="23" t="n">
        <v>0.12</v>
      </c>
      <c r="P935" s="101">
        <f>HYPERLINK("https://my.pitchbook.com?c=108879-58", "View company online")</f>
      </c>
    </row>
    <row r="936">
      <c r="A936" s="25" t="inlineStr">
        <is>
          <t>167264-92</t>
        </is>
      </c>
      <c r="B936" s="26" t="inlineStr">
        <is>
          <t>System AI</t>
        </is>
      </c>
      <c r="C936" s="27" t="inlineStr">
        <is>
          <t/>
        </is>
      </c>
      <c r="D936" s="28" t="inlineStr">
        <is>
          <t/>
        </is>
      </c>
      <c r="E936" s="29" t="inlineStr">
        <is>
          <t/>
        </is>
      </c>
      <c r="F936" s="30" t="inlineStr">
        <is>
          <t/>
        </is>
      </c>
      <c r="G936" s="31" t="inlineStr">
        <is>
          <t/>
        </is>
      </c>
      <c r="H936" s="32" t="inlineStr">
        <is>
          <t/>
        </is>
      </c>
      <c r="I936" s="33" t="inlineStr">
        <is>
          <t/>
        </is>
      </c>
      <c r="J936" s="34" t="inlineStr">
        <is>
          <t/>
        </is>
      </c>
      <c r="K936" s="35" t="inlineStr">
        <is>
          <t>Privately Held (backing)</t>
        </is>
      </c>
      <c r="L936" s="36" t="inlineStr">
        <is>
          <t>Accelerator/Incubator Backed</t>
        </is>
      </c>
      <c r="M936" s="37" t="n">
        <v>42156.0</v>
      </c>
      <c r="N936" s="38" t="inlineStr">
        <is>
          <t>Accelerator/Incubator</t>
        </is>
      </c>
      <c r="O936" s="39" t="inlineStr">
        <is>
          <t/>
        </is>
      </c>
      <c r="P936" s="102">
        <f>HYPERLINK("https://my.pitchbook.com?c=167264-92", "View company online")</f>
      </c>
    </row>
    <row r="937">
      <c r="A937" s="9" t="inlineStr">
        <is>
          <t>171090-28</t>
        </is>
      </c>
      <c r="B937" s="10" t="inlineStr">
        <is>
          <t>Synvitrobio</t>
        </is>
      </c>
      <c r="C937" s="11" t="inlineStr">
        <is>
          <t/>
        </is>
      </c>
      <c r="D937" s="12" t="inlineStr">
        <is>
          <t/>
        </is>
      </c>
      <c r="E937" s="13" t="inlineStr">
        <is>
          <t/>
        </is>
      </c>
      <c r="F937" s="14" t="inlineStr">
        <is>
          <t/>
        </is>
      </c>
      <c r="G937" s="15" t="inlineStr">
        <is>
          <t/>
        </is>
      </c>
      <c r="H937" s="16" t="inlineStr">
        <is>
          <t/>
        </is>
      </c>
      <c r="I937" s="17" t="inlineStr">
        <is>
          <t/>
        </is>
      </c>
      <c r="J937" s="18" t="inlineStr">
        <is>
          <t/>
        </is>
      </c>
      <c r="K937" s="19" t="inlineStr">
        <is>
          <t>Privately Held (backing)</t>
        </is>
      </c>
      <c r="L937" s="20" t="inlineStr">
        <is>
          <t>Accelerator/Incubator Backed</t>
        </is>
      </c>
      <c r="M937" s="21" t="n">
        <v>42736.0</v>
      </c>
      <c r="N937" s="22" t="inlineStr">
        <is>
          <t>Grant</t>
        </is>
      </c>
      <c r="O937" s="23" t="n">
        <v>0.6</v>
      </c>
      <c r="P937" s="101">
        <f>HYPERLINK("https://my.pitchbook.com?c=171090-28", "View company online")</f>
      </c>
    </row>
    <row r="938">
      <c r="A938" s="25" t="inlineStr">
        <is>
          <t>113356-81</t>
        </is>
      </c>
      <c r="B938" s="26" t="inlineStr">
        <is>
          <t>SynTouch</t>
        </is>
      </c>
      <c r="C938" s="27" t="inlineStr">
        <is>
          <t/>
        </is>
      </c>
      <c r="D938" s="28" t="inlineStr">
        <is>
          <t/>
        </is>
      </c>
      <c r="E938" s="29" t="inlineStr">
        <is>
          <t/>
        </is>
      </c>
      <c r="F938" s="30" t="inlineStr">
        <is>
          <t/>
        </is>
      </c>
      <c r="G938" s="31" t="inlineStr">
        <is>
          <t/>
        </is>
      </c>
      <c r="H938" s="32" t="inlineStr">
        <is>
          <t/>
        </is>
      </c>
      <c r="I938" s="33" t="inlineStr">
        <is>
          <t/>
        </is>
      </c>
      <c r="J938" s="34" t="inlineStr">
        <is>
          <t/>
        </is>
      </c>
      <c r="K938" s="35" t="inlineStr">
        <is>
          <t>Privately Held (backing)</t>
        </is>
      </c>
      <c r="L938" s="36" t="inlineStr">
        <is>
          <t>Accelerator/Incubator Backed</t>
        </is>
      </c>
      <c r="M938" s="37" t="n">
        <v>42005.0</v>
      </c>
      <c r="N938" s="38" t="inlineStr">
        <is>
          <t>Grant</t>
        </is>
      </c>
      <c r="O938" s="39" t="n">
        <v>1.62</v>
      </c>
      <c r="P938" s="102">
        <f>HYPERLINK("https://my.pitchbook.com?c=113356-81", "View company online")</f>
      </c>
    </row>
    <row r="939">
      <c r="A939" s="9" t="inlineStr">
        <is>
          <t>169825-33</t>
        </is>
      </c>
      <c r="B939" s="10" t="inlineStr">
        <is>
          <t>Synthomics</t>
        </is>
      </c>
      <c r="C939" s="11" t="inlineStr">
        <is>
          <t/>
        </is>
      </c>
      <c r="D939" s="12" t="inlineStr">
        <is>
          <t/>
        </is>
      </c>
      <c r="E939" s="13" t="inlineStr">
        <is>
          <t/>
        </is>
      </c>
      <c r="F939" s="14" t="inlineStr">
        <is>
          <t/>
        </is>
      </c>
      <c r="G939" s="15" t="inlineStr">
        <is>
          <t/>
        </is>
      </c>
      <c r="H939" s="16" t="inlineStr">
        <is>
          <t/>
        </is>
      </c>
      <c r="I939" s="17" t="inlineStr">
        <is>
          <t/>
        </is>
      </c>
      <c r="J939" s="18" t="inlineStr">
        <is>
          <t/>
        </is>
      </c>
      <c r="K939" s="19" t="inlineStr">
        <is>
          <t>Privately Held (backing)</t>
        </is>
      </c>
      <c r="L939" s="20" t="inlineStr">
        <is>
          <t>Angel-Backed</t>
        </is>
      </c>
      <c r="M939" s="21" t="n">
        <v>42753.0</v>
      </c>
      <c r="N939" s="22" t="inlineStr">
        <is>
          <t>Seed Round</t>
        </is>
      </c>
      <c r="O939" s="23" t="inlineStr">
        <is>
          <t/>
        </is>
      </c>
      <c r="P939" s="101">
        <f>HYPERLINK("https://my.pitchbook.com?c=169825-33", "View company online")</f>
      </c>
    </row>
    <row r="940">
      <c r="A940" s="25" t="inlineStr">
        <is>
          <t>121970-35</t>
        </is>
      </c>
      <c r="B940" s="26" t="inlineStr">
        <is>
          <t>Synovation Holdings</t>
        </is>
      </c>
      <c r="C940" s="27" t="inlineStr">
        <is>
          <t/>
        </is>
      </c>
      <c r="D940" s="28" t="inlineStr">
        <is>
          <t/>
        </is>
      </c>
      <c r="E940" s="29" t="inlineStr">
        <is>
          <t/>
        </is>
      </c>
      <c r="F940" s="30" t="inlineStr">
        <is>
          <t/>
        </is>
      </c>
      <c r="G940" s="31" t="inlineStr">
        <is>
          <t/>
        </is>
      </c>
      <c r="H940" s="32" t="inlineStr">
        <is>
          <t/>
        </is>
      </c>
      <c r="I940" s="33" t="inlineStr">
        <is>
          <t/>
        </is>
      </c>
      <c r="J940" s="34" t="inlineStr">
        <is>
          <t/>
        </is>
      </c>
      <c r="K940" s="35" t="inlineStr">
        <is>
          <t>Privately Held (backing)</t>
        </is>
      </c>
      <c r="L940" s="36" t="inlineStr">
        <is>
          <t>Angel-Backed</t>
        </is>
      </c>
      <c r="M940" s="37" t="n">
        <v>42227.0</v>
      </c>
      <c r="N940" s="38" t="inlineStr">
        <is>
          <t>Angel (individual)</t>
        </is>
      </c>
      <c r="O940" s="39" t="n">
        <v>0.13</v>
      </c>
      <c r="P940" s="102">
        <f>HYPERLINK("https://my.pitchbook.com?c=121970-35", "View company online")</f>
      </c>
    </row>
    <row r="941">
      <c r="A941" s="9" t="inlineStr">
        <is>
          <t>95525-29</t>
        </is>
      </c>
      <c r="B941" s="10" t="inlineStr">
        <is>
          <t>Synosure Games</t>
        </is>
      </c>
      <c r="C941" s="11" t="inlineStr">
        <is>
          <t/>
        </is>
      </c>
      <c r="D941" s="12" t="inlineStr">
        <is>
          <t/>
        </is>
      </c>
      <c r="E941" s="13" t="inlineStr">
        <is>
          <t/>
        </is>
      </c>
      <c r="F941" s="14" t="inlineStr">
        <is>
          <t/>
        </is>
      </c>
      <c r="G941" s="15" t="inlineStr">
        <is>
          <t/>
        </is>
      </c>
      <c r="H941" s="16" t="inlineStr">
        <is>
          <t/>
        </is>
      </c>
      <c r="I941" s="17" t="inlineStr">
        <is>
          <t/>
        </is>
      </c>
      <c r="J941" s="18" t="inlineStr">
        <is>
          <t/>
        </is>
      </c>
      <c r="K941" s="19" t="inlineStr">
        <is>
          <t>Privately Held (backing)</t>
        </is>
      </c>
      <c r="L941" s="20" t="inlineStr">
        <is>
          <t>Accelerator/Incubator Backed</t>
        </is>
      </c>
      <c r="M941" s="21" t="n">
        <v>41297.0</v>
      </c>
      <c r="N941" s="22" t="inlineStr">
        <is>
          <t>Accelerator/Incubator</t>
        </is>
      </c>
      <c r="O941" s="23" t="n">
        <v>0.02</v>
      </c>
      <c r="P941" s="101">
        <f>HYPERLINK("https://my.pitchbook.com?c=95525-29", "View company online")</f>
      </c>
    </row>
    <row r="942">
      <c r="A942" s="25" t="inlineStr">
        <is>
          <t>166062-97</t>
        </is>
      </c>
      <c r="B942" s="26" t="inlineStr">
        <is>
          <t>Synocate</t>
        </is>
      </c>
      <c r="C942" s="27" t="inlineStr">
        <is>
          <t/>
        </is>
      </c>
      <c r="D942" s="28" t="inlineStr">
        <is>
          <t/>
        </is>
      </c>
      <c r="E942" s="29" t="inlineStr">
        <is>
          <t/>
        </is>
      </c>
      <c r="F942" s="30" t="inlineStr">
        <is>
          <t/>
        </is>
      </c>
      <c r="G942" s="31" t="inlineStr">
        <is>
          <t/>
        </is>
      </c>
      <c r="H942" s="32" t="inlineStr">
        <is>
          <t/>
        </is>
      </c>
      <c r="I942" s="33" t="inlineStr">
        <is>
          <t/>
        </is>
      </c>
      <c r="J942" s="34" t="inlineStr">
        <is>
          <t/>
        </is>
      </c>
      <c r="K942" s="35" t="inlineStr">
        <is>
          <t>Privately Held (backing)</t>
        </is>
      </c>
      <c r="L942" s="36" t="inlineStr">
        <is>
          <t>Accelerator/Incubator Backed</t>
        </is>
      </c>
      <c r="M942" s="37" t="n">
        <v>42614.0</v>
      </c>
      <c r="N942" s="38" t="inlineStr">
        <is>
          <t>Accelerator/Incubator</t>
        </is>
      </c>
      <c r="O942" s="39" t="n">
        <v>0.05</v>
      </c>
      <c r="P942" s="102">
        <f>HYPERLINK("https://my.pitchbook.com?c=166062-97", "View company online")</f>
      </c>
    </row>
    <row r="943">
      <c r="A943" s="9" t="inlineStr">
        <is>
          <t>151182-73</t>
        </is>
      </c>
      <c r="B943" s="10" t="inlineStr">
        <is>
          <t>SynGest</t>
        </is>
      </c>
      <c r="C943" s="11" t="inlineStr">
        <is>
          <t/>
        </is>
      </c>
      <c r="D943" s="12" t="inlineStr">
        <is>
          <t/>
        </is>
      </c>
      <c r="E943" s="13" t="inlineStr">
        <is>
          <t/>
        </is>
      </c>
      <c r="F943" s="14" t="inlineStr">
        <is>
          <t/>
        </is>
      </c>
      <c r="G943" s="15" t="inlineStr">
        <is>
          <t/>
        </is>
      </c>
      <c r="H943" s="16" t="inlineStr">
        <is>
          <t/>
        </is>
      </c>
      <c r="I943" s="17" t="inlineStr">
        <is>
          <t/>
        </is>
      </c>
      <c r="J943" s="18" t="inlineStr">
        <is>
          <t/>
        </is>
      </c>
      <c r="K943" s="19" t="inlineStr">
        <is>
          <t>Privately Held (backing)</t>
        </is>
      </c>
      <c r="L943" s="20" t="inlineStr">
        <is>
          <t>Angel-Backed</t>
        </is>
      </c>
      <c r="M943" s="21" t="inlineStr">
        <is>
          <t/>
        </is>
      </c>
      <c r="N943" s="22" t="inlineStr">
        <is>
          <t>Angel (individual)</t>
        </is>
      </c>
      <c r="O943" s="23" t="n">
        <v>3.5</v>
      </c>
      <c r="P943" s="101">
        <f>HYPERLINK("https://my.pitchbook.com?c=151182-73", "View company online")</f>
      </c>
    </row>
    <row r="944">
      <c r="A944" s="25" t="inlineStr">
        <is>
          <t>66015-01</t>
        </is>
      </c>
      <c r="B944" s="26" t="inlineStr">
        <is>
          <t>Synedgen</t>
        </is>
      </c>
      <c r="C944" s="27" t="inlineStr">
        <is>
          <t/>
        </is>
      </c>
      <c r="D944" s="28" t="inlineStr">
        <is>
          <t/>
        </is>
      </c>
      <c r="E944" s="29" t="inlineStr">
        <is>
          <t/>
        </is>
      </c>
      <c r="F944" s="30" t="inlineStr">
        <is>
          <t/>
        </is>
      </c>
      <c r="G944" s="31" t="inlineStr">
        <is>
          <t/>
        </is>
      </c>
      <c r="H944" s="32" t="inlineStr">
        <is>
          <t/>
        </is>
      </c>
      <c r="I944" s="33" t="inlineStr">
        <is>
          <t/>
        </is>
      </c>
      <c r="J944" s="34" t="inlineStr">
        <is>
          <t/>
        </is>
      </c>
      <c r="K944" s="35" t="inlineStr">
        <is>
          <t>Privately Held (backing)</t>
        </is>
      </c>
      <c r="L944" s="36" t="inlineStr">
        <is>
          <t>Angel-Backed</t>
        </is>
      </c>
      <c r="M944" s="37" t="n">
        <v>42681.0</v>
      </c>
      <c r="N944" s="38" t="inlineStr">
        <is>
          <t>Angel (individual)</t>
        </is>
      </c>
      <c r="O944" s="39" t="n">
        <v>3.0</v>
      </c>
      <c r="P944" s="102">
        <f>HYPERLINK("https://my.pitchbook.com?c=66015-01", "View company online")</f>
      </c>
    </row>
    <row r="945">
      <c r="A945" s="9" t="inlineStr">
        <is>
          <t>93904-66</t>
        </is>
      </c>
      <c r="B945" s="10" t="inlineStr">
        <is>
          <t>Synchronicity.co</t>
        </is>
      </c>
      <c r="C945" s="11" t="inlineStr">
        <is>
          <t/>
        </is>
      </c>
      <c r="D945" s="12" t="inlineStr">
        <is>
          <t/>
        </is>
      </c>
      <c r="E945" s="13" t="inlineStr">
        <is>
          <t/>
        </is>
      </c>
      <c r="F945" s="14" t="inlineStr">
        <is>
          <t/>
        </is>
      </c>
      <c r="G945" s="15" t="inlineStr">
        <is>
          <t/>
        </is>
      </c>
      <c r="H945" s="16" t="inlineStr">
        <is>
          <t/>
        </is>
      </c>
      <c r="I945" s="17" t="inlineStr">
        <is>
          <t/>
        </is>
      </c>
      <c r="J945" s="18" t="inlineStr">
        <is>
          <t/>
        </is>
      </c>
      <c r="K945" s="19" t="inlineStr">
        <is>
          <t>Privately Held (backing)</t>
        </is>
      </c>
      <c r="L945" s="20" t="inlineStr">
        <is>
          <t>Angel-Backed</t>
        </is>
      </c>
      <c r="M945" s="21" t="n">
        <v>41963.0</v>
      </c>
      <c r="N945" s="22" t="inlineStr">
        <is>
          <t>Convertible Debt</t>
        </is>
      </c>
      <c r="O945" s="23" t="n">
        <v>0.3</v>
      </c>
      <c r="P945" s="101">
        <f>HYPERLINK("https://my.pitchbook.com?c=93904-66", "View company online")</f>
      </c>
    </row>
    <row r="946">
      <c r="A946" s="25" t="inlineStr">
        <is>
          <t>143904-34</t>
        </is>
      </c>
      <c r="B946" s="26" t="inlineStr">
        <is>
          <t>Sync Think</t>
        </is>
      </c>
      <c r="C946" s="27" t="inlineStr">
        <is>
          <t/>
        </is>
      </c>
      <c r="D946" s="28" t="inlineStr">
        <is>
          <t/>
        </is>
      </c>
      <c r="E946" s="29" t="inlineStr">
        <is>
          <t/>
        </is>
      </c>
      <c r="F946" s="30" t="inlineStr">
        <is>
          <t/>
        </is>
      </c>
      <c r="G946" s="31" t="inlineStr">
        <is>
          <t/>
        </is>
      </c>
      <c r="H946" s="32" t="inlineStr">
        <is>
          <t/>
        </is>
      </c>
      <c r="I946" s="33" t="inlineStr">
        <is>
          <t/>
        </is>
      </c>
      <c r="J946" s="34" t="inlineStr">
        <is>
          <t/>
        </is>
      </c>
      <c r="K946" s="35" t="inlineStr">
        <is>
          <t>Privately Held (backing)</t>
        </is>
      </c>
      <c r="L946" s="36" t="inlineStr">
        <is>
          <t>Accelerator/Incubator Backed</t>
        </is>
      </c>
      <c r="M946" s="37" t="n">
        <v>42717.0</v>
      </c>
      <c r="N946" s="38" t="inlineStr">
        <is>
          <t>Accelerator/Incubator</t>
        </is>
      </c>
      <c r="O946" s="39" t="inlineStr">
        <is>
          <t/>
        </is>
      </c>
      <c r="P946" s="102">
        <f>HYPERLINK("https://my.pitchbook.com?c=143904-34", "View company online")</f>
      </c>
    </row>
    <row r="947">
      <c r="A947" s="9" t="inlineStr">
        <is>
          <t>163080-01</t>
        </is>
      </c>
      <c r="B947" s="10" t="inlineStr">
        <is>
          <t>Synapse AI</t>
        </is>
      </c>
      <c r="C947" s="11" t="inlineStr">
        <is>
          <t/>
        </is>
      </c>
      <c r="D947" s="12" t="inlineStr">
        <is>
          <t/>
        </is>
      </c>
      <c r="E947" s="13" t="inlineStr">
        <is>
          <t/>
        </is>
      </c>
      <c r="F947" s="14" t="inlineStr">
        <is>
          <t/>
        </is>
      </c>
      <c r="G947" s="15" t="inlineStr">
        <is>
          <t/>
        </is>
      </c>
      <c r="H947" s="16" t="inlineStr">
        <is>
          <t/>
        </is>
      </c>
      <c r="I947" s="17" t="inlineStr">
        <is>
          <t/>
        </is>
      </c>
      <c r="J947" s="18" t="inlineStr">
        <is>
          <t/>
        </is>
      </c>
      <c r="K947" s="19" t="inlineStr">
        <is>
          <t>Privately Held (backing)</t>
        </is>
      </c>
      <c r="L947" s="20" t="inlineStr">
        <is>
          <t>Accelerator/Incubator Backed</t>
        </is>
      </c>
      <c r="M947" s="21" t="inlineStr">
        <is>
          <t/>
        </is>
      </c>
      <c r="N947" s="22" t="inlineStr">
        <is>
          <t>Accelerator/Incubator</t>
        </is>
      </c>
      <c r="O947" s="23" t="inlineStr">
        <is>
          <t/>
        </is>
      </c>
      <c r="P947" s="101">
        <f>HYPERLINK("https://my.pitchbook.com?c=163080-01", "View company online")</f>
      </c>
    </row>
    <row r="948">
      <c r="A948" s="25" t="inlineStr">
        <is>
          <t>90463-24</t>
        </is>
      </c>
      <c r="B948" s="26" t="inlineStr">
        <is>
          <t>SyMynd</t>
        </is>
      </c>
      <c r="C948" s="27" t="inlineStr">
        <is>
          <t/>
        </is>
      </c>
      <c r="D948" s="28" t="inlineStr">
        <is>
          <t/>
        </is>
      </c>
      <c r="E948" s="29" t="inlineStr">
        <is>
          <t/>
        </is>
      </c>
      <c r="F948" s="30" t="inlineStr">
        <is>
          <t/>
        </is>
      </c>
      <c r="G948" s="31" t="inlineStr">
        <is>
          <t/>
        </is>
      </c>
      <c r="H948" s="32" t="inlineStr">
        <is>
          <t/>
        </is>
      </c>
      <c r="I948" s="33" t="inlineStr">
        <is>
          <t/>
        </is>
      </c>
      <c r="J948" s="34" t="inlineStr">
        <is>
          <t/>
        </is>
      </c>
      <c r="K948" s="35" t="inlineStr">
        <is>
          <t>Privately Held (backing)</t>
        </is>
      </c>
      <c r="L948" s="36" t="inlineStr">
        <is>
          <t>Accelerator/Incubator Backed</t>
        </is>
      </c>
      <c r="M948" s="37" t="n">
        <v>41338.0</v>
      </c>
      <c r="N948" s="38" t="inlineStr">
        <is>
          <t>Accelerator/Incubator</t>
        </is>
      </c>
      <c r="O948" s="39" t="inlineStr">
        <is>
          <t/>
        </is>
      </c>
      <c r="P948" s="102">
        <f>HYPERLINK("https://my.pitchbook.com?c=90463-24", "View company online")</f>
      </c>
    </row>
    <row r="949">
      <c r="A949" s="9" t="inlineStr">
        <is>
          <t>155654-47</t>
        </is>
      </c>
      <c r="B949" s="10" t="inlineStr">
        <is>
          <t>Symple Surgical</t>
        </is>
      </c>
      <c r="C949" s="11" t="inlineStr">
        <is>
          <t/>
        </is>
      </c>
      <c r="D949" s="12" t="inlineStr">
        <is>
          <t/>
        </is>
      </c>
      <c r="E949" s="13" t="inlineStr">
        <is>
          <t/>
        </is>
      </c>
      <c r="F949" s="14" t="inlineStr">
        <is>
          <t/>
        </is>
      </c>
      <c r="G949" s="15" t="inlineStr">
        <is>
          <t/>
        </is>
      </c>
      <c r="H949" s="16" t="inlineStr">
        <is>
          <t/>
        </is>
      </c>
      <c r="I949" s="17" t="inlineStr">
        <is>
          <t/>
        </is>
      </c>
      <c r="J949" s="18" t="inlineStr">
        <is>
          <t/>
        </is>
      </c>
      <c r="K949" s="19" t="inlineStr">
        <is>
          <t>Privately Held (backing)</t>
        </is>
      </c>
      <c r="L949" s="20" t="inlineStr">
        <is>
          <t>Angel-Backed</t>
        </is>
      </c>
      <c r="M949" s="21" t="n">
        <v>42446.0</v>
      </c>
      <c r="N949" s="22" t="inlineStr">
        <is>
          <t>Grant</t>
        </is>
      </c>
      <c r="O949" s="23" t="n">
        <v>0.03</v>
      </c>
      <c r="P949" s="101">
        <f>HYPERLINK("https://my.pitchbook.com?c=155654-47", "View company online")</f>
      </c>
    </row>
    <row r="950">
      <c r="A950" s="25" t="inlineStr">
        <is>
          <t>170349-22</t>
        </is>
      </c>
      <c r="B950" s="26" t="inlineStr">
        <is>
          <t>Symple (payments platform)</t>
        </is>
      </c>
      <c r="C950" s="27" t="inlineStr">
        <is>
          <t/>
        </is>
      </c>
      <c r="D950" s="28" t="inlineStr">
        <is>
          <t/>
        </is>
      </c>
      <c r="E950" s="29" t="inlineStr">
        <is>
          <t/>
        </is>
      </c>
      <c r="F950" s="30" t="inlineStr">
        <is>
          <t/>
        </is>
      </c>
      <c r="G950" s="31" t="inlineStr">
        <is>
          <t/>
        </is>
      </c>
      <c r="H950" s="32" t="inlineStr">
        <is>
          <t/>
        </is>
      </c>
      <c r="I950" s="33" t="inlineStr">
        <is>
          <t/>
        </is>
      </c>
      <c r="J950" s="34" t="inlineStr">
        <is>
          <t/>
        </is>
      </c>
      <c r="K950" s="35" t="inlineStr">
        <is>
          <t>Privately Held (backing)</t>
        </is>
      </c>
      <c r="L950" s="36" t="inlineStr">
        <is>
          <t>Accelerator/Incubator Backed</t>
        </is>
      </c>
      <c r="M950" s="37" t="n">
        <v>42736.0</v>
      </c>
      <c r="N950" s="38" t="inlineStr">
        <is>
          <t>Accelerator/Incubator</t>
        </is>
      </c>
      <c r="O950" s="39" t="n">
        <v>0.12</v>
      </c>
      <c r="P950" s="102">
        <f>HYPERLINK("https://my.pitchbook.com?c=170349-22", "View company online")</f>
      </c>
    </row>
    <row r="951">
      <c r="A951" s="9" t="inlineStr">
        <is>
          <t>113457-97</t>
        </is>
      </c>
      <c r="B951" s="10" t="inlineStr">
        <is>
          <t>Symmpl</t>
        </is>
      </c>
      <c r="C951" s="77">
        <f>HYPERLINK("https://my.pitchbook.com?rrp=113457-97&amp;type=c", "This Company's information is not available to download. Need this Company? Request availability")</f>
      </c>
      <c r="D951" s="12" t="inlineStr">
        <is>
          <t/>
        </is>
      </c>
      <c r="E951" s="13" t="inlineStr">
        <is>
          <t/>
        </is>
      </c>
      <c r="F951" s="14" t="inlineStr">
        <is>
          <t/>
        </is>
      </c>
      <c r="G951" s="15" t="inlineStr">
        <is>
          <t/>
        </is>
      </c>
      <c r="H951" s="16" t="inlineStr">
        <is>
          <t/>
        </is>
      </c>
      <c r="I951" s="17" t="inlineStr">
        <is>
          <t/>
        </is>
      </c>
      <c r="J951" s="18" t="inlineStr">
        <is>
          <t/>
        </is>
      </c>
      <c r="K951" s="19" t="inlineStr">
        <is>
          <t/>
        </is>
      </c>
      <c r="L951" s="20" t="inlineStr">
        <is>
          <t/>
        </is>
      </c>
      <c r="M951" s="21" t="inlineStr">
        <is>
          <t/>
        </is>
      </c>
      <c r="N951" s="22" t="inlineStr">
        <is>
          <t/>
        </is>
      </c>
      <c r="O951" s="23" t="inlineStr">
        <is>
          <t/>
        </is>
      </c>
      <c r="P951" s="24" t="inlineStr">
        <is>
          <t/>
        </is>
      </c>
    </row>
    <row r="952">
      <c r="A952" s="25" t="inlineStr">
        <is>
          <t>99614-71</t>
        </is>
      </c>
      <c r="B952" s="26" t="inlineStr">
        <is>
          <t>SymbiOx</t>
        </is>
      </c>
      <c r="C952" s="27" t="inlineStr">
        <is>
          <t/>
        </is>
      </c>
      <c r="D952" s="28" t="inlineStr">
        <is>
          <t/>
        </is>
      </c>
      <c r="E952" s="29" t="inlineStr">
        <is>
          <t/>
        </is>
      </c>
      <c r="F952" s="30" t="inlineStr">
        <is>
          <t/>
        </is>
      </c>
      <c r="G952" s="31" t="inlineStr">
        <is>
          <t/>
        </is>
      </c>
      <c r="H952" s="32" t="inlineStr">
        <is>
          <t/>
        </is>
      </c>
      <c r="I952" s="33" t="inlineStr">
        <is>
          <t/>
        </is>
      </c>
      <c r="J952" s="34" t="inlineStr">
        <is>
          <t/>
        </is>
      </c>
      <c r="K952" s="35" t="inlineStr">
        <is>
          <t>Privately Held (backing)</t>
        </is>
      </c>
      <c r="L952" s="36" t="inlineStr">
        <is>
          <t>Accelerator/Incubator Backed</t>
        </is>
      </c>
      <c r="M952" s="37" t="inlineStr">
        <is>
          <t/>
        </is>
      </c>
      <c r="N952" s="38" t="inlineStr">
        <is>
          <t>Accelerator/Incubator</t>
        </is>
      </c>
      <c r="O952" s="39" t="inlineStr">
        <is>
          <t/>
        </is>
      </c>
      <c r="P952" s="102">
        <f>HYPERLINK("https://my.pitchbook.com?c=99614-71", "View company online")</f>
      </c>
    </row>
    <row r="953">
      <c r="A953" s="9" t="inlineStr">
        <is>
          <t>110508-31</t>
        </is>
      </c>
      <c r="B953" s="10" t="inlineStr">
        <is>
          <t>Symbio Robotics</t>
        </is>
      </c>
      <c r="C953" s="11" t="inlineStr">
        <is>
          <t/>
        </is>
      </c>
      <c r="D953" s="12" t="inlineStr">
        <is>
          <t/>
        </is>
      </c>
      <c r="E953" s="13" t="inlineStr">
        <is>
          <t/>
        </is>
      </c>
      <c r="F953" s="14" t="inlineStr">
        <is>
          <t/>
        </is>
      </c>
      <c r="G953" s="15" t="inlineStr">
        <is>
          <t/>
        </is>
      </c>
      <c r="H953" s="16" t="inlineStr">
        <is>
          <t/>
        </is>
      </c>
      <c r="I953" s="17" t="inlineStr">
        <is>
          <t/>
        </is>
      </c>
      <c r="J953" s="18" t="inlineStr">
        <is>
          <t/>
        </is>
      </c>
      <c r="K953" s="19" t="inlineStr">
        <is>
          <t>Privately Held (backing)</t>
        </is>
      </c>
      <c r="L953" s="20" t="inlineStr">
        <is>
          <t>Accelerator/Incubator Backed</t>
        </is>
      </c>
      <c r="M953" s="21" t="inlineStr">
        <is>
          <t/>
        </is>
      </c>
      <c r="N953" s="22" t="inlineStr">
        <is>
          <t>Accelerator/Incubator</t>
        </is>
      </c>
      <c r="O953" s="23" t="inlineStr">
        <is>
          <t/>
        </is>
      </c>
      <c r="P953" s="101">
        <f>HYPERLINK("https://my.pitchbook.com?c=110508-31", "View company online")</f>
      </c>
    </row>
    <row r="954">
      <c r="A954" s="25" t="inlineStr">
        <is>
          <t>88730-92</t>
        </is>
      </c>
      <c r="B954" s="26" t="inlineStr">
        <is>
          <t>Sylvan Source</t>
        </is>
      </c>
      <c r="C954" s="27" t="inlineStr">
        <is>
          <t/>
        </is>
      </c>
      <c r="D954" s="28" t="inlineStr">
        <is>
          <t/>
        </is>
      </c>
      <c r="E954" s="29" t="inlineStr">
        <is>
          <t/>
        </is>
      </c>
      <c r="F954" s="30" t="inlineStr">
        <is>
          <t/>
        </is>
      </c>
      <c r="G954" s="31" t="inlineStr">
        <is>
          <t/>
        </is>
      </c>
      <c r="H954" s="32" t="inlineStr">
        <is>
          <t/>
        </is>
      </c>
      <c r="I954" s="33" t="inlineStr">
        <is>
          <t/>
        </is>
      </c>
      <c r="J954" s="34" t="inlineStr">
        <is>
          <t/>
        </is>
      </c>
      <c r="K954" s="35" t="inlineStr">
        <is>
          <t>Privately Held (backing)</t>
        </is>
      </c>
      <c r="L954" s="36" t="inlineStr">
        <is>
          <t>Angel-Backed</t>
        </is>
      </c>
      <c r="M954" s="37" t="n">
        <v>40557.0</v>
      </c>
      <c r="N954" s="38" t="inlineStr">
        <is>
          <t>Angel (individual)</t>
        </is>
      </c>
      <c r="O954" s="39" t="n">
        <v>1.5</v>
      </c>
      <c r="P954" s="102">
        <f>HYPERLINK("https://my.pitchbook.com?c=88730-92", "View company online")</f>
      </c>
    </row>
    <row r="955">
      <c r="A955" s="9" t="inlineStr">
        <is>
          <t>127241-47</t>
        </is>
      </c>
      <c r="B955" s="10" t="inlineStr">
        <is>
          <t>Syllabliss</t>
        </is>
      </c>
      <c r="C955" s="11" t="inlineStr">
        <is>
          <t/>
        </is>
      </c>
      <c r="D955" s="12" t="inlineStr">
        <is>
          <t/>
        </is>
      </c>
      <c r="E955" s="13" t="inlineStr">
        <is>
          <t/>
        </is>
      </c>
      <c r="F955" s="14" t="inlineStr">
        <is>
          <t/>
        </is>
      </c>
      <c r="G955" s="15" t="inlineStr">
        <is>
          <t/>
        </is>
      </c>
      <c r="H955" s="16" t="inlineStr">
        <is>
          <t/>
        </is>
      </c>
      <c r="I955" s="17" t="inlineStr">
        <is>
          <t/>
        </is>
      </c>
      <c r="J955" s="18" t="inlineStr">
        <is>
          <t/>
        </is>
      </c>
      <c r="K955" s="19" t="inlineStr">
        <is>
          <t>Privately Held (backing)</t>
        </is>
      </c>
      <c r="L955" s="20" t="inlineStr">
        <is>
          <t>Accelerator/Incubator Backed</t>
        </is>
      </c>
      <c r="M955" s="21" t="inlineStr">
        <is>
          <t/>
        </is>
      </c>
      <c r="N955" s="22" t="inlineStr">
        <is>
          <t>Accelerator/Incubator</t>
        </is>
      </c>
      <c r="O955" s="23" t="inlineStr">
        <is>
          <t/>
        </is>
      </c>
      <c r="P955" s="101">
        <f>HYPERLINK("https://my.pitchbook.com?c=127241-47", "View company online")</f>
      </c>
    </row>
    <row r="956">
      <c r="A956" s="25" t="inlineStr">
        <is>
          <t>172622-71</t>
        </is>
      </c>
      <c r="B956" s="26" t="inlineStr">
        <is>
          <t>Syllable</t>
        </is>
      </c>
      <c r="C956" s="78">
        <f>HYPERLINK("https://my.pitchbook.com?rrp=172622-71&amp;type=c", "This Company's information is not available to download. Need this Company? Request availability")</f>
      </c>
      <c r="D956" s="28" t="inlineStr">
        <is>
          <t/>
        </is>
      </c>
      <c r="E956" s="29" t="inlineStr">
        <is>
          <t/>
        </is>
      </c>
      <c r="F956" s="30" t="inlineStr">
        <is>
          <t/>
        </is>
      </c>
      <c r="G956" s="31" t="inlineStr">
        <is>
          <t/>
        </is>
      </c>
      <c r="H956" s="32" t="inlineStr">
        <is>
          <t/>
        </is>
      </c>
      <c r="I956" s="33" t="inlineStr">
        <is>
          <t/>
        </is>
      </c>
      <c r="J956" s="34" t="inlineStr">
        <is>
          <t/>
        </is>
      </c>
      <c r="K956" s="35" t="inlineStr">
        <is>
          <t/>
        </is>
      </c>
      <c r="L956" s="36" t="inlineStr">
        <is>
          <t/>
        </is>
      </c>
      <c r="M956" s="37" t="inlineStr">
        <is>
          <t/>
        </is>
      </c>
      <c r="N956" s="38" t="inlineStr">
        <is>
          <t/>
        </is>
      </c>
      <c r="O956" s="39" t="inlineStr">
        <is>
          <t/>
        </is>
      </c>
      <c r="P956" s="40" t="inlineStr">
        <is>
          <t/>
        </is>
      </c>
    </row>
    <row r="957">
      <c r="A957" s="9" t="inlineStr">
        <is>
          <t>178893-19</t>
        </is>
      </c>
      <c r="B957" s="10" t="inlineStr">
        <is>
          <t>Sycamore (On-Demand Jobs)</t>
        </is>
      </c>
      <c r="C957" s="11" t="inlineStr">
        <is>
          <t/>
        </is>
      </c>
      <c r="D957" s="12" t="inlineStr">
        <is>
          <t/>
        </is>
      </c>
      <c r="E957" s="13" t="inlineStr">
        <is>
          <t/>
        </is>
      </c>
      <c r="F957" s="14" t="inlineStr">
        <is>
          <t/>
        </is>
      </c>
      <c r="G957" s="15" t="inlineStr">
        <is>
          <t/>
        </is>
      </c>
      <c r="H957" s="16" t="inlineStr">
        <is>
          <t/>
        </is>
      </c>
      <c r="I957" s="17" t="inlineStr">
        <is>
          <t/>
        </is>
      </c>
      <c r="J957" s="18" t="inlineStr">
        <is>
          <t/>
        </is>
      </c>
      <c r="K957" s="19" t="inlineStr">
        <is>
          <t>Privately Held (backing)</t>
        </is>
      </c>
      <c r="L957" s="20" t="inlineStr">
        <is>
          <t>Accelerator/Incubator Backed</t>
        </is>
      </c>
      <c r="M957" s="21" t="n">
        <v>42816.0</v>
      </c>
      <c r="N957" s="22" t="inlineStr">
        <is>
          <t>Accelerator/Incubator</t>
        </is>
      </c>
      <c r="O957" s="23" t="n">
        <v>0.12</v>
      </c>
      <c r="P957" s="101">
        <f>HYPERLINK("https://my.pitchbook.com?c=178893-19", "View company online")</f>
      </c>
    </row>
    <row r="958">
      <c r="A958" s="25" t="inlineStr">
        <is>
          <t>152042-77</t>
        </is>
      </c>
      <c r="B958" s="26" t="inlineStr">
        <is>
          <t>Sybrillo</t>
        </is>
      </c>
      <c r="C958" s="27" t="inlineStr">
        <is>
          <t/>
        </is>
      </c>
      <c r="D958" s="28" t="inlineStr">
        <is>
          <t/>
        </is>
      </c>
      <c r="E958" s="29" t="inlineStr">
        <is>
          <t/>
        </is>
      </c>
      <c r="F958" s="30" t="inlineStr">
        <is>
          <t/>
        </is>
      </c>
      <c r="G958" s="31" t="inlineStr">
        <is>
          <t/>
        </is>
      </c>
      <c r="H958" s="32" t="inlineStr">
        <is>
          <t/>
        </is>
      </c>
      <c r="I958" s="33" t="inlineStr">
        <is>
          <t/>
        </is>
      </c>
      <c r="J958" s="34" t="inlineStr">
        <is>
          <t/>
        </is>
      </c>
      <c r="K958" s="35" t="inlineStr">
        <is>
          <t>Privately Held (backing)</t>
        </is>
      </c>
      <c r="L958" s="36" t="inlineStr">
        <is>
          <t>Angel-Backed</t>
        </is>
      </c>
      <c r="M958" s="37" t="n">
        <v>42531.0</v>
      </c>
      <c r="N958" s="38" t="inlineStr">
        <is>
          <t>Product Crowdfunding</t>
        </is>
      </c>
      <c r="O958" s="39" t="n">
        <v>0.15</v>
      </c>
      <c r="P958" s="102">
        <f>HYPERLINK("https://my.pitchbook.com?c=152042-77", "View company online")</f>
      </c>
    </row>
    <row r="959">
      <c r="A959" s="9" t="inlineStr">
        <is>
          <t>166859-65</t>
        </is>
      </c>
      <c r="B959" s="10" t="inlineStr">
        <is>
          <t>SwoopMe</t>
        </is>
      </c>
      <c r="C959" s="11" t="inlineStr">
        <is>
          <t/>
        </is>
      </c>
      <c r="D959" s="12" t="inlineStr">
        <is>
          <t/>
        </is>
      </c>
      <c r="E959" s="13" t="inlineStr">
        <is>
          <t/>
        </is>
      </c>
      <c r="F959" s="14" t="inlineStr">
        <is>
          <t/>
        </is>
      </c>
      <c r="G959" s="15" t="inlineStr">
        <is>
          <t/>
        </is>
      </c>
      <c r="H959" s="16" t="inlineStr">
        <is>
          <t/>
        </is>
      </c>
      <c r="I959" s="17" t="inlineStr">
        <is>
          <t/>
        </is>
      </c>
      <c r="J959" s="18" t="inlineStr">
        <is>
          <t/>
        </is>
      </c>
      <c r="K959" s="19" t="inlineStr">
        <is>
          <t>Privately Held (backing)</t>
        </is>
      </c>
      <c r="L959" s="20" t="inlineStr">
        <is>
          <t>Angel-Backed</t>
        </is>
      </c>
      <c r="M959" s="21" t="n">
        <v>42655.0</v>
      </c>
      <c r="N959" s="22" t="inlineStr">
        <is>
          <t>Angel (individual)</t>
        </is>
      </c>
      <c r="O959" s="23" t="n">
        <v>1.51</v>
      </c>
      <c r="P959" s="101">
        <f>HYPERLINK("https://my.pitchbook.com?c=166859-65", "View company online")</f>
      </c>
    </row>
    <row r="960">
      <c r="A960" s="25" t="inlineStr">
        <is>
          <t>169571-98</t>
        </is>
      </c>
      <c r="B960" s="26" t="inlineStr">
        <is>
          <t>Swoop Products</t>
        </is>
      </c>
      <c r="C960" s="27" t="inlineStr">
        <is>
          <t/>
        </is>
      </c>
      <c r="D960" s="28" t="inlineStr">
        <is>
          <t/>
        </is>
      </c>
      <c r="E960" s="29" t="inlineStr">
        <is>
          <t/>
        </is>
      </c>
      <c r="F960" s="30" t="inlineStr">
        <is>
          <t/>
        </is>
      </c>
      <c r="G960" s="31" t="inlineStr">
        <is>
          <t/>
        </is>
      </c>
      <c r="H960" s="32" t="inlineStr">
        <is>
          <t/>
        </is>
      </c>
      <c r="I960" s="33" t="inlineStr">
        <is>
          <t/>
        </is>
      </c>
      <c r="J960" s="34" t="inlineStr">
        <is>
          <t/>
        </is>
      </c>
      <c r="K960" s="35" t="inlineStr">
        <is>
          <t>Privately Held (backing)</t>
        </is>
      </c>
      <c r="L960" s="36" t="inlineStr">
        <is>
          <t>Accelerator/Incubator Backed</t>
        </is>
      </c>
      <c r="M960" s="37" t="inlineStr">
        <is>
          <t/>
        </is>
      </c>
      <c r="N960" s="38" t="inlineStr">
        <is>
          <t>Accelerator/Incubator</t>
        </is>
      </c>
      <c r="O960" s="39" t="inlineStr">
        <is>
          <t/>
        </is>
      </c>
      <c r="P960" s="102">
        <f>HYPERLINK("https://my.pitchbook.com?c=169571-98", "View company online")</f>
      </c>
    </row>
    <row r="961">
      <c r="A961" s="9" t="inlineStr">
        <is>
          <t>55201-24</t>
        </is>
      </c>
      <c r="B961" s="10" t="inlineStr">
        <is>
          <t>Swoop Magazine</t>
        </is>
      </c>
      <c r="C961" s="11" t="inlineStr">
        <is>
          <t/>
        </is>
      </c>
      <c r="D961" s="12" t="inlineStr">
        <is>
          <t/>
        </is>
      </c>
      <c r="E961" s="13" t="inlineStr">
        <is>
          <t/>
        </is>
      </c>
      <c r="F961" s="14" t="inlineStr">
        <is>
          <t/>
        </is>
      </c>
      <c r="G961" s="15" t="inlineStr">
        <is>
          <t/>
        </is>
      </c>
      <c r="H961" s="16" t="inlineStr">
        <is>
          <t/>
        </is>
      </c>
      <c r="I961" s="17" t="inlineStr">
        <is>
          <t/>
        </is>
      </c>
      <c r="J961" s="18" t="inlineStr">
        <is>
          <t/>
        </is>
      </c>
      <c r="K961" s="19" t="inlineStr">
        <is>
          <t>Privately Held (backing)</t>
        </is>
      </c>
      <c r="L961" s="20" t="inlineStr">
        <is>
          <t>Angel-Backed</t>
        </is>
      </c>
      <c r="M961" s="21" t="inlineStr">
        <is>
          <t/>
        </is>
      </c>
      <c r="N961" s="22" t="inlineStr">
        <is>
          <t>Angel (individual)</t>
        </is>
      </c>
      <c r="O961" s="23" t="inlineStr">
        <is>
          <t/>
        </is>
      </c>
      <c r="P961" s="101">
        <f>HYPERLINK("https://my.pitchbook.com?c=55201-24", "View company online")</f>
      </c>
    </row>
    <row r="962">
      <c r="A962" s="25" t="inlineStr">
        <is>
          <t>148760-56</t>
        </is>
      </c>
      <c r="B962" s="26" t="inlineStr">
        <is>
          <t>Swivelfly</t>
        </is>
      </c>
      <c r="C962" s="27" t="inlineStr">
        <is>
          <t/>
        </is>
      </c>
      <c r="D962" s="28" t="inlineStr">
        <is>
          <t/>
        </is>
      </c>
      <c r="E962" s="29" t="inlineStr">
        <is>
          <t/>
        </is>
      </c>
      <c r="F962" s="30" t="inlineStr">
        <is>
          <t/>
        </is>
      </c>
      <c r="G962" s="31" t="inlineStr">
        <is>
          <t/>
        </is>
      </c>
      <c r="H962" s="32" t="inlineStr">
        <is>
          <t/>
        </is>
      </c>
      <c r="I962" s="33" t="inlineStr">
        <is>
          <t/>
        </is>
      </c>
      <c r="J962" s="34" t="inlineStr">
        <is>
          <t/>
        </is>
      </c>
      <c r="K962" s="35" t="inlineStr">
        <is>
          <t>Privately Held (backing)</t>
        </is>
      </c>
      <c r="L962" s="36" t="inlineStr">
        <is>
          <t>Angel-Backed</t>
        </is>
      </c>
      <c r="M962" s="37" t="n">
        <v>42352.0</v>
      </c>
      <c r="N962" s="38" t="inlineStr">
        <is>
          <t>Convertible Debt</t>
        </is>
      </c>
      <c r="O962" s="39" t="n">
        <v>1.5</v>
      </c>
      <c r="P962" s="102">
        <f>HYPERLINK("https://my.pitchbook.com?c=148760-56", "View company online")</f>
      </c>
    </row>
    <row r="963">
      <c r="A963" s="9" t="inlineStr">
        <is>
          <t>108849-43</t>
        </is>
      </c>
      <c r="B963" s="10" t="inlineStr">
        <is>
          <t>Switchboard Sally</t>
        </is>
      </c>
      <c r="C963" s="77">
        <f>HYPERLINK("https://my.pitchbook.com?rrp=108849-43&amp;type=c", "This Company's information is not available to download. Need this Company? Request availability")</f>
      </c>
      <c r="D963" s="12" t="inlineStr">
        <is>
          <t/>
        </is>
      </c>
      <c r="E963" s="13" t="inlineStr">
        <is>
          <t/>
        </is>
      </c>
      <c r="F963" s="14" t="inlineStr">
        <is>
          <t/>
        </is>
      </c>
      <c r="G963" s="15" t="inlineStr">
        <is>
          <t/>
        </is>
      </c>
      <c r="H963" s="16" t="inlineStr">
        <is>
          <t/>
        </is>
      </c>
      <c r="I963" s="17" t="inlineStr">
        <is>
          <t/>
        </is>
      </c>
      <c r="J963" s="18" t="inlineStr">
        <is>
          <t/>
        </is>
      </c>
      <c r="K963" s="19" t="inlineStr">
        <is>
          <t/>
        </is>
      </c>
      <c r="L963" s="20" t="inlineStr">
        <is>
          <t/>
        </is>
      </c>
      <c r="M963" s="21" t="inlineStr">
        <is>
          <t/>
        </is>
      </c>
      <c r="N963" s="22" t="inlineStr">
        <is>
          <t/>
        </is>
      </c>
      <c r="O963" s="23" t="inlineStr">
        <is>
          <t/>
        </is>
      </c>
      <c r="P963" s="24" t="inlineStr">
        <is>
          <t/>
        </is>
      </c>
    </row>
    <row r="964">
      <c r="A964" s="25" t="inlineStr">
        <is>
          <t>90488-62</t>
        </is>
      </c>
      <c r="B964" s="26" t="inlineStr">
        <is>
          <t>Switch Embassy</t>
        </is>
      </c>
      <c r="C964" s="27" t="inlineStr">
        <is>
          <t/>
        </is>
      </c>
      <c r="D964" s="28" t="inlineStr">
        <is>
          <t/>
        </is>
      </c>
      <c r="E964" s="29" t="inlineStr">
        <is>
          <t/>
        </is>
      </c>
      <c r="F964" s="30" t="inlineStr">
        <is>
          <t/>
        </is>
      </c>
      <c r="G964" s="31" t="inlineStr">
        <is>
          <t/>
        </is>
      </c>
      <c r="H964" s="32" t="inlineStr">
        <is>
          <t/>
        </is>
      </c>
      <c r="I964" s="33" t="inlineStr">
        <is>
          <t/>
        </is>
      </c>
      <c r="J964" s="34" t="inlineStr">
        <is>
          <t/>
        </is>
      </c>
      <c r="K964" s="35" t="inlineStr">
        <is>
          <t>Privately Held (backing)</t>
        </is>
      </c>
      <c r="L964" s="36" t="inlineStr">
        <is>
          <t>Accelerator/Incubator Backed</t>
        </is>
      </c>
      <c r="M964" s="37" t="n">
        <v>42005.0</v>
      </c>
      <c r="N964" s="38" t="inlineStr">
        <is>
          <t>Accelerator/Incubator</t>
        </is>
      </c>
      <c r="O964" s="39" t="inlineStr">
        <is>
          <t/>
        </is>
      </c>
      <c r="P964" s="102">
        <f>HYPERLINK("https://my.pitchbook.com?c=90488-62", "View company online")</f>
      </c>
    </row>
    <row r="965">
      <c r="A965" s="9" t="inlineStr">
        <is>
          <t>93902-95</t>
        </is>
      </c>
      <c r="B965" s="10" t="inlineStr">
        <is>
          <t>Swish Analytics</t>
        </is>
      </c>
      <c r="C965" s="11" t="inlineStr">
        <is>
          <t/>
        </is>
      </c>
      <c r="D965" s="12" t="inlineStr">
        <is>
          <t/>
        </is>
      </c>
      <c r="E965" s="13" t="inlineStr">
        <is>
          <t/>
        </is>
      </c>
      <c r="F965" s="14" t="inlineStr">
        <is>
          <t/>
        </is>
      </c>
      <c r="G965" s="15" t="inlineStr">
        <is>
          <t/>
        </is>
      </c>
      <c r="H965" s="16" t="inlineStr">
        <is>
          <t/>
        </is>
      </c>
      <c r="I965" s="17" t="inlineStr">
        <is>
          <t/>
        </is>
      </c>
      <c r="J965" s="18" t="inlineStr">
        <is>
          <t/>
        </is>
      </c>
      <c r="K965" s="19" t="inlineStr">
        <is>
          <t>Privately Held (backing)</t>
        </is>
      </c>
      <c r="L965" s="20" t="inlineStr">
        <is>
          <t>Accelerator/Incubator Backed</t>
        </is>
      </c>
      <c r="M965" s="21" t="n">
        <v>42516.0</v>
      </c>
      <c r="N965" s="22" t="inlineStr">
        <is>
          <t>Seed Round</t>
        </is>
      </c>
      <c r="O965" s="23" t="n">
        <v>1.8</v>
      </c>
      <c r="P965" s="101">
        <f>HYPERLINK("https://my.pitchbook.com?c=93902-95", "View company online")</f>
      </c>
    </row>
    <row r="966">
      <c r="A966" s="25" t="inlineStr">
        <is>
          <t>138819-52</t>
        </is>
      </c>
      <c r="B966" s="26" t="inlineStr">
        <is>
          <t>SwipeZoom</t>
        </is>
      </c>
      <c r="C966" s="27" t="inlineStr">
        <is>
          <t/>
        </is>
      </c>
      <c r="D966" s="28" t="inlineStr">
        <is>
          <t/>
        </is>
      </c>
      <c r="E966" s="29" t="inlineStr">
        <is>
          <t/>
        </is>
      </c>
      <c r="F966" s="30" t="inlineStr">
        <is>
          <t/>
        </is>
      </c>
      <c r="G966" s="31" t="inlineStr">
        <is>
          <t/>
        </is>
      </c>
      <c r="H966" s="32" t="inlineStr">
        <is>
          <t/>
        </is>
      </c>
      <c r="I966" s="33" t="inlineStr">
        <is>
          <t/>
        </is>
      </c>
      <c r="J966" s="34" t="inlineStr">
        <is>
          <t/>
        </is>
      </c>
      <c r="K966" s="35" t="inlineStr">
        <is>
          <t>Privately Held (backing)</t>
        </is>
      </c>
      <c r="L966" s="36" t="inlineStr">
        <is>
          <t>Angel-Backed</t>
        </is>
      </c>
      <c r="M966" s="37" t="n">
        <v>41334.0</v>
      </c>
      <c r="N966" s="38" t="inlineStr">
        <is>
          <t>Angel (individual)</t>
        </is>
      </c>
      <c r="O966" s="39" t="n">
        <v>2.18</v>
      </c>
      <c r="P966" s="102">
        <f>HYPERLINK("https://my.pitchbook.com?c=138819-52", "View company online")</f>
      </c>
    </row>
    <row r="967">
      <c r="A967" s="9" t="inlineStr">
        <is>
          <t>101626-21</t>
        </is>
      </c>
      <c r="B967" s="10" t="inlineStr">
        <is>
          <t>Swiper</t>
        </is>
      </c>
      <c r="C967" s="11" t="inlineStr">
        <is>
          <t/>
        </is>
      </c>
      <c r="D967" s="12" t="inlineStr">
        <is>
          <t/>
        </is>
      </c>
      <c r="E967" s="13" t="inlineStr">
        <is>
          <t/>
        </is>
      </c>
      <c r="F967" s="14" t="inlineStr">
        <is>
          <t/>
        </is>
      </c>
      <c r="G967" s="15" t="inlineStr">
        <is>
          <t/>
        </is>
      </c>
      <c r="H967" s="16" t="inlineStr">
        <is>
          <t/>
        </is>
      </c>
      <c r="I967" s="17" t="inlineStr">
        <is>
          <t/>
        </is>
      </c>
      <c r="J967" s="18" t="inlineStr">
        <is>
          <t/>
        </is>
      </c>
      <c r="K967" s="19" t="inlineStr">
        <is>
          <t>Privately Held (backing)</t>
        </is>
      </c>
      <c r="L967" s="20" t="inlineStr">
        <is>
          <t>Accelerator/Incubator Backed</t>
        </is>
      </c>
      <c r="M967" s="21" t="n">
        <v>41876.0</v>
      </c>
      <c r="N967" s="22" t="inlineStr">
        <is>
          <t>Angel (individual)</t>
        </is>
      </c>
      <c r="O967" s="23" t="inlineStr">
        <is>
          <t/>
        </is>
      </c>
      <c r="P967" s="101">
        <f>HYPERLINK("https://my.pitchbook.com?c=101626-21", "View company online")</f>
      </c>
    </row>
    <row r="968">
      <c r="A968" s="25" t="inlineStr">
        <is>
          <t>57973-87</t>
        </is>
      </c>
      <c r="B968" s="26" t="inlineStr">
        <is>
          <t>SWIIM System</t>
        </is>
      </c>
      <c r="C968" s="27" t="inlineStr">
        <is>
          <t/>
        </is>
      </c>
      <c r="D968" s="28" t="inlineStr">
        <is>
          <t/>
        </is>
      </c>
      <c r="E968" s="29" t="inlineStr">
        <is>
          <t/>
        </is>
      </c>
      <c r="F968" s="30" t="inlineStr">
        <is>
          <t/>
        </is>
      </c>
      <c r="G968" s="31" t="inlineStr">
        <is>
          <t/>
        </is>
      </c>
      <c r="H968" s="32" t="inlineStr">
        <is>
          <t/>
        </is>
      </c>
      <c r="I968" s="33" t="inlineStr">
        <is>
          <t/>
        </is>
      </c>
      <c r="J968" s="34" t="inlineStr">
        <is>
          <t/>
        </is>
      </c>
      <c r="K968" s="35" t="inlineStr">
        <is>
          <t>Privately Held (backing)</t>
        </is>
      </c>
      <c r="L968" s="36" t="inlineStr">
        <is>
          <t>Angel-Backed</t>
        </is>
      </c>
      <c r="M968" s="37" t="n">
        <v>42733.0</v>
      </c>
      <c r="N968" s="38" t="inlineStr">
        <is>
          <t>Angel (individual)</t>
        </is>
      </c>
      <c r="O968" s="39" t="n">
        <v>1.0</v>
      </c>
      <c r="P968" s="102">
        <f>HYPERLINK("https://my.pitchbook.com?c=57973-87", "View company online")</f>
      </c>
    </row>
    <row r="969">
      <c r="A969" s="9" t="inlineStr">
        <is>
          <t>172792-90</t>
        </is>
      </c>
      <c r="B969" s="10" t="inlineStr">
        <is>
          <t>SwiftPet</t>
        </is>
      </c>
      <c r="C969" s="77">
        <f>HYPERLINK("https://my.pitchbook.com?rrp=172792-90&amp;type=c", "This Company's information is not available to download. Need this Company? Request availability")</f>
      </c>
      <c r="D969" s="12" t="inlineStr">
        <is>
          <t/>
        </is>
      </c>
      <c r="E969" s="13" t="inlineStr">
        <is>
          <t/>
        </is>
      </c>
      <c r="F969" s="14" t="inlineStr">
        <is>
          <t/>
        </is>
      </c>
      <c r="G969" s="15" t="inlineStr">
        <is>
          <t/>
        </is>
      </c>
      <c r="H969" s="16" t="inlineStr">
        <is>
          <t/>
        </is>
      </c>
      <c r="I969" s="17" t="inlineStr">
        <is>
          <t/>
        </is>
      </c>
      <c r="J969" s="18" t="inlineStr">
        <is>
          <t/>
        </is>
      </c>
      <c r="K969" s="19" t="inlineStr">
        <is>
          <t/>
        </is>
      </c>
      <c r="L969" s="20" t="inlineStr">
        <is>
          <t/>
        </is>
      </c>
      <c r="M969" s="21" t="inlineStr">
        <is>
          <t/>
        </is>
      </c>
      <c r="N969" s="22" t="inlineStr">
        <is>
          <t/>
        </is>
      </c>
      <c r="O969" s="23" t="inlineStr">
        <is>
          <t/>
        </is>
      </c>
      <c r="P969" s="24" t="inlineStr">
        <is>
          <t/>
        </is>
      </c>
    </row>
    <row r="970">
      <c r="A970" s="25" t="inlineStr">
        <is>
          <t>168830-83</t>
        </is>
      </c>
      <c r="B970" s="26" t="inlineStr">
        <is>
          <t>SwiftMotion</t>
        </is>
      </c>
      <c r="C970" s="27" t="inlineStr">
        <is>
          <t/>
        </is>
      </c>
      <c r="D970" s="28" t="inlineStr">
        <is>
          <t/>
        </is>
      </c>
      <c r="E970" s="29" t="inlineStr">
        <is>
          <t/>
        </is>
      </c>
      <c r="F970" s="30" t="inlineStr">
        <is>
          <t/>
        </is>
      </c>
      <c r="G970" s="31" t="inlineStr">
        <is>
          <t/>
        </is>
      </c>
      <c r="H970" s="32" t="inlineStr">
        <is>
          <t/>
        </is>
      </c>
      <c r="I970" s="33" t="inlineStr">
        <is>
          <t/>
        </is>
      </c>
      <c r="J970" s="34" t="inlineStr">
        <is>
          <t/>
        </is>
      </c>
      <c r="K970" s="35" t="inlineStr">
        <is>
          <t>Privately Held (backing)</t>
        </is>
      </c>
      <c r="L970" s="36" t="inlineStr">
        <is>
          <t>Accelerator/Incubator Backed</t>
        </is>
      </c>
      <c r="M970" s="37" t="n">
        <v>42705.0</v>
      </c>
      <c r="N970" s="38" t="inlineStr">
        <is>
          <t>Accelerator/Incubator</t>
        </is>
      </c>
      <c r="O970" s="39" t="inlineStr">
        <is>
          <t/>
        </is>
      </c>
      <c r="P970" s="102">
        <f>HYPERLINK("https://my.pitchbook.com?c=168830-83", "View company online")</f>
      </c>
    </row>
    <row r="971">
      <c r="A971" s="9" t="inlineStr">
        <is>
          <t>115608-97</t>
        </is>
      </c>
      <c r="B971" s="10" t="inlineStr">
        <is>
          <t>Swiftmile</t>
        </is>
      </c>
      <c r="C971" s="11" t="inlineStr">
        <is>
          <t/>
        </is>
      </c>
      <c r="D971" s="12" t="inlineStr">
        <is>
          <t/>
        </is>
      </c>
      <c r="E971" s="13" t="inlineStr">
        <is>
          <t/>
        </is>
      </c>
      <c r="F971" s="14" t="inlineStr">
        <is>
          <t/>
        </is>
      </c>
      <c r="G971" s="15" t="inlineStr">
        <is>
          <t/>
        </is>
      </c>
      <c r="H971" s="16" t="inlineStr">
        <is>
          <t/>
        </is>
      </c>
      <c r="I971" s="17" t="inlineStr">
        <is>
          <t/>
        </is>
      </c>
      <c r="J971" s="18" t="inlineStr">
        <is>
          <t/>
        </is>
      </c>
      <c r="K971" s="19" t="inlineStr">
        <is>
          <t>Privately Held (backing)</t>
        </is>
      </c>
      <c r="L971" s="20" t="inlineStr">
        <is>
          <t>Angel-Backed</t>
        </is>
      </c>
      <c r="M971" s="21" t="n">
        <v>42163.0</v>
      </c>
      <c r="N971" s="22" t="inlineStr">
        <is>
          <t>Seed Round</t>
        </is>
      </c>
      <c r="O971" s="23" t="inlineStr">
        <is>
          <t/>
        </is>
      </c>
      <c r="P971" s="101">
        <f>HYPERLINK("https://my.pitchbook.com?c=115608-97", "View company online")</f>
      </c>
    </row>
    <row r="972">
      <c r="A972" s="25" t="inlineStr">
        <is>
          <t>162204-85</t>
        </is>
      </c>
      <c r="B972" s="26" t="inlineStr">
        <is>
          <t>Swift Health Systems</t>
        </is>
      </c>
      <c r="C972" s="27" t="inlineStr">
        <is>
          <t/>
        </is>
      </c>
      <c r="D972" s="28" t="inlineStr">
        <is>
          <t/>
        </is>
      </c>
      <c r="E972" s="29" t="inlineStr">
        <is>
          <t/>
        </is>
      </c>
      <c r="F972" s="30" t="inlineStr">
        <is>
          <t/>
        </is>
      </c>
      <c r="G972" s="31" t="inlineStr">
        <is>
          <t/>
        </is>
      </c>
      <c r="H972" s="32" t="inlineStr">
        <is>
          <t/>
        </is>
      </c>
      <c r="I972" s="33" t="inlineStr">
        <is>
          <t/>
        </is>
      </c>
      <c r="J972" s="34" t="inlineStr">
        <is>
          <t/>
        </is>
      </c>
      <c r="K972" s="35" t="inlineStr">
        <is>
          <t>Privately Held (backing)</t>
        </is>
      </c>
      <c r="L972" s="36" t="inlineStr">
        <is>
          <t>Accelerator/Incubator Backed</t>
        </is>
      </c>
      <c r="M972" s="37" t="inlineStr">
        <is>
          <t/>
        </is>
      </c>
      <c r="N972" s="38" t="inlineStr">
        <is>
          <t>Angel (individual)</t>
        </is>
      </c>
      <c r="O972" s="39" t="inlineStr">
        <is>
          <t/>
        </is>
      </c>
      <c r="P972" s="102">
        <f>HYPERLINK("https://my.pitchbook.com?c=162204-85", "View company online")</f>
      </c>
    </row>
    <row r="973">
      <c r="A973" s="9" t="inlineStr">
        <is>
          <t>102521-98</t>
        </is>
      </c>
      <c r="B973" s="10" t="inlineStr">
        <is>
          <t>Swggr Media</t>
        </is>
      </c>
      <c r="C973" s="11" t="inlineStr">
        <is>
          <t/>
        </is>
      </c>
      <c r="D973" s="12" t="inlineStr">
        <is>
          <t/>
        </is>
      </c>
      <c r="E973" s="13" t="inlineStr">
        <is>
          <t/>
        </is>
      </c>
      <c r="F973" s="14" t="inlineStr">
        <is>
          <t/>
        </is>
      </c>
      <c r="G973" s="15" t="inlineStr">
        <is>
          <t/>
        </is>
      </c>
      <c r="H973" s="16" t="inlineStr">
        <is>
          <t/>
        </is>
      </c>
      <c r="I973" s="17" t="inlineStr">
        <is>
          <t/>
        </is>
      </c>
      <c r="J973" s="18" t="inlineStr">
        <is>
          <t/>
        </is>
      </c>
      <c r="K973" s="19" t="inlineStr">
        <is>
          <t>Privately Held (backing)</t>
        </is>
      </c>
      <c r="L973" s="20" t="inlineStr">
        <is>
          <t>Accelerator/Incubator Backed</t>
        </is>
      </c>
      <c r="M973" s="21" t="n">
        <v>42087.0</v>
      </c>
      <c r="N973" s="22" t="inlineStr">
        <is>
          <t>Seed Round</t>
        </is>
      </c>
      <c r="O973" s="23" t="n">
        <v>0.04</v>
      </c>
      <c r="P973" s="101">
        <f>HYPERLINK("https://my.pitchbook.com?c=102521-98", "View company online")</f>
      </c>
    </row>
    <row r="974">
      <c r="A974" s="25" t="inlineStr">
        <is>
          <t>99097-48</t>
        </is>
      </c>
      <c r="B974" s="26" t="inlineStr">
        <is>
          <t>Swenyo</t>
        </is>
      </c>
      <c r="C974" s="27" t="inlineStr">
        <is>
          <t/>
        </is>
      </c>
      <c r="D974" s="28" t="inlineStr">
        <is>
          <t/>
        </is>
      </c>
      <c r="E974" s="29" t="inlineStr">
        <is>
          <t>FY 2015</t>
        </is>
      </c>
      <c r="F974" s="30" t="n">
        <v>0.08</v>
      </c>
      <c r="G974" s="31" t="inlineStr">
        <is>
          <t/>
        </is>
      </c>
      <c r="H974" s="32" t="inlineStr">
        <is>
          <t/>
        </is>
      </c>
      <c r="I974" s="33" t="inlineStr">
        <is>
          <t/>
        </is>
      </c>
      <c r="J974" s="34" t="inlineStr">
        <is>
          <t/>
        </is>
      </c>
      <c r="K974" s="35" t="inlineStr">
        <is>
          <t>Privately Held (backing)</t>
        </is>
      </c>
      <c r="L974" s="36" t="inlineStr">
        <is>
          <t>Angel-Backed</t>
        </is>
      </c>
      <c r="M974" s="37" t="n">
        <v>42418.0</v>
      </c>
      <c r="N974" s="38" t="inlineStr">
        <is>
          <t>Early Stage VC</t>
        </is>
      </c>
      <c r="O974" s="39" t="n">
        <v>0.43</v>
      </c>
      <c r="P974" s="102">
        <f>HYPERLINK("https://my.pitchbook.com?c=99097-48", "View company online")</f>
      </c>
    </row>
    <row r="975">
      <c r="A975" s="9" t="inlineStr">
        <is>
          <t>175209-94</t>
        </is>
      </c>
      <c r="B975" s="10" t="inlineStr">
        <is>
          <t>Swell</t>
        </is>
      </c>
      <c r="C975" s="11" t="inlineStr">
        <is>
          <t/>
        </is>
      </c>
      <c r="D975" s="12" t="inlineStr">
        <is>
          <t/>
        </is>
      </c>
      <c r="E975" s="13" t="inlineStr">
        <is>
          <t/>
        </is>
      </c>
      <c r="F975" s="14" t="inlineStr">
        <is>
          <t/>
        </is>
      </c>
      <c r="G975" s="15" t="inlineStr">
        <is>
          <t/>
        </is>
      </c>
      <c r="H975" s="16" t="inlineStr">
        <is>
          <t/>
        </is>
      </c>
      <c r="I975" s="17" t="inlineStr">
        <is>
          <t/>
        </is>
      </c>
      <c r="J975" s="18" t="inlineStr">
        <is>
          <t/>
        </is>
      </c>
      <c r="K975" s="19" t="inlineStr">
        <is>
          <t>Privately Held (backing)</t>
        </is>
      </c>
      <c r="L975" s="20" t="inlineStr">
        <is>
          <t>Accelerator/Incubator Backed</t>
        </is>
      </c>
      <c r="M975" s="21" t="inlineStr">
        <is>
          <t/>
        </is>
      </c>
      <c r="N975" s="22" t="inlineStr">
        <is>
          <t>Accelerator/Incubator</t>
        </is>
      </c>
      <c r="O975" s="23" t="inlineStr">
        <is>
          <t/>
        </is>
      </c>
      <c r="P975" s="101">
        <f>HYPERLINK("https://my.pitchbook.com?c=175209-94", "View company online")</f>
      </c>
    </row>
    <row r="976">
      <c r="A976" s="25" t="inlineStr">
        <is>
          <t>53418-97</t>
        </is>
      </c>
      <c r="B976" s="26" t="inlineStr">
        <is>
          <t>Sweety High</t>
        </is>
      </c>
      <c r="C976" s="27" t="inlineStr">
        <is>
          <t/>
        </is>
      </c>
      <c r="D976" s="28" t="inlineStr">
        <is>
          <t/>
        </is>
      </c>
      <c r="E976" s="29" t="inlineStr">
        <is>
          <t/>
        </is>
      </c>
      <c r="F976" s="30" t="inlineStr">
        <is>
          <t/>
        </is>
      </c>
      <c r="G976" s="31" t="inlineStr">
        <is>
          <t/>
        </is>
      </c>
      <c r="H976" s="32" t="inlineStr">
        <is>
          <t/>
        </is>
      </c>
      <c r="I976" s="33" t="inlineStr">
        <is>
          <t/>
        </is>
      </c>
      <c r="J976" s="34" t="inlineStr">
        <is>
          <t/>
        </is>
      </c>
      <c r="K976" s="35" t="inlineStr">
        <is>
          <t>Privately Held (backing)</t>
        </is>
      </c>
      <c r="L976" s="36" t="inlineStr">
        <is>
          <t>Angel-Backed</t>
        </is>
      </c>
      <c r="M976" s="37" t="n">
        <v>40875.0</v>
      </c>
      <c r="N976" s="38" t="inlineStr">
        <is>
          <t>Angel (individual)</t>
        </is>
      </c>
      <c r="O976" s="39" t="n">
        <v>4.5</v>
      </c>
      <c r="P976" s="102">
        <f>HYPERLINK("https://my.pitchbook.com?c=53418-97", "View company online")</f>
      </c>
    </row>
    <row r="977">
      <c r="A977" s="9" t="inlineStr">
        <is>
          <t>150975-46</t>
        </is>
      </c>
      <c r="B977" s="10" t="inlineStr">
        <is>
          <t>Sweetfin Poke</t>
        </is>
      </c>
      <c r="C977" s="11" t="inlineStr">
        <is>
          <t/>
        </is>
      </c>
      <c r="D977" s="12" t="inlineStr">
        <is>
          <t/>
        </is>
      </c>
      <c r="E977" s="13" t="inlineStr">
        <is>
          <t/>
        </is>
      </c>
      <c r="F977" s="14" t="inlineStr">
        <is>
          <t/>
        </is>
      </c>
      <c r="G977" s="15" t="inlineStr">
        <is>
          <t/>
        </is>
      </c>
      <c r="H977" s="16" t="inlineStr">
        <is>
          <t/>
        </is>
      </c>
      <c r="I977" s="17" t="inlineStr">
        <is>
          <t/>
        </is>
      </c>
      <c r="J977" s="18" t="inlineStr">
        <is>
          <t/>
        </is>
      </c>
      <c r="K977" s="19" t="inlineStr">
        <is>
          <t>Privately Held (backing)</t>
        </is>
      </c>
      <c r="L977" s="20" t="inlineStr">
        <is>
          <t>Angel-Backed</t>
        </is>
      </c>
      <c r="M977" s="21" t="n">
        <v>42376.0</v>
      </c>
      <c r="N977" s="22" t="inlineStr">
        <is>
          <t>Angel (individual)</t>
        </is>
      </c>
      <c r="O977" s="23" t="inlineStr">
        <is>
          <t/>
        </is>
      </c>
      <c r="P977" s="101">
        <f>HYPERLINK("https://my.pitchbook.com?c=150975-46", "View company online")</f>
      </c>
    </row>
    <row r="978">
      <c r="A978" s="25" t="inlineStr">
        <is>
          <t>149332-42</t>
        </is>
      </c>
      <c r="B978" s="26" t="inlineStr">
        <is>
          <t>SweatGuru</t>
        </is>
      </c>
      <c r="C978" s="27" t="inlineStr">
        <is>
          <t/>
        </is>
      </c>
      <c r="D978" s="28" t="inlineStr">
        <is>
          <t/>
        </is>
      </c>
      <c r="E978" s="29" t="inlineStr">
        <is>
          <t/>
        </is>
      </c>
      <c r="F978" s="30" t="inlineStr">
        <is>
          <t/>
        </is>
      </c>
      <c r="G978" s="31" t="inlineStr">
        <is>
          <t/>
        </is>
      </c>
      <c r="H978" s="32" t="inlineStr">
        <is>
          <t/>
        </is>
      </c>
      <c r="I978" s="33" t="inlineStr">
        <is>
          <t/>
        </is>
      </c>
      <c r="J978" s="34" t="inlineStr">
        <is>
          <t/>
        </is>
      </c>
      <c r="K978" s="35" t="inlineStr">
        <is>
          <t>Privately Held (backing)</t>
        </is>
      </c>
      <c r="L978" s="36" t="inlineStr">
        <is>
          <t>Accelerator/Incubator Backed</t>
        </is>
      </c>
      <c r="M978" s="37" t="n">
        <v>41583.0</v>
      </c>
      <c r="N978" s="38" t="inlineStr">
        <is>
          <t>Accelerator/Incubator</t>
        </is>
      </c>
      <c r="O978" s="39" t="inlineStr">
        <is>
          <t/>
        </is>
      </c>
      <c r="P978" s="102">
        <f>HYPERLINK("https://my.pitchbook.com?c=149332-42", "View company online")</f>
      </c>
    </row>
    <row r="979">
      <c r="A979" s="9" t="inlineStr">
        <is>
          <t>172677-61</t>
        </is>
      </c>
      <c r="B979" s="10" t="inlineStr">
        <is>
          <t>Swch</t>
        </is>
      </c>
      <c r="C979" s="77">
        <f>HYPERLINK("https://my.pitchbook.com?rrp=172677-61&amp;type=c", "This Company's information is not available to download. Need this Company? Request availability")</f>
      </c>
      <c r="D979" s="12" t="inlineStr">
        <is>
          <t/>
        </is>
      </c>
      <c r="E979" s="13" t="inlineStr">
        <is>
          <t/>
        </is>
      </c>
      <c r="F979" s="14" t="inlineStr">
        <is>
          <t/>
        </is>
      </c>
      <c r="G979" s="15" t="inlineStr">
        <is>
          <t/>
        </is>
      </c>
      <c r="H979" s="16" t="inlineStr">
        <is>
          <t/>
        </is>
      </c>
      <c r="I979" s="17" t="inlineStr">
        <is>
          <t/>
        </is>
      </c>
      <c r="J979" s="18" t="inlineStr">
        <is>
          <t/>
        </is>
      </c>
      <c r="K979" s="19" t="inlineStr">
        <is>
          <t/>
        </is>
      </c>
      <c r="L979" s="20" t="inlineStr">
        <is>
          <t/>
        </is>
      </c>
      <c r="M979" s="21" t="inlineStr">
        <is>
          <t/>
        </is>
      </c>
      <c r="N979" s="22" t="inlineStr">
        <is>
          <t/>
        </is>
      </c>
      <c r="O979" s="23" t="inlineStr">
        <is>
          <t/>
        </is>
      </c>
      <c r="P979" s="24" t="inlineStr">
        <is>
          <t/>
        </is>
      </c>
    </row>
    <row r="980">
      <c r="A980" s="25" t="inlineStr">
        <is>
          <t>102389-59</t>
        </is>
      </c>
      <c r="B980" s="26" t="inlineStr">
        <is>
          <t>Sway Network</t>
        </is>
      </c>
      <c r="C980" s="27" t="inlineStr">
        <is>
          <t/>
        </is>
      </c>
      <c r="D980" s="28" t="inlineStr">
        <is>
          <t/>
        </is>
      </c>
      <c r="E980" s="29" t="inlineStr">
        <is>
          <t/>
        </is>
      </c>
      <c r="F980" s="30" t="inlineStr">
        <is>
          <t/>
        </is>
      </c>
      <c r="G980" s="31" t="inlineStr">
        <is>
          <t/>
        </is>
      </c>
      <c r="H980" s="32" t="inlineStr">
        <is>
          <t/>
        </is>
      </c>
      <c r="I980" s="33" t="inlineStr">
        <is>
          <t/>
        </is>
      </c>
      <c r="J980" s="34" t="inlineStr">
        <is>
          <t/>
        </is>
      </c>
      <c r="K980" s="35" t="inlineStr">
        <is>
          <t>Privately Held (backing)</t>
        </is>
      </c>
      <c r="L980" s="36" t="inlineStr">
        <is>
          <t>Accelerator/Incubator Backed</t>
        </is>
      </c>
      <c r="M980" s="37" t="inlineStr">
        <is>
          <t/>
        </is>
      </c>
      <c r="N980" s="38" t="inlineStr">
        <is>
          <t>Accelerator/Incubator</t>
        </is>
      </c>
      <c r="O980" s="39" t="inlineStr">
        <is>
          <t/>
        </is>
      </c>
      <c r="P980" s="102">
        <f>HYPERLINK("https://my.pitchbook.com?c=102389-59", "View company online")</f>
      </c>
    </row>
    <row r="981">
      <c r="A981" s="9" t="inlineStr">
        <is>
          <t>156491-83</t>
        </is>
      </c>
      <c r="B981" s="10" t="inlineStr">
        <is>
          <t>Sway Finance</t>
        </is>
      </c>
      <c r="C981" s="11" t="inlineStr">
        <is>
          <t/>
        </is>
      </c>
      <c r="D981" s="12" t="inlineStr">
        <is>
          <t/>
        </is>
      </c>
      <c r="E981" s="13" t="inlineStr">
        <is>
          <t/>
        </is>
      </c>
      <c r="F981" s="14" t="inlineStr">
        <is>
          <t/>
        </is>
      </c>
      <c r="G981" s="15" t="inlineStr">
        <is>
          <t/>
        </is>
      </c>
      <c r="H981" s="16" t="inlineStr">
        <is>
          <t/>
        </is>
      </c>
      <c r="I981" s="17" t="inlineStr">
        <is>
          <t/>
        </is>
      </c>
      <c r="J981" s="18" t="inlineStr">
        <is>
          <t/>
        </is>
      </c>
      <c r="K981" s="19" t="inlineStr">
        <is>
          <t>Privately Held (backing)</t>
        </is>
      </c>
      <c r="L981" s="20" t="inlineStr">
        <is>
          <t>Accelerator/Incubator Backed</t>
        </is>
      </c>
      <c r="M981" s="21" t="n">
        <v>42740.0</v>
      </c>
      <c r="N981" s="22" t="inlineStr">
        <is>
          <t>Corporate</t>
        </is>
      </c>
      <c r="O981" s="23" t="inlineStr">
        <is>
          <t/>
        </is>
      </c>
      <c r="P981" s="101">
        <f>HYPERLINK("https://my.pitchbook.com?c=156491-83", "View company online")</f>
      </c>
    </row>
    <row r="982">
      <c r="A982" s="25" t="inlineStr">
        <is>
          <t>121763-98</t>
        </is>
      </c>
      <c r="B982" s="26" t="inlineStr">
        <is>
          <t>Swarm (Collaborative Organizations)</t>
        </is>
      </c>
      <c r="C982" s="27" t="inlineStr">
        <is>
          <t/>
        </is>
      </c>
      <c r="D982" s="28" t="inlineStr">
        <is>
          <t/>
        </is>
      </c>
      <c r="E982" s="29" t="inlineStr">
        <is>
          <t/>
        </is>
      </c>
      <c r="F982" s="30" t="inlineStr">
        <is>
          <t/>
        </is>
      </c>
      <c r="G982" s="31" t="inlineStr">
        <is>
          <t/>
        </is>
      </c>
      <c r="H982" s="32" t="inlineStr">
        <is>
          <t/>
        </is>
      </c>
      <c r="I982" s="33" t="inlineStr">
        <is>
          <t/>
        </is>
      </c>
      <c r="J982" s="34" t="inlineStr">
        <is>
          <t/>
        </is>
      </c>
      <c r="K982" s="35" t="inlineStr">
        <is>
          <t>Privately Held (backing)</t>
        </is>
      </c>
      <c r="L982" s="36" t="inlineStr">
        <is>
          <t>Accelerator/Incubator Backed</t>
        </is>
      </c>
      <c r="M982" s="37" t="n">
        <v>41840.0</v>
      </c>
      <c r="N982" s="38" t="inlineStr">
        <is>
          <t>Seed Round</t>
        </is>
      </c>
      <c r="O982" s="39" t="n">
        <v>1.0</v>
      </c>
      <c r="P982" s="102">
        <f>HYPERLINK("https://my.pitchbook.com?c=121763-98", "View company online")</f>
      </c>
    </row>
    <row r="983">
      <c r="A983" s="9" t="inlineStr">
        <is>
          <t>177450-76</t>
        </is>
      </c>
      <c r="B983" s="10" t="inlineStr">
        <is>
          <t>SVOI</t>
        </is>
      </c>
      <c r="C983" s="77">
        <f>HYPERLINK("https://my.pitchbook.com?rrp=177450-76&amp;type=c", "This Company's information is not available to download. Need this Company? Request availability")</f>
      </c>
      <c r="D983" s="12" t="inlineStr">
        <is>
          <t/>
        </is>
      </c>
      <c r="E983" s="13" t="inlineStr">
        <is>
          <t/>
        </is>
      </c>
      <c r="F983" s="14" t="inlineStr">
        <is>
          <t/>
        </is>
      </c>
      <c r="G983" s="15" t="inlineStr">
        <is>
          <t/>
        </is>
      </c>
      <c r="H983" s="16" t="inlineStr">
        <is>
          <t/>
        </is>
      </c>
      <c r="I983" s="17" t="inlineStr">
        <is>
          <t/>
        </is>
      </c>
      <c r="J983" s="18" t="inlineStr">
        <is>
          <t/>
        </is>
      </c>
      <c r="K983" s="19" t="inlineStr">
        <is>
          <t/>
        </is>
      </c>
      <c r="L983" s="20" t="inlineStr">
        <is>
          <t/>
        </is>
      </c>
      <c r="M983" s="21" t="inlineStr">
        <is>
          <t/>
        </is>
      </c>
      <c r="N983" s="22" t="inlineStr">
        <is>
          <t/>
        </is>
      </c>
      <c r="O983" s="23" t="inlineStr">
        <is>
          <t/>
        </is>
      </c>
      <c r="P983" s="24" t="inlineStr">
        <is>
          <t/>
        </is>
      </c>
    </row>
    <row r="984">
      <c r="A984" s="25" t="inlineStr">
        <is>
          <t>106959-25</t>
        </is>
      </c>
      <c r="B984" s="26" t="inlineStr">
        <is>
          <t>Suture Ease</t>
        </is>
      </c>
      <c r="C984" s="27" t="inlineStr">
        <is>
          <t/>
        </is>
      </c>
      <c r="D984" s="28" t="inlineStr">
        <is>
          <t/>
        </is>
      </c>
      <c r="E984" s="29" t="inlineStr">
        <is>
          <t/>
        </is>
      </c>
      <c r="F984" s="30" t="inlineStr">
        <is>
          <t/>
        </is>
      </c>
      <c r="G984" s="31" t="inlineStr">
        <is>
          <t/>
        </is>
      </c>
      <c r="H984" s="32" t="inlineStr">
        <is>
          <t/>
        </is>
      </c>
      <c r="I984" s="33" t="inlineStr">
        <is>
          <t/>
        </is>
      </c>
      <c r="J984" s="34" t="inlineStr">
        <is>
          <t/>
        </is>
      </c>
      <c r="K984" s="35" t="inlineStr">
        <is>
          <t>Privately Held (backing)</t>
        </is>
      </c>
      <c r="L984" s="36" t="inlineStr">
        <is>
          <t>Angel-Backed</t>
        </is>
      </c>
      <c r="M984" s="37" t="inlineStr">
        <is>
          <t/>
        </is>
      </c>
      <c r="N984" s="38" t="inlineStr">
        <is>
          <t>Angel (individual)</t>
        </is>
      </c>
      <c r="O984" s="39" t="inlineStr">
        <is>
          <t/>
        </is>
      </c>
      <c r="P984" s="102">
        <f>HYPERLINK("https://my.pitchbook.com?c=106959-25", "View company online")</f>
      </c>
    </row>
    <row r="985">
      <c r="A985" s="9" t="inlineStr">
        <is>
          <t>90485-56</t>
        </is>
      </c>
      <c r="B985" s="10" t="inlineStr">
        <is>
          <t>SutiSoft</t>
        </is>
      </c>
      <c r="C985" s="11" t="inlineStr">
        <is>
          <t/>
        </is>
      </c>
      <c r="D985" s="12" t="inlineStr">
        <is>
          <t/>
        </is>
      </c>
      <c r="E985" s="13" t="inlineStr">
        <is>
          <t/>
        </is>
      </c>
      <c r="F985" s="14" t="inlineStr">
        <is>
          <t/>
        </is>
      </c>
      <c r="G985" s="15" t="inlineStr">
        <is>
          <t/>
        </is>
      </c>
      <c r="H985" s="16" t="inlineStr">
        <is>
          <t/>
        </is>
      </c>
      <c r="I985" s="17" t="inlineStr">
        <is>
          <t/>
        </is>
      </c>
      <c r="J985" s="18" t="inlineStr">
        <is>
          <t/>
        </is>
      </c>
      <c r="K985" s="19" t="inlineStr">
        <is>
          <t>Privately Held (backing)</t>
        </is>
      </c>
      <c r="L985" s="20" t="inlineStr">
        <is>
          <t>Angel-Backed</t>
        </is>
      </c>
      <c r="M985" s="21" t="inlineStr">
        <is>
          <t/>
        </is>
      </c>
      <c r="N985" s="22" t="inlineStr">
        <is>
          <t>Angel (individual)</t>
        </is>
      </c>
      <c r="O985" s="23" t="inlineStr">
        <is>
          <t/>
        </is>
      </c>
      <c r="P985" s="101">
        <f>HYPERLINK("https://my.pitchbook.com?c=90485-56", "View company online")</f>
      </c>
    </row>
    <row r="986">
      <c r="A986" s="25" t="inlineStr">
        <is>
          <t>92623-87</t>
        </is>
      </c>
      <c r="B986" s="26" t="inlineStr">
        <is>
          <t>Sustaining Technologies</t>
        </is>
      </c>
      <c r="C986" s="27" t="inlineStr">
        <is>
          <t/>
        </is>
      </c>
      <c r="D986" s="28" t="inlineStr">
        <is>
          <t/>
        </is>
      </c>
      <c r="E986" s="29" t="inlineStr">
        <is>
          <t/>
        </is>
      </c>
      <c r="F986" s="30" t="inlineStr">
        <is>
          <t/>
        </is>
      </c>
      <c r="G986" s="31" t="inlineStr">
        <is>
          <t/>
        </is>
      </c>
      <c r="H986" s="32" t="inlineStr">
        <is>
          <t/>
        </is>
      </c>
      <c r="I986" s="33" t="inlineStr">
        <is>
          <t/>
        </is>
      </c>
      <c r="J986" s="34" t="inlineStr">
        <is>
          <t/>
        </is>
      </c>
      <c r="K986" s="35" t="inlineStr">
        <is>
          <t>Privately Held (backing)</t>
        </is>
      </c>
      <c r="L986" s="36" t="inlineStr">
        <is>
          <t>Angel-Backed</t>
        </is>
      </c>
      <c r="M986" s="37" t="n">
        <v>41015.0</v>
      </c>
      <c r="N986" s="38" t="inlineStr">
        <is>
          <t>Angel (individual)</t>
        </is>
      </c>
      <c r="O986" s="39" t="n">
        <v>0.2</v>
      </c>
      <c r="P986" s="102">
        <f>HYPERLINK("https://my.pitchbook.com?c=92623-87", "View company online")</f>
      </c>
    </row>
    <row r="987">
      <c r="A987" s="9" t="inlineStr">
        <is>
          <t>161407-09</t>
        </is>
      </c>
      <c r="B987" s="10" t="inlineStr">
        <is>
          <t>Sustainable Now Technologies</t>
        </is>
      </c>
      <c r="C987" s="11" t="inlineStr">
        <is>
          <t/>
        </is>
      </c>
      <c r="D987" s="12" t="inlineStr">
        <is>
          <t/>
        </is>
      </c>
      <c r="E987" s="13" t="inlineStr">
        <is>
          <t/>
        </is>
      </c>
      <c r="F987" s="14" t="inlineStr">
        <is>
          <t/>
        </is>
      </c>
      <c r="G987" s="15" t="inlineStr">
        <is>
          <t/>
        </is>
      </c>
      <c r="H987" s="16" t="inlineStr">
        <is>
          <t/>
        </is>
      </c>
      <c r="I987" s="17" t="inlineStr">
        <is>
          <t/>
        </is>
      </c>
      <c r="J987" s="18" t="inlineStr">
        <is>
          <t/>
        </is>
      </c>
      <c r="K987" s="19" t="inlineStr">
        <is>
          <t>Privately Held (backing)</t>
        </is>
      </c>
      <c r="L987" s="20" t="inlineStr">
        <is>
          <t>Angel-Backed</t>
        </is>
      </c>
      <c r="M987" s="21" t="n">
        <v>42886.0</v>
      </c>
      <c r="N987" s="22" t="inlineStr">
        <is>
          <t>Angel (individual)</t>
        </is>
      </c>
      <c r="O987" s="23" t="n">
        <v>0.02</v>
      </c>
      <c r="P987" s="101">
        <f>HYPERLINK("https://my.pitchbook.com?c=161407-09", "View company online")</f>
      </c>
    </row>
    <row r="988">
      <c r="A988" s="25" t="inlineStr">
        <is>
          <t>53495-83</t>
        </is>
      </c>
      <c r="B988" s="26" t="inlineStr">
        <is>
          <t>Sustainable Life Media</t>
        </is>
      </c>
      <c r="C988" s="27" t="inlineStr">
        <is>
          <t/>
        </is>
      </c>
      <c r="D988" s="28" t="inlineStr">
        <is>
          <t/>
        </is>
      </c>
      <c r="E988" s="29" t="inlineStr">
        <is>
          <t/>
        </is>
      </c>
      <c r="F988" s="30" t="inlineStr">
        <is>
          <t/>
        </is>
      </c>
      <c r="G988" s="31" t="inlineStr">
        <is>
          <t/>
        </is>
      </c>
      <c r="H988" s="32" t="inlineStr">
        <is>
          <t/>
        </is>
      </c>
      <c r="I988" s="33" t="inlineStr">
        <is>
          <t/>
        </is>
      </c>
      <c r="J988" s="34" t="inlineStr">
        <is>
          <t/>
        </is>
      </c>
      <c r="K988" s="35" t="inlineStr">
        <is>
          <t>Privately Held (backing)</t>
        </is>
      </c>
      <c r="L988" s="36" t="inlineStr">
        <is>
          <t>Angel-Backed</t>
        </is>
      </c>
      <c r="M988" s="37" t="n">
        <v>39485.0</v>
      </c>
      <c r="N988" s="38" t="inlineStr">
        <is>
          <t>Early Stage VC</t>
        </is>
      </c>
      <c r="O988" s="39" t="inlineStr">
        <is>
          <t/>
        </is>
      </c>
      <c r="P988" s="102">
        <f>HYPERLINK("https://my.pitchbook.com?c=53495-83", "View company online")</f>
      </c>
    </row>
    <row r="989">
      <c r="A989" s="9" t="inlineStr">
        <is>
          <t>171570-52</t>
        </is>
      </c>
      <c r="B989" s="10" t="inlineStr">
        <is>
          <t>Survox</t>
        </is>
      </c>
      <c r="C989" s="77">
        <f>HYPERLINK("https://my.pitchbook.com?rrp=171570-52&amp;type=c", "This Company's information is not available to download. Need this Company? Request availability")</f>
      </c>
      <c r="D989" s="12" t="inlineStr">
        <is>
          <t/>
        </is>
      </c>
      <c r="E989" s="13" t="inlineStr">
        <is>
          <t/>
        </is>
      </c>
      <c r="F989" s="14" t="inlineStr">
        <is>
          <t/>
        </is>
      </c>
      <c r="G989" s="15" t="inlineStr">
        <is>
          <t/>
        </is>
      </c>
      <c r="H989" s="16" t="inlineStr">
        <is>
          <t/>
        </is>
      </c>
      <c r="I989" s="17" t="inlineStr">
        <is>
          <t/>
        </is>
      </c>
      <c r="J989" s="18" t="inlineStr">
        <is>
          <t/>
        </is>
      </c>
      <c r="K989" s="19" t="inlineStr">
        <is>
          <t/>
        </is>
      </c>
      <c r="L989" s="20" t="inlineStr">
        <is>
          <t/>
        </is>
      </c>
      <c r="M989" s="21" t="inlineStr">
        <is>
          <t/>
        </is>
      </c>
      <c r="N989" s="22" t="inlineStr">
        <is>
          <t/>
        </is>
      </c>
      <c r="O989" s="23" t="inlineStr">
        <is>
          <t/>
        </is>
      </c>
      <c r="P989" s="24" t="inlineStr">
        <is>
          <t/>
        </is>
      </c>
    </row>
    <row r="990">
      <c r="A990" s="25" t="inlineStr">
        <is>
          <t>94036-69</t>
        </is>
      </c>
      <c r="B990" s="26" t="inlineStr">
        <is>
          <t>Survmetrics</t>
        </is>
      </c>
      <c r="C990" s="27" t="inlineStr">
        <is>
          <t/>
        </is>
      </c>
      <c r="D990" s="28" t="inlineStr">
        <is>
          <t/>
        </is>
      </c>
      <c r="E990" s="29" t="inlineStr">
        <is>
          <t/>
        </is>
      </c>
      <c r="F990" s="30" t="inlineStr">
        <is>
          <t/>
        </is>
      </c>
      <c r="G990" s="31" t="inlineStr">
        <is>
          <t/>
        </is>
      </c>
      <c r="H990" s="32" t="inlineStr">
        <is>
          <t/>
        </is>
      </c>
      <c r="I990" s="33" t="inlineStr">
        <is>
          <t/>
        </is>
      </c>
      <c r="J990" s="34" t="inlineStr">
        <is>
          <t/>
        </is>
      </c>
      <c r="K990" s="35" t="inlineStr">
        <is>
          <t>Privately Held (backing)</t>
        </is>
      </c>
      <c r="L990" s="36" t="inlineStr">
        <is>
          <t>Accelerator/Incubator Backed</t>
        </is>
      </c>
      <c r="M990" s="37" t="n">
        <v>42232.0</v>
      </c>
      <c r="N990" s="38" t="inlineStr">
        <is>
          <t>Angel (individual)</t>
        </is>
      </c>
      <c r="O990" s="39" t="inlineStr">
        <is>
          <t/>
        </is>
      </c>
      <c r="P990" s="102">
        <f>HYPERLINK("https://my.pitchbook.com?c=94036-69", "View company online")</f>
      </c>
    </row>
    <row r="991">
      <c r="A991" s="9" t="inlineStr">
        <is>
          <t>156818-89</t>
        </is>
      </c>
      <c r="B991" s="10" t="inlineStr">
        <is>
          <t>Surveyor Health</t>
        </is>
      </c>
      <c r="C991" s="11" t="inlineStr">
        <is>
          <t/>
        </is>
      </c>
      <c r="D991" s="12" t="inlineStr">
        <is>
          <t/>
        </is>
      </c>
      <c r="E991" s="13" t="inlineStr">
        <is>
          <t/>
        </is>
      </c>
      <c r="F991" s="14" t="inlineStr">
        <is>
          <t/>
        </is>
      </c>
      <c r="G991" s="15" t="inlineStr">
        <is>
          <t/>
        </is>
      </c>
      <c r="H991" s="16" t="inlineStr">
        <is>
          <t/>
        </is>
      </c>
      <c r="I991" s="17" t="inlineStr">
        <is>
          <t/>
        </is>
      </c>
      <c r="J991" s="18" t="inlineStr">
        <is>
          <t/>
        </is>
      </c>
      <c r="K991" s="19" t="inlineStr">
        <is>
          <t>Privately Held (backing)</t>
        </is>
      </c>
      <c r="L991" s="20" t="inlineStr">
        <is>
          <t>Angel-Backed</t>
        </is>
      </c>
      <c r="M991" s="21" t="n">
        <v>42408.0</v>
      </c>
      <c r="N991" s="22" t="inlineStr">
        <is>
          <t>Angel (individual)</t>
        </is>
      </c>
      <c r="O991" s="23" t="n">
        <v>0.1</v>
      </c>
      <c r="P991" s="101">
        <f>HYPERLINK("https://my.pitchbook.com?c=156818-89", "View company online")</f>
      </c>
    </row>
    <row r="992">
      <c r="A992" s="25" t="inlineStr">
        <is>
          <t>149991-49</t>
        </is>
      </c>
      <c r="B992" s="26" t="inlineStr">
        <is>
          <t>Surgicare of La Veta</t>
        </is>
      </c>
      <c r="C992" s="27" t="inlineStr">
        <is>
          <t/>
        </is>
      </c>
      <c r="D992" s="28" t="inlineStr">
        <is>
          <t/>
        </is>
      </c>
      <c r="E992" s="29" t="inlineStr">
        <is>
          <t/>
        </is>
      </c>
      <c r="F992" s="30" t="inlineStr">
        <is>
          <t/>
        </is>
      </c>
      <c r="G992" s="31" t="inlineStr">
        <is>
          <t/>
        </is>
      </c>
      <c r="H992" s="32" t="inlineStr">
        <is>
          <t/>
        </is>
      </c>
      <c r="I992" s="33" t="inlineStr">
        <is>
          <t/>
        </is>
      </c>
      <c r="J992" s="34" t="inlineStr">
        <is>
          <t/>
        </is>
      </c>
      <c r="K992" s="35" t="inlineStr">
        <is>
          <t>Privately Held (backing)</t>
        </is>
      </c>
      <c r="L992" s="36" t="inlineStr">
        <is>
          <t>Angel-Backed</t>
        </is>
      </c>
      <c r="M992" s="37" t="n">
        <v>42355.0</v>
      </c>
      <c r="N992" s="38" t="inlineStr">
        <is>
          <t>Angel (individual)</t>
        </is>
      </c>
      <c r="O992" s="39" t="n">
        <v>0.36</v>
      </c>
      <c r="P992" s="102">
        <f>HYPERLINK("https://my.pitchbook.com?c=149991-49", "View company online")</f>
      </c>
    </row>
    <row r="993">
      <c r="A993" s="9" t="inlineStr">
        <is>
          <t>111317-95</t>
        </is>
      </c>
      <c r="B993" s="10" t="inlineStr">
        <is>
          <t>Surfing Donkey Cocktail</t>
        </is>
      </c>
      <c r="C993" s="11" t="inlineStr">
        <is>
          <t/>
        </is>
      </c>
      <c r="D993" s="12" t="inlineStr">
        <is>
          <t/>
        </is>
      </c>
      <c r="E993" s="13" t="inlineStr">
        <is>
          <t/>
        </is>
      </c>
      <c r="F993" s="14" t="inlineStr">
        <is>
          <t/>
        </is>
      </c>
      <c r="G993" s="15" t="inlineStr">
        <is>
          <t/>
        </is>
      </c>
      <c r="H993" s="16" t="inlineStr">
        <is>
          <t/>
        </is>
      </c>
      <c r="I993" s="17" t="inlineStr">
        <is>
          <t/>
        </is>
      </c>
      <c r="J993" s="18" t="inlineStr">
        <is>
          <t/>
        </is>
      </c>
      <c r="K993" s="19" t="inlineStr">
        <is>
          <t>Privately Held (backing)</t>
        </is>
      </c>
      <c r="L993" s="20" t="inlineStr">
        <is>
          <t>Angel-Backed</t>
        </is>
      </c>
      <c r="M993" s="21" t="n">
        <v>42101.0</v>
      </c>
      <c r="N993" s="22" t="inlineStr">
        <is>
          <t>Angel (individual)</t>
        </is>
      </c>
      <c r="O993" s="23" t="n">
        <v>0.25</v>
      </c>
      <c r="P993" s="101">
        <f>HYPERLINK("https://my.pitchbook.com?c=111317-95", "View company online")</f>
      </c>
    </row>
    <row r="994">
      <c r="A994" s="25" t="inlineStr">
        <is>
          <t>90457-66</t>
        </is>
      </c>
      <c r="B994" s="26" t="inlineStr">
        <is>
          <t>Surfbreak Rentals</t>
        </is>
      </c>
      <c r="C994" s="27" t="inlineStr">
        <is>
          <t/>
        </is>
      </c>
      <c r="D994" s="28" t="inlineStr">
        <is>
          <t/>
        </is>
      </c>
      <c r="E994" s="29" t="inlineStr">
        <is>
          <t/>
        </is>
      </c>
      <c r="F994" s="30" t="inlineStr">
        <is>
          <t/>
        </is>
      </c>
      <c r="G994" s="31" t="inlineStr">
        <is>
          <t/>
        </is>
      </c>
      <c r="H994" s="32" t="inlineStr">
        <is>
          <t/>
        </is>
      </c>
      <c r="I994" s="33" t="inlineStr">
        <is>
          <t/>
        </is>
      </c>
      <c r="J994" s="34" t="inlineStr">
        <is>
          <t/>
        </is>
      </c>
      <c r="K994" s="35" t="inlineStr">
        <is>
          <t>Privately Held (backing)</t>
        </is>
      </c>
      <c r="L994" s="36" t="inlineStr">
        <is>
          <t>Angel-Backed</t>
        </is>
      </c>
      <c r="M994" s="37" t="n">
        <v>41699.0</v>
      </c>
      <c r="N994" s="38" t="inlineStr">
        <is>
          <t>Seed Round</t>
        </is>
      </c>
      <c r="O994" s="39" t="n">
        <v>0.1</v>
      </c>
      <c r="P994" s="102">
        <f>HYPERLINK("https://my.pitchbook.com?c=90457-66", "View company online")</f>
      </c>
    </row>
    <row r="995">
      <c r="A995" s="9" t="inlineStr">
        <is>
          <t>180356-50</t>
        </is>
      </c>
      <c r="B995" s="10" t="inlineStr">
        <is>
          <t>Surf Shop Box</t>
        </is>
      </c>
      <c r="C995" s="77">
        <f>HYPERLINK("https://my.pitchbook.com?rrp=180356-50&amp;type=c", "This Company's information is not available to download. Need this Company? Request availability")</f>
      </c>
      <c r="D995" s="12" t="inlineStr">
        <is>
          <t/>
        </is>
      </c>
      <c r="E995" s="13" t="inlineStr">
        <is>
          <t/>
        </is>
      </c>
      <c r="F995" s="14" t="inlineStr">
        <is>
          <t/>
        </is>
      </c>
      <c r="G995" s="15" t="inlineStr">
        <is>
          <t/>
        </is>
      </c>
      <c r="H995" s="16" t="inlineStr">
        <is>
          <t/>
        </is>
      </c>
      <c r="I995" s="17" t="inlineStr">
        <is>
          <t/>
        </is>
      </c>
      <c r="J995" s="18" t="inlineStr">
        <is>
          <t/>
        </is>
      </c>
      <c r="K995" s="19" t="inlineStr">
        <is>
          <t/>
        </is>
      </c>
      <c r="L995" s="20" t="inlineStr">
        <is>
          <t/>
        </is>
      </c>
      <c r="M995" s="21" t="inlineStr">
        <is>
          <t/>
        </is>
      </c>
      <c r="N995" s="22" t="inlineStr">
        <is>
          <t/>
        </is>
      </c>
      <c r="O995" s="23" t="inlineStr">
        <is>
          <t/>
        </is>
      </c>
      <c r="P995" s="24" t="inlineStr">
        <is>
          <t/>
        </is>
      </c>
    </row>
    <row r="996">
      <c r="A996" s="25" t="inlineStr">
        <is>
          <t>114983-74</t>
        </is>
      </c>
      <c r="B996" s="26" t="inlineStr">
        <is>
          <t>Surf City Sandwich</t>
        </is>
      </c>
      <c r="C996" s="27" t="inlineStr">
        <is>
          <t/>
        </is>
      </c>
      <c r="D996" s="28" t="inlineStr">
        <is>
          <t/>
        </is>
      </c>
      <c r="E996" s="29" t="inlineStr">
        <is>
          <t/>
        </is>
      </c>
      <c r="F996" s="30" t="inlineStr">
        <is>
          <t/>
        </is>
      </c>
      <c r="G996" s="31" t="inlineStr">
        <is>
          <t/>
        </is>
      </c>
      <c r="H996" s="32" t="inlineStr">
        <is>
          <t/>
        </is>
      </c>
      <c r="I996" s="33" t="inlineStr">
        <is>
          <t/>
        </is>
      </c>
      <c r="J996" s="34" t="inlineStr">
        <is>
          <t/>
        </is>
      </c>
      <c r="K996" s="35" t="inlineStr">
        <is>
          <t>Privately Held (backing)</t>
        </is>
      </c>
      <c r="L996" s="36" t="inlineStr">
        <is>
          <t>Angel-Backed</t>
        </is>
      </c>
      <c r="M996" s="37" t="n">
        <v>42160.0</v>
      </c>
      <c r="N996" s="38" t="inlineStr">
        <is>
          <t>Angel (individual)</t>
        </is>
      </c>
      <c r="O996" s="39" t="n">
        <v>0.32</v>
      </c>
      <c r="P996" s="102">
        <f>HYPERLINK("https://my.pitchbook.com?c=114983-74", "View company online")</f>
      </c>
    </row>
    <row r="997">
      <c r="A997" s="9" t="inlineStr">
        <is>
          <t>53825-95</t>
        </is>
      </c>
      <c r="B997" s="10" t="inlineStr">
        <is>
          <t>Surf Canyon</t>
        </is>
      </c>
      <c r="C997" s="11" t="inlineStr">
        <is>
          <t/>
        </is>
      </c>
      <c r="D997" s="12" t="inlineStr">
        <is>
          <t/>
        </is>
      </c>
      <c r="E997" s="13" t="inlineStr">
        <is>
          <t/>
        </is>
      </c>
      <c r="F997" s="14" t="inlineStr">
        <is>
          <t/>
        </is>
      </c>
      <c r="G997" s="15" t="inlineStr">
        <is>
          <t/>
        </is>
      </c>
      <c r="H997" s="16" t="inlineStr">
        <is>
          <t/>
        </is>
      </c>
      <c r="I997" s="17" t="inlineStr">
        <is>
          <t/>
        </is>
      </c>
      <c r="J997" s="18" t="inlineStr">
        <is>
          <t/>
        </is>
      </c>
      <c r="K997" s="19" t="inlineStr">
        <is>
          <t>Privately Held (backing)</t>
        </is>
      </c>
      <c r="L997" s="20" t="inlineStr">
        <is>
          <t>Angel-Backed</t>
        </is>
      </c>
      <c r="M997" s="21" t="n">
        <v>41247.0</v>
      </c>
      <c r="N997" s="22" t="inlineStr">
        <is>
          <t>Angel (individual)</t>
        </is>
      </c>
      <c r="O997" s="23" t="n">
        <v>0.95</v>
      </c>
      <c r="P997" s="101">
        <f>HYPERLINK("https://my.pitchbook.com?c=53825-95", "View company online")</f>
      </c>
    </row>
    <row r="998">
      <c r="A998" s="25" t="inlineStr">
        <is>
          <t>107975-80</t>
        </is>
      </c>
      <c r="B998" s="26" t="inlineStr">
        <is>
          <t>Suretone Carl</t>
        </is>
      </c>
      <c r="C998" s="27" t="inlineStr">
        <is>
          <t/>
        </is>
      </c>
      <c r="D998" s="28" t="inlineStr">
        <is>
          <t/>
        </is>
      </c>
      <c r="E998" s="29" t="inlineStr">
        <is>
          <t/>
        </is>
      </c>
      <c r="F998" s="30" t="inlineStr">
        <is>
          <t/>
        </is>
      </c>
      <c r="G998" s="31" t="inlineStr">
        <is>
          <t/>
        </is>
      </c>
      <c r="H998" s="32" t="inlineStr">
        <is>
          <t/>
        </is>
      </c>
      <c r="I998" s="33" t="inlineStr">
        <is>
          <t/>
        </is>
      </c>
      <c r="J998" s="34" t="inlineStr">
        <is>
          <t/>
        </is>
      </c>
      <c r="K998" s="35" t="inlineStr">
        <is>
          <t>Privately Held (backing)</t>
        </is>
      </c>
      <c r="L998" s="36" t="inlineStr">
        <is>
          <t>Angel-Backed</t>
        </is>
      </c>
      <c r="M998" s="37" t="n">
        <v>42041.0</v>
      </c>
      <c r="N998" s="38" t="inlineStr">
        <is>
          <t>Angel (individual)</t>
        </is>
      </c>
      <c r="O998" s="39" t="n">
        <v>0.8</v>
      </c>
      <c r="P998" s="102">
        <f>HYPERLINK("https://my.pitchbook.com?c=107975-80", "View company online")</f>
      </c>
    </row>
    <row r="999">
      <c r="A999" s="9" t="inlineStr">
        <is>
          <t>156740-95</t>
        </is>
      </c>
      <c r="B999" s="10" t="inlineStr">
        <is>
          <t>SurePrep</t>
        </is>
      </c>
      <c r="C999" s="11" t="inlineStr">
        <is>
          <t/>
        </is>
      </c>
      <c r="D999" s="12" t="inlineStr">
        <is>
          <t/>
        </is>
      </c>
      <c r="E999" s="13" t="inlineStr">
        <is>
          <t/>
        </is>
      </c>
      <c r="F999" s="14" t="inlineStr">
        <is>
          <t/>
        </is>
      </c>
      <c r="G999" s="15" t="inlineStr">
        <is>
          <t/>
        </is>
      </c>
      <c r="H999" s="16" t="inlineStr">
        <is>
          <t/>
        </is>
      </c>
      <c r="I999" s="17" t="inlineStr">
        <is>
          <t/>
        </is>
      </c>
      <c r="J999" s="18" t="inlineStr">
        <is>
          <t/>
        </is>
      </c>
      <c r="K999" s="19" t="inlineStr">
        <is>
          <t>Privately Held (backing)</t>
        </is>
      </c>
      <c r="L999" s="20" t="inlineStr">
        <is>
          <t>Angel-Backed</t>
        </is>
      </c>
      <c r="M999" s="21" t="n">
        <v>38815.0</v>
      </c>
      <c r="N999" s="22" t="inlineStr">
        <is>
          <t>Angel (individual)</t>
        </is>
      </c>
      <c r="O999" s="23" t="n">
        <v>3.0</v>
      </c>
      <c r="P999" s="101">
        <f>HYPERLINK("https://my.pitchbook.com?c=156740-95", "View company online")</f>
      </c>
    </row>
    <row r="1000">
      <c r="A1000" s="25" t="inlineStr">
        <is>
          <t>133160-32</t>
        </is>
      </c>
      <c r="B1000" s="26" t="inlineStr">
        <is>
          <t>SurePod</t>
        </is>
      </c>
      <c r="C1000" s="27" t="inlineStr">
        <is>
          <t/>
        </is>
      </c>
      <c r="D1000" s="28" t="inlineStr">
        <is>
          <t/>
        </is>
      </c>
      <c r="E1000" s="29" t="inlineStr">
        <is>
          <t/>
        </is>
      </c>
      <c r="F1000" s="30" t="inlineStr">
        <is>
          <t/>
        </is>
      </c>
      <c r="G1000" s="31" t="inlineStr">
        <is>
          <t/>
        </is>
      </c>
      <c r="H1000" s="32" t="inlineStr">
        <is>
          <t/>
        </is>
      </c>
      <c r="I1000" s="33" t="inlineStr">
        <is>
          <t/>
        </is>
      </c>
      <c r="J1000" s="34" t="inlineStr">
        <is>
          <t/>
        </is>
      </c>
      <c r="K1000" s="35" t="inlineStr">
        <is>
          <t>Privately Held (backing)</t>
        </is>
      </c>
      <c r="L1000" s="36" t="inlineStr">
        <is>
          <t>Angel-Backed</t>
        </is>
      </c>
      <c r="M1000" s="37" t="inlineStr">
        <is>
          <t/>
        </is>
      </c>
      <c r="N1000" s="38" t="inlineStr">
        <is>
          <t>Angel (individual)</t>
        </is>
      </c>
      <c r="O1000" s="39" t="inlineStr">
        <is>
          <t/>
        </is>
      </c>
      <c r="P1000" s="102">
        <f>HYPERLINK("https://my.pitchbook.com?c=133160-32", "View company online")</f>
      </c>
    </row>
    <row r="1001">
      <c r="A1001" s="9" t="inlineStr">
        <is>
          <t>151182-10</t>
        </is>
      </c>
      <c r="B1001" s="10" t="inlineStr">
        <is>
          <t>Sureify Labs</t>
        </is>
      </c>
      <c r="C1001" s="11" t="inlineStr">
        <is>
          <t/>
        </is>
      </c>
      <c r="D1001" s="12" t="inlineStr">
        <is>
          <t/>
        </is>
      </c>
      <c r="E1001" s="13" t="inlineStr">
        <is>
          <t/>
        </is>
      </c>
      <c r="F1001" s="14" t="inlineStr">
        <is>
          <t/>
        </is>
      </c>
      <c r="G1001" s="15" t="inlineStr">
        <is>
          <t/>
        </is>
      </c>
      <c r="H1001" s="16" t="inlineStr">
        <is>
          <t/>
        </is>
      </c>
      <c r="I1001" s="17" t="inlineStr">
        <is>
          <t/>
        </is>
      </c>
      <c r="J1001" s="18" t="inlineStr">
        <is>
          <t/>
        </is>
      </c>
      <c r="K1001" s="19" t="inlineStr">
        <is>
          <t>Privately Held (backing)</t>
        </is>
      </c>
      <c r="L1001" s="20" t="inlineStr">
        <is>
          <t>Accelerator/Incubator Backed</t>
        </is>
      </c>
      <c r="M1001" s="21" t="n">
        <v>42779.0</v>
      </c>
      <c r="N1001" s="22" t="inlineStr">
        <is>
          <t>Accelerator/Incubator</t>
        </is>
      </c>
      <c r="O1001" s="23" t="inlineStr">
        <is>
          <t/>
        </is>
      </c>
      <c r="P1001" s="101">
        <f>HYPERLINK("https://my.pitchbook.com?c=151182-10", "View company online")</f>
      </c>
    </row>
    <row r="1002">
      <c r="A1002" s="25" t="inlineStr">
        <is>
          <t>176419-27</t>
        </is>
      </c>
      <c r="B1002" s="26" t="inlineStr">
        <is>
          <t>Sur3D</t>
        </is>
      </c>
      <c r="C1002" s="78">
        <f>HYPERLINK("https://my.pitchbook.com?rrp=176419-27&amp;type=c", "This Company's information is not available to download. Need this Company? Request availability")</f>
      </c>
      <c r="D1002" s="28" t="inlineStr">
        <is>
          <t/>
        </is>
      </c>
      <c r="E1002" s="29" t="inlineStr">
        <is>
          <t/>
        </is>
      </c>
      <c r="F1002" s="30" t="inlineStr">
        <is>
          <t/>
        </is>
      </c>
      <c r="G1002" s="31" t="inlineStr">
        <is>
          <t/>
        </is>
      </c>
      <c r="H1002" s="32" t="inlineStr">
        <is>
          <t/>
        </is>
      </c>
      <c r="I1002" s="33" t="inlineStr">
        <is>
          <t/>
        </is>
      </c>
      <c r="J1002" s="34" t="inlineStr">
        <is>
          <t/>
        </is>
      </c>
      <c r="K1002" s="35" t="inlineStr">
        <is>
          <t/>
        </is>
      </c>
      <c r="L1002" s="36" t="inlineStr">
        <is>
          <t/>
        </is>
      </c>
      <c r="M1002" s="37" t="inlineStr">
        <is>
          <t/>
        </is>
      </c>
      <c r="N1002" s="38" t="inlineStr">
        <is>
          <t/>
        </is>
      </c>
      <c r="O1002" s="39" t="inlineStr">
        <is>
          <t/>
        </is>
      </c>
      <c r="P1002" s="40" t="inlineStr">
        <is>
          <t/>
        </is>
      </c>
    </row>
    <row r="1003">
      <c r="A1003" s="9" t="inlineStr">
        <is>
          <t>55822-78</t>
        </is>
      </c>
      <c r="B1003" s="10" t="inlineStr">
        <is>
          <t>Supr Good</t>
        </is>
      </c>
      <c r="C1003" s="11" t="inlineStr">
        <is>
          <t/>
        </is>
      </c>
      <c r="D1003" s="12" t="inlineStr">
        <is>
          <t/>
        </is>
      </c>
      <c r="E1003" s="13" t="inlineStr">
        <is>
          <t/>
        </is>
      </c>
      <c r="F1003" s="14" t="inlineStr">
        <is>
          <t/>
        </is>
      </c>
      <c r="G1003" s="15" t="inlineStr">
        <is>
          <t/>
        </is>
      </c>
      <c r="H1003" s="16" t="inlineStr">
        <is>
          <t/>
        </is>
      </c>
      <c r="I1003" s="17" t="inlineStr">
        <is>
          <t/>
        </is>
      </c>
      <c r="J1003" s="18" t="inlineStr">
        <is>
          <t/>
        </is>
      </c>
      <c r="K1003" s="19" t="inlineStr">
        <is>
          <t>Privately Held (backing)</t>
        </is>
      </c>
      <c r="L1003" s="20" t="inlineStr">
        <is>
          <t>Angel-Backed</t>
        </is>
      </c>
      <c r="M1003" s="21" t="n">
        <v>42259.0</v>
      </c>
      <c r="N1003" s="22" t="inlineStr">
        <is>
          <t>Product Crowdfunding</t>
        </is>
      </c>
      <c r="O1003" s="23" t="n">
        <v>0.09</v>
      </c>
      <c r="P1003" s="101">
        <f>HYPERLINK("https://my.pitchbook.com?c=55822-78", "View company online")</f>
      </c>
    </row>
    <row r="1004">
      <c r="A1004" s="25" t="inlineStr">
        <is>
          <t>90347-95</t>
        </is>
      </c>
      <c r="B1004" s="26" t="inlineStr">
        <is>
          <t>SupplyShift</t>
        </is>
      </c>
      <c r="C1004" s="78">
        <f>HYPERLINK("https://my.pitchbook.com?rrp=90347-95&amp;type=c", "This Company's information is not available to download. Need this Company? Request availability")</f>
      </c>
      <c r="D1004" s="28" t="inlineStr">
        <is>
          <t/>
        </is>
      </c>
      <c r="E1004" s="29" t="inlineStr">
        <is>
          <t/>
        </is>
      </c>
      <c r="F1004" s="30" t="inlineStr">
        <is>
          <t/>
        </is>
      </c>
      <c r="G1004" s="31" t="inlineStr">
        <is>
          <t/>
        </is>
      </c>
      <c r="H1004" s="32" t="inlineStr">
        <is>
          <t/>
        </is>
      </c>
      <c r="I1004" s="33" t="inlineStr">
        <is>
          <t/>
        </is>
      </c>
      <c r="J1004" s="34" t="inlineStr">
        <is>
          <t/>
        </is>
      </c>
      <c r="K1004" s="35" t="inlineStr">
        <is>
          <t/>
        </is>
      </c>
      <c r="L1004" s="36" t="inlineStr">
        <is>
          <t/>
        </is>
      </c>
      <c r="M1004" s="37" t="inlineStr">
        <is>
          <t/>
        </is>
      </c>
      <c r="N1004" s="38" t="inlineStr">
        <is>
          <t/>
        </is>
      </c>
      <c r="O1004" s="39" t="inlineStr">
        <is>
          <t/>
        </is>
      </c>
      <c r="P1004" s="40" t="inlineStr">
        <is>
          <t/>
        </is>
      </c>
    </row>
    <row r="1005">
      <c r="A1005" s="9" t="inlineStr">
        <is>
          <t>172089-37</t>
        </is>
      </c>
      <c r="B1005" s="10" t="inlineStr">
        <is>
          <t>SupplyOcean</t>
        </is>
      </c>
      <c r="C1005" s="77">
        <f>HYPERLINK("https://my.pitchbook.com?rrp=172089-37&amp;type=c", "This Company's information is not available to download. Need this Company? Request availability")</f>
      </c>
      <c r="D1005" s="12" t="inlineStr">
        <is>
          <t/>
        </is>
      </c>
      <c r="E1005" s="13" t="inlineStr">
        <is>
          <t/>
        </is>
      </c>
      <c r="F1005" s="14" t="inlineStr">
        <is>
          <t/>
        </is>
      </c>
      <c r="G1005" s="15" t="inlineStr">
        <is>
          <t/>
        </is>
      </c>
      <c r="H1005" s="16" t="inlineStr">
        <is>
          <t/>
        </is>
      </c>
      <c r="I1005" s="17" t="inlineStr">
        <is>
          <t/>
        </is>
      </c>
      <c r="J1005" s="18" t="inlineStr">
        <is>
          <t/>
        </is>
      </c>
      <c r="K1005" s="19" t="inlineStr">
        <is>
          <t/>
        </is>
      </c>
      <c r="L1005" s="20" t="inlineStr">
        <is>
          <t/>
        </is>
      </c>
      <c r="M1005" s="21" t="inlineStr">
        <is>
          <t/>
        </is>
      </c>
      <c r="N1005" s="22" t="inlineStr">
        <is>
          <t/>
        </is>
      </c>
      <c r="O1005" s="23" t="inlineStr">
        <is>
          <t/>
        </is>
      </c>
      <c r="P1005" s="24" t="inlineStr">
        <is>
          <t/>
        </is>
      </c>
    </row>
    <row r="1006">
      <c r="A1006" s="25" t="inlineStr">
        <is>
          <t>88710-40</t>
        </is>
      </c>
      <c r="B1006" s="26" t="inlineStr">
        <is>
          <t>Supplyhub</t>
        </is>
      </c>
      <c r="C1006" s="27" t="inlineStr">
        <is>
          <t/>
        </is>
      </c>
      <c r="D1006" s="28" t="inlineStr">
        <is>
          <t/>
        </is>
      </c>
      <c r="E1006" s="29" t="inlineStr">
        <is>
          <t/>
        </is>
      </c>
      <c r="F1006" s="30" t="inlineStr">
        <is>
          <t/>
        </is>
      </c>
      <c r="G1006" s="31" t="inlineStr">
        <is>
          <t/>
        </is>
      </c>
      <c r="H1006" s="32" t="inlineStr">
        <is>
          <t/>
        </is>
      </c>
      <c r="I1006" s="33" t="inlineStr">
        <is>
          <t/>
        </is>
      </c>
      <c r="J1006" s="34" t="inlineStr">
        <is>
          <t/>
        </is>
      </c>
      <c r="K1006" s="35" t="inlineStr">
        <is>
          <t>Privately Held (backing)</t>
        </is>
      </c>
      <c r="L1006" s="36" t="inlineStr">
        <is>
          <t>Angel-Backed</t>
        </is>
      </c>
      <c r="M1006" s="37" t="n">
        <v>41957.0</v>
      </c>
      <c r="N1006" s="38" t="inlineStr">
        <is>
          <t>Seed Round</t>
        </is>
      </c>
      <c r="O1006" s="39" t="n">
        <v>1.5</v>
      </c>
      <c r="P1006" s="102">
        <f>HYPERLINK("https://my.pitchbook.com?c=88710-40", "View company online")</f>
      </c>
    </row>
    <row r="1007">
      <c r="A1007" s="9" t="inlineStr">
        <is>
          <t>169881-85</t>
        </is>
      </c>
      <c r="B1007" s="10" t="inlineStr">
        <is>
          <t>SupplyAI</t>
        </is>
      </c>
      <c r="C1007" s="11" t="inlineStr">
        <is>
          <t/>
        </is>
      </c>
      <c r="D1007" s="12" t="inlineStr">
        <is>
          <t/>
        </is>
      </c>
      <c r="E1007" s="13" t="inlineStr">
        <is>
          <t/>
        </is>
      </c>
      <c r="F1007" s="14" t="inlineStr">
        <is>
          <t/>
        </is>
      </c>
      <c r="G1007" s="15" t="inlineStr">
        <is>
          <t/>
        </is>
      </c>
      <c r="H1007" s="16" t="inlineStr">
        <is>
          <t/>
        </is>
      </c>
      <c r="I1007" s="17" t="inlineStr">
        <is>
          <t/>
        </is>
      </c>
      <c r="J1007" s="18" t="inlineStr">
        <is>
          <t/>
        </is>
      </c>
      <c r="K1007" s="19" t="inlineStr">
        <is>
          <t>Privately Held (backing)</t>
        </is>
      </c>
      <c r="L1007" s="20" t="inlineStr">
        <is>
          <t>Accelerator/Incubator Backed</t>
        </is>
      </c>
      <c r="M1007" s="21" t="n">
        <v>42754.0</v>
      </c>
      <c r="N1007" s="22" t="inlineStr">
        <is>
          <t>Accelerator/Incubator</t>
        </is>
      </c>
      <c r="O1007" s="23" t="n">
        <v>0.04</v>
      </c>
      <c r="P1007" s="101">
        <f>HYPERLINK("https://my.pitchbook.com?c=169881-85", "View company online")</f>
      </c>
    </row>
    <row r="1008">
      <c r="A1008" s="25" t="inlineStr">
        <is>
          <t>118362-61</t>
        </is>
      </c>
      <c r="B1008" s="26" t="inlineStr">
        <is>
          <t>Supply.AI</t>
        </is>
      </c>
      <c r="C1008" s="27" t="inlineStr">
        <is>
          <t/>
        </is>
      </c>
      <c r="D1008" s="28" t="inlineStr">
        <is>
          <t/>
        </is>
      </c>
      <c r="E1008" s="29" t="inlineStr">
        <is>
          <t/>
        </is>
      </c>
      <c r="F1008" s="30" t="inlineStr">
        <is>
          <t/>
        </is>
      </c>
      <c r="G1008" s="31" t="inlineStr">
        <is>
          <t/>
        </is>
      </c>
      <c r="H1008" s="32" t="inlineStr">
        <is>
          <t/>
        </is>
      </c>
      <c r="I1008" s="33" t="inlineStr">
        <is>
          <t/>
        </is>
      </c>
      <c r="J1008" s="34" t="inlineStr">
        <is>
          <t/>
        </is>
      </c>
      <c r="K1008" s="35" t="inlineStr">
        <is>
          <t>Privately Held (backing)</t>
        </is>
      </c>
      <c r="L1008" s="36" t="inlineStr">
        <is>
          <t>Accelerator/Incubator Backed</t>
        </is>
      </c>
      <c r="M1008" s="37" t="n">
        <v>42467.0</v>
      </c>
      <c r="N1008" s="38" t="inlineStr">
        <is>
          <t>Accelerator/Incubator</t>
        </is>
      </c>
      <c r="O1008" s="39" t="n">
        <v>0.02</v>
      </c>
      <c r="P1008" s="102">
        <f>HYPERLINK("https://my.pitchbook.com?c=118362-61", "View company online")</f>
      </c>
    </row>
    <row r="1009">
      <c r="A1009" s="9" t="inlineStr">
        <is>
          <t>156109-15</t>
        </is>
      </c>
      <c r="B1009" s="10" t="inlineStr">
        <is>
          <t>Supira Medical</t>
        </is>
      </c>
      <c r="C1009" s="11" t="inlineStr">
        <is>
          <t/>
        </is>
      </c>
      <c r="D1009" s="12" t="inlineStr">
        <is>
          <t/>
        </is>
      </c>
      <c r="E1009" s="13" t="inlineStr">
        <is>
          <t/>
        </is>
      </c>
      <c r="F1009" s="14" t="inlineStr">
        <is>
          <t/>
        </is>
      </c>
      <c r="G1009" s="15" t="inlineStr">
        <is>
          <t/>
        </is>
      </c>
      <c r="H1009" s="16" t="inlineStr">
        <is>
          <t/>
        </is>
      </c>
      <c r="I1009" s="17" t="inlineStr">
        <is>
          <t/>
        </is>
      </c>
      <c r="J1009" s="18" t="inlineStr">
        <is>
          <t/>
        </is>
      </c>
      <c r="K1009" s="19" t="inlineStr">
        <is>
          <t>Privately Held (backing)</t>
        </is>
      </c>
      <c r="L1009" s="20" t="inlineStr">
        <is>
          <t>Accelerator/Incubator Backed</t>
        </is>
      </c>
      <c r="M1009" s="21" t="n">
        <v>42370.0</v>
      </c>
      <c r="N1009" s="22" t="inlineStr">
        <is>
          <t>Accelerator/Incubator</t>
        </is>
      </c>
      <c r="O1009" s="23" t="inlineStr">
        <is>
          <t/>
        </is>
      </c>
      <c r="P1009" s="101">
        <f>HYPERLINK("https://my.pitchbook.com?c=156109-15", "View company online")</f>
      </c>
    </row>
    <row r="1010">
      <c r="A1010" s="25" t="inlineStr">
        <is>
          <t>166969-27</t>
        </is>
      </c>
      <c r="B1010" s="26" t="inlineStr">
        <is>
          <t>Superstar Games</t>
        </is>
      </c>
      <c r="C1010" s="27" t="inlineStr">
        <is>
          <t/>
        </is>
      </c>
      <c r="D1010" s="28" t="inlineStr">
        <is>
          <t/>
        </is>
      </c>
      <c r="E1010" s="29" t="inlineStr">
        <is>
          <t/>
        </is>
      </c>
      <c r="F1010" s="30" t="inlineStr">
        <is>
          <t/>
        </is>
      </c>
      <c r="G1010" s="31" t="inlineStr">
        <is>
          <t/>
        </is>
      </c>
      <c r="H1010" s="32" t="inlineStr">
        <is>
          <t/>
        </is>
      </c>
      <c r="I1010" s="33" t="inlineStr">
        <is>
          <t/>
        </is>
      </c>
      <c r="J1010" s="34" t="inlineStr">
        <is>
          <t/>
        </is>
      </c>
      <c r="K1010" s="35" t="inlineStr">
        <is>
          <t>Privately Held (backing)</t>
        </is>
      </c>
      <c r="L1010" s="36" t="inlineStr">
        <is>
          <t>Accelerator/Incubator Backed</t>
        </is>
      </c>
      <c r="M1010" s="37" t="n">
        <v>42583.0</v>
      </c>
      <c r="N1010" s="38" t="inlineStr">
        <is>
          <t>Accelerator/Incubator</t>
        </is>
      </c>
      <c r="O1010" s="39" t="inlineStr">
        <is>
          <t/>
        </is>
      </c>
      <c r="P1010" s="102">
        <f>HYPERLINK("https://my.pitchbook.com?c=166969-27", "View company online")</f>
      </c>
    </row>
    <row r="1011">
      <c r="A1011" s="9" t="inlineStr">
        <is>
          <t>103141-54</t>
        </is>
      </c>
      <c r="B1011" s="10" t="inlineStr">
        <is>
          <t>Superpowered</t>
        </is>
      </c>
      <c r="C1011" s="77">
        <f>HYPERLINK("https://my.pitchbook.com?rrp=103141-54&amp;type=c", "This Company's information is not available to download. Need this Company? Request availability")</f>
      </c>
      <c r="D1011" s="12" t="inlineStr">
        <is>
          <t/>
        </is>
      </c>
      <c r="E1011" s="13" t="inlineStr">
        <is>
          <t/>
        </is>
      </c>
      <c r="F1011" s="14" t="inlineStr">
        <is>
          <t/>
        </is>
      </c>
      <c r="G1011" s="15" t="inlineStr">
        <is>
          <t/>
        </is>
      </c>
      <c r="H1011" s="16" t="inlineStr">
        <is>
          <t/>
        </is>
      </c>
      <c r="I1011" s="17" t="inlineStr">
        <is>
          <t/>
        </is>
      </c>
      <c r="J1011" s="18" t="inlineStr">
        <is>
          <t/>
        </is>
      </c>
      <c r="K1011" s="19" t="inlineStr">
        <is>
          <t/>
        </is>
      </c>
      <c r="L1011" s="20" t="inlineStr">
        <is>
          <t/>
        </is>
      </c>
      <c r="M1011" s="21" t="inlineStr">
        <is>
          <t/>
        </is>
      </c>
      <c r="N1011" s="22" t="inlineStr">
        <is>
          <t/>
        </is>
      </c>
      <c r="O1011" s="23" t="inlineStr">
        <is>
          <t/>
        </is>
      </c>
      <c r="P1011" s="24" t="inlineStr">
        <is>
          <t/>
        </is>
      </c>
    </row>
    <row r="1012">
      <c r="A1012" s="25" t="inlineStr">
        <is>
          <t>90346-78</t>
        </is>
      </c>
      <c r="B1012" s="26" t="inlineStr">
        <is>
          <t>Superior Solar Solution</t>
        </is>
      </c>
      <c r="C1012" s="27" t="inlineStr">
        <is>
          <t/>
        </is>
      </c>
      <c r="D1012" s="28" t="inlineStr">
        <is>
          <t/>
        </is>
      </c>
      <c r="E1012" s="29" t="inlineStr">
        <is>
          <t/>
        </is>
      </c>
      <c r="F1012" s="30" t="inlineStr">
        <is>
          <t/>
        </is>
      </c>
      <c r="G1012" s="31" t="inlineStr">
        <is>
          <t/>
        </is>
      </c>
      <c r="H1012" s="32" t="inlineStr">
        <is>
          <t/>
        </is>
      </c>
      <c r="I1012" s="33" t="inlineStr">
        <is>
          <t/>
        </is>
      </c>
      <c r="J1012" s="34" t="inlineStr">
        <is>
          <t/>
        </is>
      </c>
      <c r="K1012" s="35" t="inlineStr">
        <is>
          <t>Privately Held (backing)</t>
        </is>
      </c>
      <c r="L1012" s="36" t="inlineStr">
        <is>
          <t>Angel-Backed</t>
        </is>
      </c>
      <c r="M1012" s="37" t="n">
        <v>41743.0</v>
      </c>
      <c r="N1012" s="38" t="inlineStr">
        <is>
          <t>Angel (individual)</t>
        </is>
      </c>
      <c r="O1012" s="39" t="n">
        <v>0.06</v>
      </c>
      <c r="P1012" s="102">
        <f>HYPERLINK("https://my.pitchbook.com?c=90346-78", "View company online")</f>
      </c>
    </row>
    <row r="1013">
      <c r="A1013" s="9" t="inlineStr">
        <is>
          <t>121311-46</t>
        </is>
      </c>
      <c r="B1013" s="10" t="inlineStr">
        <is>
          <t>Supergravity</t>
        </is>
      </c>
      <c r="C1013" s="11" t="inlineStr">
        <is>
          <t/>
        </is>
      </c>
      <c r="D1013" s="12" t="inlineStr">
        <is>
          <t/>
        </is>
      </c>
      <c r="E1013" s="13" t="inlineStr">
        <is>
          <t/>
        </is>
      </c>
      <c r="F1013" s="14" t="inlineStr">
        <is>
          <t/>
        </is>
      </c>
      <c r="G1013" s="15" t="inlineStr">
        <is>
          <t/>
        </is>
      </c>
      <c r="H1013" s="16" t="inlineStr">
        <is>
          <t/>
        </is>
      </c>
      <c r="I1013" s="17" t="inlineStr">
        <is>
          <t/>
        </is>
      </c>
      <c r="J1013" s="18" t="inlineStr">
        <is>
          <t/>
        </is>
      </c>
      <c r="K1013" s="19" t="inlineStr">
        <is>
          <t>Privately Held (backing)</t>
        </is>
      </c>
      <c r="L1013" s="20" t="inlineStr">
        <is>
          <t>Angel-Backed</t>
        </is>
      </c>
      <c r="M1013" s="21" t="n">
        <v>42222.0</v>
      </c>
      <c r="N1013" s="22" t="inlineStr">
        <is>
          <t>Angel (individual)</t>
        </is>
      </c>
      <c r="O1013" s="23" t="n">
        <v>1.7</v>
      </c>
      <c r="P1013" s="101">
        <f>HYPERLINK("https://my.pitchbook.com?c=121311-46", "View company online")</f>
      </c>
    </row>
    <row r="1014">
      <c r="A1014" s="25" t="inlineStr">
        <is>
          <t>98927-92</t>
        </is>
      </c>
      <c r="B1014" s="26" t="inlineStr">
        <is>
          <t>Superfly</t>
        </is>
      </c>
      <c r="C1014" s="27" t="inlineStr">
        <is>
          <t/>
        </is>
      </c>
      <c r="D1014" s="28" t="inlineStr">
        <is>
          <t/>
        </is>
      </c>
      <c r="E1014" s="29" t="inlineStr">
        <is>
          <t/>
        </is>
      </c>
      <c r="F1014" s="30" t="inlineStr">
        <is>
          <t/>
        </is>
      </c>
      <c r="G1014" s="31" t="inlineStr">
        <is>
          <t/>
        </is>
      </c>
      <c r="H1014" s="32" t="inlineStr">
        <is>
          <t/>
        </is>
      </c>
      <c r="I1014" s="33" t="inlineStr">
        <is>
          <t/>
        </is>
      </c>
      <c r="J1014" s="34" t="inlineStr">
        <is>
          <t/>
        </is>
      </c>
      <c r="K1014" s="35" t="inlineStr">
        <is>
          <t>Privately Held (backing)</t>
        </is>
      </c>
      <c r="L1014" s="36" t="inlineStr">
        <is>
          <t>Accelerator/Incubator Backed</t>
        </is>
      </c>
      <c r="M1014" s="37" t="n">
        <v>40554.0</v>
      </c>
      <c r="N1014" s="38" t="inlineStr">
        <is>
          <t>Accelerator/Incubator</t>
        </is>
      </c>
      <c r="O1014" s="39" t="n">
        <v>0.5</v>
      </c>
      <c r="P1014" s="102">
        <f>HYPERLINK("https://my.pitchbook.com?c=98927-92", "View company online")</f>
      </c>
    </row>
    <row r="1015">
      <c r="A1015" s="9" t="inlineStr">
        <is>
          <t>96779-35</t>
        </is>
      </c>
      <c r="B1015" s="10" t="inlineStr">
        <is>
          <t>SuperBetter</t>
        </is>
      </c>
      <c r="C1015" s="11" t="inlineStr">
        <is>
          <t/>
        </is>
      </c>
      <c r="D1015" s="12" t="inlineStr">
        <is>
          <t/>
        </is>
      </c>
      <c r="E1015" s="13" t="inlineStr">
        <is>
          <t/>
        </is>
      </c>
      <c r="F1015" s="14" t="inlineStr">
        <is>
          <t/>
        </is>
      </c>
      <c r="G1015" s="15" t="inlineStr">
        <is>
          <t/>
        </is>
      </c>
      <c r="H1015" s="16" t="inlineStr">
        <is>
          <t/>
        </is>
      </c>
      <c r="I1015" s="17" t="inlineStr">
        <is>
          <t/>
        </is>
      </c>
      <c r="J1015" s="18" t="inlineStr">
        <is>
          <t/>
        </is>
      </c>
      <c r="K1015" s="19" t="inlineStr">
        <is>
          <t>Privately Held (backing)</t>
        </is>
      </c>
      <c r="L1015" s="20" t="inlineStr">
        <is>
          <t>Accelerator/Incubator Backed</t>
        </is>
      </c>
      <c r="M1015" s="21" t="n">
        <v>42328.0</v>
      </c>
      <c r="N1015" s="22" t="inlineStr">
        <is>
          <t>Product Crowdfunding</t>
        </is>
      </c>
      <c r="O1015" s="23" t="n">
        <v>0.02</v>
      </c>
      <c r="P1015" s="101">
        <f>HYPERLINK("https://my.pitchbook.com?c=96779-35", "View company online")</f>
      </c>
    </row>
    <row r="1016">
      <c r="A1016" s="25" t="inlineStr">
        <is>
          <t>133772-68</t>
        </is>
      </c>
      <c r="B1016" s="26" t="inlineStr">
        <is>
          <t>Super Lucky Casino</t>
        </is>
      </c>
      <c r="C1016" s="27" t="inlineStr">
        <is>
          <t/>
        </is>
      </c>
      <c r="D1016" s="28" t="inlineStr">
        <is>
          <t/>
        </is>
      </c>
      <c r="E1016" s="29" t="inlineStr">
        <is>
          <t/>
        </is>
      </c>
      <c r="F1016" s="30" t="inlineStr">
        <is>
          <t/>
        </is>
      </c>
      <c r="G1016" s="31" t="inlineStr">
        <is>
          <t/>
        </is>
      </c>
      <c r="H1016" s="32" t="inlineStr">
        <is>
          <t/>
        </is>
      </c>
      <c r="I1016" s="33" t="inlineStr">
        <is>
          <t/>
        </is>
      </c>
      <c r="J1016" s="34" t="inlineStr">
        <is>
          <t/>
        </is>
      </c>
      <c r="K1016" s="35" t="inlineStr">
        <is>
          <t>Privately Held (backing)</t>
        </is>
      </c>
      <c r="L1016" s="36" t="inlineStr">
        <is>
          <t>Accelerator/Incubator Backed</t>
        </is>
      </c>
      <c r="M1016" s="37" t="n">
        <v>40848.0</v>
      </c>
      <c r="N1016" s="38" t="inlineStr">
        <is>
          <t>Seed Round</t>
        </is>
      </c>
      <c r="O1016" s="39" t="inlineStr">
        <is>
          <t/>
        </is>
      </c>
      <c r="P1016" s="102">
        <f>HYPERLINK("https://my.pitchbook.com?c=133772-68", "View company online")</f>
      </c>
    </row>
    <row r="1017">
      <c r="A1017" s="9" t="inlineStr">
        <is>
          <t>117995-32</t>
        </is>
      </c>
      <c r="B1017" s="10" t="inlineStr">
        <is>
          <t>SunToWater Technologies</t>
        </is>
      </c>
      <c r="C1017" s="11" t="inlineStr">
        <is>
          <t/>
        </is>
      </c>
      <c r="D1017" s="12" t="inlineStr">
        <is>
          <t/>
        </is>
      </c>
      <c r="E1017" s="13" t="inlineStr">
        <is>
          <t/>
        </is>
      </c>
      <c r="F1017" s="14" t="inlineStr">
        <is>
          <t/>
        </is>
      </c>
      <c r="G1017" s="15" t="inlineStr">
        <is>
          <t/>
        </is>
      </c>
      <c r="H1017" s="16" t="inlineStr">
        <is>
          <t/>
        </is>
      </c>
      <c r="I1017" s="17" t="inlineStr">
        <is>
          <t/>
        </is>
      </c>
      <c r="J1017" s="18" t="inlineStr">
        <is>
          <t/>
        </is>
      </c>
      <c r="K1017" s="19" t="inlineStr">
        <is>
          <t>Privately Held (backing)</t>
        </is>
      </c>
      <c r="L1017" s="20" t="inlineStr">
        <is>
          <t>Accelerator/Incubator Backed</t>
        </is>
      </c>
      <c r="M1017" s="21" t="n">
        <v>42710.0</v>
      </c>
      <c r="N1017" s="22" t="inlineStr">
        <is>
          <t>Angel (individual)</t>
        </is>
      </c>
      <c r="O1017" s="23" t="n">
        <v>0.38</v>
      </c>
      <c r="P1017" s="101">
        <f>HYPERLINK("https://my.pitchbook.com?c=117995-32", "View company online")</f>
      </c>
    </row>
    <row r="1018">
      <c r="A1018" s="25" t="inlineStr">
        <is>
          <t>156196-09</t>
        </is>
      </c>
      <c r="B1018" s="26" t="inlineStr">
        <is>
          <t>SunTime Energy Builders</t>
        </is>
      </c>
      <c r="C1018" s="27" t="inlineStr">
        <is>
          <t/>
        </is>
      </c>
      <c r="D1018" s="28" t="inlineStr">
        <is>
          <t/>
        </is>
      </c>
      <c r="E1018" s="29" t="inlineStr">
        <is>
          <t/>
        </is>
      </c>
      <c r="F1018" s="30" t="inlineStr">
        <is>
          <t/>
        </is>
      </c>
      <c r="G1018" s="31" t="inlineStr">
        <is>
          <t/>
        </is>
      </c>
      <c r="H1018" s="32" t="inlineStr">
        <is>
          <t/>
        </is>
      </c>
      <c r="I1018" s="33" t="inlineStr">
        <is>
          <t/>
        </is>
      </c>
      <c r="J1018" s="34" t="inlineStr">
        <is>
          <t/>
        </is>
      </c>
      <c r="K1018" s="35" t="inlineStr">
        <is>
          <t>Privately Held (backing)</t>
        </is>
      </c>
      <c r="L1018" s="36" t="inlineStr">
        <is>
          <t>Angel-Backed</t>
        </is>
      </c>
      <c r="M1018" s="37" t="n">
        <v>42458.0</v>
      </c>
      <c r="N1018" s="38" t="inlineStr">
        <is>
          <t>Angel (individual)</t>
        </is>
      </c>
      <c r="O1018" s="39" t="n">
        <v>1.0</v>
      </c>
      <c r="P1018" s="102">
        <f>HYPERLINK("https://my.pitchbook.com?c=156196-09", "View company online")</f>
      </c>
    </row>
    <row r="1019">
      <c r="A1019" s="9" t="inlineStr">
        <is>
          <t>112990-06</t>
        </is>
      </c>
      <c r="B1019" s="10" t="inlineStr">
        <is>
          <t>Sunsama</t>
        </is>
      </c>
      <c r="C1019" s="11" t="inlineStr">
        <is>
          <t/>
        </is>
      </c>
      <c r="D1019" s="12" t="inlineStr">
        <is>
          <t/>
        </is>
      </c>
      <c r="E1019" s="13" t="inlineStr">
        <is>
          <t/>
        </is>
      </c>
      <c r="F1019" s="14" t="inlineStr">
        <is>
          <t/>
        </is>
      </c>
      <c r="G1019" s="15" t="inlineStr">
        <is>
          <t/>
        </is>
      </c>
      <c r="H1019" s="16" t="inlineStr">
        <is>
          <t/>
        </is>
      </c>
      <c r="I1019" s="17" t="inlineStr">
        <is>
          <t/>
        </is>
      </c>
      <c r="J1019" s="18" t="inlineStr">
        <is>
          <t/>
        </is>
      </c>
      <c r="K1019" s="19" t="inlineStr">
        <is>
          <t>Privately Held (backing)</t>
        </is>
      </c>
      <c r="L1019" s="20" t="inlineStr">
        <is>
          <t>Accelerator/Incubator Backed</t>
        </is>
      </c>
      <c r="M1019" s="21" t="n">
        <v>42005.0</v>
      </c>
      <c r="N1019" s="22" t="inlineStr">
        <is>
          <t>Accelerator/Incubator</t>
        </is>
      </c>
      <c r="O1019" s="23" t="inlineStr">
        <is>
          <t/>
        </is>
      </c>
      <c r="P1019" s="101">
        <f>HYPERLINK("https://my.pitchbook.com?c=112990-06", "View company online")</f>
      </c>
    </row>
    <row r="1020">
      <c r="A1020" s="25" t="inlineStr">
        <is>
          <t>95483-17</t>
        </is>
      </c>
      <c r="B1020" s="26" t="inlineStr">
        <is>
          <t>Sunn App</t>
        </is>
      </c>
      <c r="C1020" s="78">
        <f>HYPERLINK("https://my.pitchbook.com?rrp=95483-17&amp;type=c", "This Company's information is not available to download. Need this Company? Request availability")</f>
      </c>
      <c r="D1020" s="28" t="inlineStr">
        <is>
          <t/>
        </is>
      </c>
      <c r="E1020" s="29" t="inlineStr">
        <is>
          <t/>
        </is>
      </c>
      <c r="F1020" s="30" t="inlineStr">
        <is>
          <t/>
        </is>
      </c>
      <c r="G1020" s="31" t="inlineStr">
        <is>
          <t/>
        </is>
      </c>
      <c r="H1020" s="32" t="inlineStr">
        <is>
          <t/>
        </is>
      </c>
      <c r="I1020" s="33" t="inlineStr">
        <is>
          <t/>
        </is>
      </c>
      <c r="J1020" s="34" t="inlineStr">
        <is>
          <t/>
        </is>
      </c>
      <c r="K1020" s="35" t="inlineStr">
        <is>
          <t/>
        </is>
      </c>
      <c r="L1020" s="36" t="inlineStr">
        <is>
          <t/>
        </is>
      </c>
      <c r="M1020" s="37" t="inlineStr">
        <is>
          <t/>
        </is>
      </c>
      <c r="N1020" s="38" t="inlineStr">
        <is>
          <t/>
        </is>
      </c>
      <c r="O1020" s="39" t="inlineStr">
        <is>
          <t/>
        </is>
      </c>
      <c r="P1020" s="40" t="inlineStr">
        <is>
          <t/>
        </is>
      </c>
    </row>
    <row r="1021">
      <c r="A1021" s="9" t="inlineStr">
        <is>
          <t>103215-07</t>
        </is>
      </c>
      <c r="B1021" s="10" t="inlineStr">
        <is>
          <t>Sun-Lite Metals</t>
        </is>
      </c>
      <c r="C1021" s="11" t="inlineStr">
        <is>
          <t/>
        </is>
      </c>
      <c r="D1021" s="12" t="inlineStr">
        <is>
          <t/>
        </is>
      </c>
      <c r="E1021" s="13" t="inlineStr">
        <is>
          <t/>
        </is>
      </c>
      <c r="F1021" s="14" t="inlineStr">
        <is>
          <t/>
        </is>
      </c>
      <c r="G1021" s="15" t="inlineStr">
        <is>
          <t/>
        </is>
      </c>
      <c r="H1021" s="16" t="inlineStr">
        <is>
          <t/>
        </is>
      </c>
      <c r="I1021" s="17" t="inlineStr">
        <is>
          <t/>
        </is>
      </c>
      <c r="J1021" s="18" t="inlineStr">
        <is>
          <t/>
        </is>
      </c>
      <c r="K1021" s="19" t="inlineStr">
        <is>
          <t>Privately Held (backing)</t>
        </is>
      </c>
      <c r="L1021" s="20" t="inlineStr">
        <is>
          <t>Angel-Backed</t>
        </is>
      </c>
      <c r="M1021" s="21" t="n">
        <v>41659.0</v>
      </c>
      <c r="N1021" s="22" t="inlineStr">
        <is>
          <t>Convertible Debt</t>
        </is>
      </c>
      <c r="O1021" s="23" t="n">
        <v>1.0</v>
      </c>
      <c r="P1021" s="101">
        <f>HYPERLINK("https://my.pitchbook.com?c=103215-07", "View company online")</f>
      </c>
    </row>
    <row r="1022">
      <c r="A1022" s="25" t="inlineStr">
        <is>
          <t>147892-78</t>
        </is>
      </c>
      <c r="B1022" s="26" t="inlineStr">
        <is>
          <t>Sunfolding</t>
        </is>
      </c>
      <c r="C1022" s="27" t="inlineStr">
        <is>
          <t/>
        </is>
      </c>
      <c r="D1022" s="28" t="inlineStr">
        <is>
          <t/>
        </is>
      </c>
      <c r="E1022" s="29" t="inlineStr">
        <is>
          <t/>
        </is>
      </c>
      <c r="F1022" s="30" t="inlineStr">
        <is>
          <t/>
        </is>
      </c>
      <c r="G1022" s="31" t="inlineStr">
        <is>
          <t/>
        </is>
      </c>
      <c r="H1022" s="32" t="inlineStr">
        <is>
          <t/>
        </is>
      </c>
      <c r="I1022" s="33" t="inlineStr">
        <is>
          <t/>
        </is>
      </c>
      <c r="J1022" s="34" t="inlineStr">
        <is>
          <t/>
        </is>
      </c>
      <c r="K1022" s="35" t="inlineStr">
        <is>
          <t>Privately Held (backing)</t>
        </is>
      </c>
      <c r="L1022" s="36" t="inlineStr">
        <is>
          <t>Angel-Backed</t>
        </is>
      </c>
      <c r="M1022" s="37" t="n">
        <v>42139.0</v>
      </c>
      <c r="N1022" s="38" t="inlineStr">
        <is>
          <t>Grant</t>
        </is>
      </c>
      <c r="O1022" s="39" t="n">
        <v>1.0</v>
      </c>
      <c r="P1022" s="102">
        <f>HYPERLINK("https://my.pitchbook.com?c=147892-78", "View company online")</f>
      </c>
    </row>
    <row r="1023">
      <c r="A1023" s="9" t="inlineStr">
        <is>
          <t>171164-17</t>
        </is>
      </c>
      <c r="B1023" s="10" t="inlineStr">
        <is>
          <t>Summer</t>
        </is>
      </c>
      <c r="C1023" s="11" t="inlineStr">
        <is>
          <t/>
        </is>
      </c>
      <c r="D1023" s="12" t="inlineStr">
        <is>
          <t/>
        </is>
      </c>
      <c r="E1023" s="13" t="inlineStr">
        <is>
          <t/>
        </is>
      </c>
      <c r="F1023" s="14" t="inlineStr">
        <is>
          <t/>
        </is>
      </c>
      <c r="G1023" s="15" t="inlineStr">
        <is>
          <t/>
        </is>
      </c>
      <c r="H1023" s="16" t="inlineStr">
        <is>
          <t/>
        </is>
      </c>
      <c r="I1023" s="17" t="inlineStr">
        <is>
          <t/>
        </is>
      </c>
      <c r="J1023" s="18" t="inlineStr">
        <is>
          <t/>
        </is>
      </c>
      <c r="K1023" s="19" t="inlineStr">
        <is>
          <t>Privately Held (backing)</t>
        </is>
      </c>
      <c r="L1023" s="20" t="inlineStr">
        <is>
          <t>Accelerator/Incubator Backed</t>
        </is>
      </c>
      <c r="M1023" s="21" t="n">
        <v>42796.0</v>
      </c>
      <c r="N1023" s="22" t="inlineStr">
        <is>
          <t>Accelerator/Incubator</t>
        </is>
      </c>
      <c r="O1023" s="23" t="n">
        <v>0.12</v>
      </c>
      <c r="P1023" s="101">
        <f>HYPERLINK("https://my.pitchbook.com?c=171164-17", "View company online")</f>
      </c>
    </row>
    <row r="1024">
      <c r="A1024" s="25" t="inlineStr">
        <is>
          <t>120130-57</t>
        </is>
      </c>
      <c r="B1024" s="26" t="inlineStr">
        <is>
          <t>Suggestic</t>
        </is>
      </c>
      <c r="C1024" s="27" t="inlineStr">
        <is>
          <t/>
        </is>
      </c>
      <c r="D1024" s="28" t="inlineStr">
        <is>
          <t/>
        </is>
      </c>
      <c r="E1024" s="29" t="inlineStr">
        <is>
          <t/>
        </is>
      </c>
      <c r="F1024" s="30" t="inlineStr">
        <is>
          <t/>
        </is>
      </c>
      <c r="G1024" s="31" t="inlineStr">
        <is>
          <t/>
        </is>
      </c>
      <c r="H1024" s="32" t="inlineStr">
        <is>
          <t/>
        </is>
      </c>
      <c r="I1024" s="33" t="inlineStr">
        <is>
          <t/>
        </is>
      </c>
      <c r="J1024" s="34" t="inlineStr">
        <is>
          <t/>
        </is>
      </c>
      <c r="K1024" s="35" t="inlineStr">
        <is>
          <t>Privately Held (backing)</t>
        </is>
      </c>
      <c r="L1024" s="36" t="inlineStr">
        <is>
          <t>Accelerator/Incubator Backed</t>
        </is>
      </c>
      <c r="M1024" s="37" t="n">
        <v>42437.0</v>
      </c>
      <c r="N1024" s="38" t="inlineStr">
        <is>
          <t>Accelerator/Incubator</t>
        </is>
      </c>
      <c r="O1024" s="39" t="n">
        <v>1.0</v>
      </c>
      <c r="P1024" s="102">
        <f>HYPERLINK("https://my.pitchbook.com?c=120130-57", "View company online")</f>
      </c>
    </row>
    <row r="1025">
      <c r="A1025" s="9" t="inlineStr">
        <is>
          <t>111875-77</t>
        </is>
      </c>
      <c r="B1025" s="10" t="inlineStr">
        <is>
          <t>Sugars Gone</t>
        </is>
      </c>
      <c r="C1025" s="11" t="inlineStr">
        <is>
          <t/>
        </is>
      </c>
      <c r="D1025" s="12" t="inlineStr">
        <is>
          <t/>
        </is>
      </c>
      <c r="E1025" s="13" t="inlineStr">
        <is>
          <t/>
        </is>
      </c>
      <c r="F1025" s="14" t="inlineStr">
        <is>
          <t/>
        </is>
      </c>
      <c r="G1025" s="15" t="inlineStr">
        <is>
          <t/>
        </is>
      </c>
      <c r="H1025" s="16" t="inlineStr">
        <is>
          <t/>
        </is>
      </c>
      <c r="I1025" s="17" t="inlineStr">
        <is>
          <t/>
        </is>
      </c>
      <c r="J1025" s="18" t="inlineStr">
        <is>
          <t/>
        </is>
      </c>
      <c r="K1025" s="19" t="inlineStr">
        <is>
          <t>Privately Held (backing)</t>
        </is>
      </c>
      <c r="L1025" s="20" t="inlineStr">
        <is>
          <t>Angel-Backed</t>
        </is>
      </c>
      <c r="M1025" s="21" t="inlineStr">
        <is>
          <t/>
        </is>
      </c>
      <c r="N1025" s="22" t="inlineStr">
        <is>
          <t>Accelerator/Incubator</t>
        </is>
      </c>
      <c r="O1025" s="23" t="inlineStr">
        <is>
          <t/>
        </is>
      </c>
      <c r="P1025" s="101">
        <f>HYPERLINK("https://my.pitchbook.com?c=111875-77", "View company online")</f>
      </c>
    </row>
    <row r="1026">
      <c r="A1026" s="25" t="inlineStr">
        <is>
          <t>109287-82</t>
        </is>
      </c>
      <c r="B1026" s="26" t="inlineStr">
        <is>
          <t>Sugarcube (Media Player)</t>
        </is>
      </c>
      <c r="C1026" s="27" t="inlineStr">
        <is>
          <t/>
        </is>
      </c>
      <c r="D1026" s="28" t="inlineStr">
        <is>
          <t/>
        </is>
      </c>
      <c r="E1026" s="29" t="inlineStr">
        <is>
          <t/>
        </is>
      </c>
      <c r="F1026" s="30" t="inlineStr">
        <is>
          <t/>
        </is>
      </c>
      <c r="G1026" s="31" t="inlineStr">
        <is>
          <t/>
        </is>
      </c>
      <c r="H1026" s="32" t="inlineStr">
        <is>
          <t/>
        </is>
      </c>
      <c r="I1026" s="33" t="inlineStr">
        <is>
          <t/>
        </is>
      </c>
      <c r="J1026" s="34" t="inlineStr">
        <is>
          <t/>
        </is>
      </c>
      <c r="K1026" s="35" t="inlineStr">
        <is>
          <t>Privately Held (backing)</t>
        </is>
      </c>
      <c r="L1026" s="36" t="inlineStr">
        <is>
          <t>Accelerator/Incubator Backed</t>
        </is>
      </c>
      <c r="M1026" s="37" t="n">
        <v>41710.0</v>
      </c>
      <c r="N1026" s="38" t="inlineStr">
        <is>
          <t>Accelerator/Incubator</t>
        </is>
      </c>
      <c r="O1026" s="39" t="n">
        <v>0.02</v>
      </c>
      <c r="P1026" s="102">
        <f>HYPERLINK("https://my.pitchbook.com?c=109287-82", "View company online")</f>
      </c>
    </row>
    <row r="1027">
      <c r="A1027" s="9" t="inlineStr">
        <is>
          <t>108829-36</t>
        </is>
      </c>
      <c r="B1027" s="10" t="inlineStr">
        <is>
          <t>Sugar Knife</t>
        </is>
      </c>
      <c r="C1027" s="11" t="inlineStr">
        <is>
          <t/>
        </is>
      </c>
      <c r="D1027" s="12" t="inlineStr">
        <is>
          <t/>
        </is>
      </c>
      <c r="E1027" s="13" t="inlineStr">
        <is>
          <t/>
        </is>
      </c>
      <c r="F1027" s="14" t="inlineStr">
        <is>
          <t/>
        </is>
      </c>
      <c r="G1027" s="15" t="inlineStr">
        <is>
          <t/>
        </is>
      </c>
      <c r="H1027" s="16" t="inlineStr">
        <is>
          <t/>
        </is>
      </c>
      <c r="I1027" s="17" t="inlineStr">
        <is>
          <t/>
        </is>
      </c>
      <c r="J1027" s="18" t="inlineStr">
        <is>
          <t/>
        </is>
      </c>
      <c r="K1027" s="19" t="inlineStr">
        <is>
          <t>Privately Held (backing)</t>
        </is>
      </c>
      <c r="L1027" s="20" t="inlineStr">
        <is>
          <t>Angel-Backed</t>
        </is>
      </c>
      <c r="M1027" s="21" t="n">
        <v>40909.0</v>
      </c>
      <c r="N1027" s="22" t="inlineStr">
        <is>
          <t>Product Crowdfunding</t>
        </is>
      </c>
      <c r="O1027" s="23" t="n">
        <v>0.02</v>
      </c>
      <c r="P1027" s="101">
        <f>HYPERLINK("https://my.pitchbook.com?c=108829-36", "View company online")</f>
      </c>
    </row>
    <row r="1028">
      <c r="A1028" s="25" t="inlineStr">
        <is>
          <t>118837-27</t>
        </is>
      </c>
      <c r="B1028" s="26" t="inlineStr">
        <is>
          <t>Sugar Cone</t>
        </is>
      </c>
      <c r="C1028" s="27" t="inlineStr">
        <is>
          <t/>
        </is>
      </c>
      <c r="D1028" s="28" t="inlineStr">
        <is>
          <t/>
        </is>
      </c>
      <c r="E1028" s="29" t="inlineStr">
        <is>
          <t/>
        </is>
      </c>
      <c r="F1028" s="30" t="inlineStr">
        <is>
          <t/>
        </is>
      </c>
      <c r="G1028" s="31" t="inlineStr">
        <is>
          <t/>
        </is>
      </c>
      <c r="H1028" s="32" t="inlineStr">
        <is>
          <t/>
        </is>
      </c>
      <c r="I1028" s="33" t="inlineStr">
        <is>
          <t/>
        </is>
      </c>
      <c r="J1028" s="34" t="inlineStr">
        <is>
          <t/>
        </is>
      </c>
      <c r="K1028" s="35" t="inlineStr">
        <is>
          <t>Privately Held (backing)</t>
        </is>
      </c>
      <c r="L1028" s="36" t="inlineStr">
        <is>
          <t>Angel-Backed</t>
        </is>
      </c>
      <c r="M1028" s="37" t="n">
        <v>42180.0</v>
      </c>
      <c r="N1028" s="38" t="inlineStr">
        <is>
          <t>Angel (individual)</t>
        </is>
      </c>
      <c r="O1028" s="39" t="n">
        <v>0.51</v>
      </c>
      <c r="P1028" s="102">
        <f>HYPERLINK("https://my.pitchbook.com?c=118837-27", "View company online")</f>
      </c>
    </row>
    <row r="1029">
      <c r="A1029" s="9" t="inlineStr">
        <is>
          <t>95010-31</t>
        </is>
      </c>
      <c r="B1029" s="10" t="inlineStr">
        <is>
          <t>SueEasy</t>
        </is>
      </c>
      <c r="C1029" s="11" t="inlineStr">
        <is>
          <t/>
        </is>
      </c>
      <c r="D1029" s="12" t="inlineStr">
        <is>
          <t/>
        </is>
      </c>
      <c r="E1029" s="13" t="inlineStr">
        <is>
          <t/>
        </is>
      </c>
      <c r="F1029" s="14" t="inlineStr">
        <is>
          <t/>
        </is>
      </c>
      <c r="G1029" s="15" t="inlineStr">
        <is>
          <t/>
        </is>
      </c>
      <c r="H1029" s="16" t="inlineStr">
        <is>
          <t/>
        </is>
      </c>
      <c r="I1029" s="17" t="inlineStr">
        <is>
          <t/>
        </is>
      </c>
      <c r="J1029" s="18" t="inlineStr">
        <is>
          <t/>
        </is>
      </c>
      <c r="K1029" s="19" t="inlineStr">
        <is>
          <t>Privately Held (backing)</t>
        </is>
      </c>
      <c r="L1029" s="20" t="inlineStr">
        <is>
          <t>Angel-Backed</t>
        </is>
      </c>
      <c r="M1029" s="21" t="n">
        <v>39753.0</v>
      </c>
      <c r="N1029" s="22" t="inlineStr">
        <is>
          <t>Angel (individual)</t>
        </is>
      </c>
      <c r="O1029" s="23" t="n">
        <v>0.12</v>
      </c>
      <c r="P1029" s="101">
        <f>HYPERLINK("https://my.pitchbook.com?c=95010-31", "View company online")</f>
      </c>
    </row>
    <row r="1030">
      <c r="A1030" s="25" t="inlineStr">
        <is>
          <t>172424-89</t>
        </is>
      </c>
      <c r="B1030" s="26" t="inlineStr">
        <is>
          <t>Successful Survivors Foundation</t>
        </is>
      </c>
      <c r="C1030" s="78">
        <f>HYPERLINK("https://my.pitchbook.com?rrp=172424-89&amp;type=c", "This Company's information is not available to download. Need this Company? Request availability")</f>
      </c>
      <c r="D1030" s="28" t="inlineStr">
        <is>
          <t/>
        </is>
      </c>
      <c r="E1030" s="29" t="inlineStr">
        <is>
          <t/>
        </is>
      </c>
      <c r="F1030" s="30" t="inlineStr">
        <is>
          <t/>
        </is>
      </c>
      <c r="G1030" s="31" t="inlineStr">
        <is>
          <t/>
        </is>
      </c>
      <c r="H1030" s="32" t="inlineStr">
        <is>
          <t/>
        </is>
      </c>
      <c r="I1030" s="33" t="inlineStr">
        <is>
          <t/>
        </is>
      </c>
      <c r="J1030" s="34" t="inlineStr">
        <is>
          <t/>
        </is>
      </c>
      <c r="K1030" s="35" t="inlineStr">
        <is>
          <t/>
        </is>
      </c>
      <c r="L1030" s="36" t="inlineStr">
        <is>
          <t/>
        </is>
      </c>
      <c r="M1030" s="37" t="inlineStr">
        <is>
          <t/>
        </is>
      </c>
      <c r="N1030" s="38" t="inlineStr">
        <is>
          <t/>
        </is>
      </c>
      <c r="O1030" s="39" t="inlineStr">
        <is>
          <t/>
        </is>
      </c>
      <c r="P1030" s="40" t="inlineStr">
        <is>
          <t/>
        </is>
      </c>
    </row>
    <row r="1031">
      <c r="A1031" s="9" t="inlineStr">
        <is>
          <t>148086-55</t>
        </is>
      </c>
      <c r="B1031" s="10" t="inlineStr">
        <is>
          <t>Subtletees</t>
        </is>
      </c>
      <c r="C1031" s="11" t="inlineStr">
        <is>
          <t/>
        </is>
      </c>
      <c r="D1031" s="12" t="inlineStr">
        <is>
          <t/>
        </is>
      </c>
      <c r="E1031" s="13" t="inlineStr">
        <is>
          <t/>
        </is>
      </c>
      <c r="F1031" s="14" t="inlineStr">
        <is>
          <t/>
        </is>
      </c>
      <c r="G1031" s="15" t="inlineStr">
        <is>
          <t/>
        </is>
      </c>
      <c r="H1031" s="16" t="inlineStr">
        <is>
          <t/>
        </is>
      </c>
      <c r="I1031" s="17" t="inlineStr">
        <is>
          <t/>
        </is>
      </c>
      <c r="J1031" s="18" t="inlineStr">
        <is>
          <t/>
        </is>
      </c>
      <c r="K1031" s="19" t="inlineStr">
        <is>
          <t>Privately Held (backing)</t>
        </is>
      </c>
      <c r="L1031" s="20" t="inlineStr">
        <is>
          <t>Accelerator/Incubator Backed</t>
        </is>
      </c>
      <c r="M1031" s="21" t="n">
        <v>42041.0</v>
      </c>
      <c r="N1031" s="22" t="inlineStr">
        <is>
          <t>Accelerator/Incubator</t>
        </is>
      </c>
      <c r="O1031" s="23" t="inlineStr">
        <is>
          <t/>
        </is>
      </c>
      <c r="P1031" s="101">
        <f>HYPERLINK("https://my.pitchbook.com?c=148086-55", "View company online")</f>
      </c>
    </row>
    <row r="1032">
      <c r="A1032" s="25" t="inlineStr">
        <is>
          <t>95375-08</t>
        </is>
      </c>
      <c r="B1032" s="26" t="inlineStr">
        <is>
          <t>Subject Company</t>
        </is>
      </c>
      <c r="C1032" s="27" t="inlineStr">
        <is>
          <t/>
        </is>
      </c>
      <c r="D1032" s="28" t="inlineStr">
        <is>
          <t/>
        </is>
      </c>
      <c r="E1032" s="29" t="inlineStr">
        <is>
          <t/>
        </is>
      </c>
      <c r="F1032" s="30" t="inlineStr">
        <is>
          <t/>
        </is>
      </c>
      <c r="G1032" s="31" t="inlineStr">
        <is>
          <t/>
        </is>
      </c>
      <c r="H1032" s="32" t="inlineStr">
        <is>
          <t/>
        </is>
      </c>
      <c r="I1032" s="33" t="inlineStr">
        <is>
          <t/>
        </is>
      </c>
      <c r="J1032" s="34" t="inlineStr">
        <is>
          <t/>
        </is>
      </c>
      <c r="K1032" s="35" t="inlineStr">
        <is>
          <t>Privately Held (backing)</t>
        </is>
      </c>
      <c r="L1032" s="36" t="inlineStr">
        <is>
          <t>Angel-Backed</t>
        </is>
      </c>
      <c r="M1032" s="37" t="n">
        <v>40982.0</v>
      </c>
      <c r="N1032" s="38" t="inlineStr">
        <is>
          <t>Convertible Debt</t>
        </is>
      </c>
      <c r="O1032" s="39" t="n">
        <v>0.96</v>
      </c>
      <c r="P1032" s="102">
        <f>HYPERLINK("https://my.pitchbook.com?c=95375-08", "View company online")</f>
      </c>
    </row>
    <row r="1033">
      <c r="A1033" s="9" t="inlineStr">
        <is>
          <t>90239-68</t>
        </is>
      </c>
      <c r="B1033" s="10" t="inlineStr">
        <is>
          <t>Subimage</t>
        </is>
      </c>
      <c r="C1033" s="11" t="inlineStr">
        <is>
          <t/>
        </is>
      </c>
      <c r="D1033" s="12" t="inlineStr">
        <is>
          <t/>
        </is>
      </c>
      <c r="E1033" s="13" t="inlineStr">
        <is>
          <t/>
        </is>
      </c>
      <c r="F1033" s="14" t="inlineStr">
        <is>
          <t/>
        </is>
      </c>
      <c r="G1033" s="15" t="inlineStr">
        <is>
          <t/>
        </is>
      </c>
      <c r="H1033" s="16" t="inlineStr">
        <is>
          <t/>
        </is>
      </c>
      <c r="I1033" s="17" t="inlineStr">
        <is>
          <t/>
        </is>
      </c>
      <c r="J1033" s="18" t="inlineStr">
        <is>
          <t/>
        </is>
      </c>
      <c r="K1033" s="19" t="inlineStr">
        <is>
          <t>Privately Held (backing)</t>
        </is>
      </c>
      <c r="L1033" s="20" t="inlineStr">
        <is>
          <t>Angel-Backed</t>
        </is>
      </c>
      <c r="M1033" s="21" t="n">
        <v>41377.0</v>
      </c>
      <c r="N1033" s="22" t="inlineStr">
        <is>
          <t>Seed Round</t>
        </is>
      </c>
      <c r="O1033" s="23" t="n">
        <v>0.46</v>
      </c>
      <c r="P1033" s="101">
        <f>HYPERLINK("https://my.pitchbook.com?c=90239-68", "View company online")</f>
      </c>
    </row>
    <row r="1034">
      <c r="A1034" s="25" t="inlineStr">
        <is>
          <t>169410-52</t>
        </is>
      </c>
      <c r="B1034" s="26" t="inlineStr">
        <is>
          <t>Subdream Studios</t>
        </is>
      </c>
      <c r="C1034" s="27" t="inlineStr">
        <is>
          <t/>
        </is>
      </c>
      <c r="D1034" s="28" t="inlineStr">
        <is>
          <t/>
        </is>
      </c>
      <c r="E1034" s="29" t="inlineStr">
        <is>
          <t/>
        </is>
      </c>
      <c r="F1034" s="30" t="inlineStr">
        <is>
          <t/>
        </is>
      </c>
      <c r="G1034" s="31" t="inlineStr">
        <is>
          <t/>
        </is>
      </c>
      <c r="H1034" s="32" t="inlineStr">
        <is>
          <t/>
        </is>
      </c>
      <c r="I1034" s="33" t="inlineStr">
        <is>
          <t/>
        </is>
      </c>
      <c r="J1034" s="34" t="inlineStr">
        <is>
          <t/>
        </is>
      </c>
      <c r="K1034" s="35" t="inlineStr">
        <is>
          <t>Privately Held (backing)</t>
        </is>
      </c>
      <c r="L1034" s="36" t="inlineStr">
        <is>
          <t>Accelerator/Incubator Backed</t>
        </is>
      </c>
      <c r="M1034" s="37" t="n">
        <v>42821.0</v>
      </c>
      <c r="N1034" s="38" t="inlineStr">
        <is>
          <t>Accelerator/Incubator</t>
        </is>
      </c>
      <c r="O1034" s="39" t="inlineStr">
        <is>
          <t/>
        </is>
      </c>
      <c r="P1034" s="102">
        <f>HYPERLINK("https://my.pitchbook.com?c=169410-52", "View company online")</f>
      </c>
    </row>
    <row r="1035">
      <c r="A1035" s="9" t="inlineStr">
        <is>
          <t>121588-03</t>
        </is>
      </c>
      <c r="B1035" s="10" t="inlineStr">
        <is>
          <t>SUB2r</t>
        </is>
      </c>
      <c r="C1035" s="77">
        <f>HYPERLINK("https://my.pitchbook.com?rrp=121588-03&amp;type=c", "This Company's information is not available to download. Need this Company? Request availability")</f>
      </c>
      <c r="D1035" s="12" t="inlineStr">
        <is>
          <t/>
        </is>
      </c>
      <c r="E1035" s="13" t="inlineStr">
        <is>
          <t/>
        </is>
      </c>
      <c r="F1035" s="14" t="inlineStr">
        <is>
          <t/>
        </is>
      </c>
      <c r="G1035" s="15" t="inlineStr">
        <is>
          <t/>
        </is>
      </c>
      <c r="H1035" s="16" t="inlineStr">
        <is>
          <t/>
        </is>
      </c>
      <c r="I1035" s="17" t="inlineStr">
        <is>
          <t/>
        </is>
      </c>
      <c r="J1035" s="18" t="inlineStr">
        <is>
          <t/>
        </is>
      </c>
      <c r="K1035" s="19" t="inlineStr">
        <is>
          <t/>
        </is>
      </c>
      <c r="L1035" s="20" t="inlineStr">
        <is>
          <t/>
        </is>
      </c>
      <c r="M1035" s="21" t="inlineStr">
        <is>
          <t/>
        </is>
      </c>
      <c r="N1035" s="22" t="inlineStr">
        <is>
          <t/>
        </is>
      </c>
      <c r="O1035" s="23" t="inlineStr">
        <is>
          <t/>
        </is>
      </c>
      <c r="P1035" s="24" t="inlineStr">
        <is>
          <t/>
        </is>
      </c>
    </row>
    <row r="1036">
      <c r="A1036" s="25" t="inlineStr">
        <is>
          <t>117281-89</t>
        </is>
      </c>
      <c r="B1036" s="26" t="inlineStr">
        <is>
          <t>Stylematic</t>
        </is>
      </c>
      <c r="C1036" s="27" t="inlineStr">
        <is>
          <t/>
        </is>
      </c>
      <c r="D1036" s="28" t="inlineStr">
        <is>
          <t/>
        </is>
      </c>
      <c r="E1036" s="29" t="inlineStr">
        <is>
          <t/>
        </is>
      </c>
      <c r="F1036" s="30" t="inlineStr">
        <is>
          <t/>
        </is>
      </c>
      <c r="G1036" s="31" t="inlineStr">
        <is>
          <t/>
        </is>
      </c>
      <c r="H1036" s="32" t="inlineStr">
        <is>
          <t/>
        </is>
      </c>
      <c r="I1036" s="33" t="inlineStr">
        <is>
          <t/>
        </is>
      </c>
      <c r="J1036" s="34" t="inlineStr">
        <is>
          <t/>
        </is>
      </c>
      <c r="K1036" s="35" t="inlineStr">
        <is>
          <t>Privately Held (backing)</t>
        </is>
      </c>
      <c r="L1036" s="36" t="inlineStr">
        <is>
          <t>Accelerator/Incubator Backed</t>
        </is>
      </c>
      <c r="M1036" s="37" t="n">
        <v>42395.0</v>
      </c>
      <c r="N1036" s="38" t="inlineStr">
        <is>
          <t>Seed Round</t>
        </is>
      </c>
      <c r="O1036" s="39" t="n">
        <v>0.3</v>
      </c>
      <c r="P1036" s="102">
        <f>HYPERLINK("https://my.pitchbook.com?c=117281-89", "View company online")</f>
      </c>
    </row>
    <row r="1037">
      <c r="A1037" s="9" t="inlineStr">
        <is>
          <t>97301-62</t>
        </is>
      </c>
      <c r="B1037" s="10" t="inlineStr">
        <is>
          <t>Styku</t>
        </is>
      </c>
      <c r="C1037" s="11" t="inlineStr">
        <is>
          <t/>
        </is>
      </c>
      <c r="D1037" s="12" t="inlineStr">
        <is>
          <t/>
        </is>
      </c>
      <c r="E1037" s="13" t="inlineStr">
        <is>
          <t/>
        </is>
      </c>
      <c r="F1037" s="14" t="inlineStr">
        <is>
          <t/>
        </is>
      </c>
      <c r="G1037" s="15" t="inlineStr">
        <is>
          <t/>
        </is>
      </c>
      <c r="H1037" s="16" t="inlineStr">
        <is>
          <t/>
        </is>
      </c>
      <c r="I1037" s="17" t="inlineStr">
        <is>
          <t/>
        </is>
      </c>
      <c r="J1037" s="18" t="inlineStr">
        <is>
          <t/>
        </is>
      </c>
      <c r="K1037" s="19" t="inlineStr">
        <is>
          <t>Privately Held (backing)</t>
        </is>
      </c>
      <c r="L1037" s="20" t="inlineStr">
        <is>
          <t>Accelerator/Incubator Backed</t>
        </is>
      </c>
      <c r="M1037" s="21" t="n">
        <v>41088.0</v>
      </c>
      <c r="N1037" s="22" t="inlineStr">
        <is>
          <t>Seed Round</t>
        </is>
      </c>
      <c r="O1037" s="23" t="n">
        <v>0.91</v>
      </c>
      <c r="P1037" s="101">
        <f>HYPERLINK("https://my.pitchbook.com?c=97301-62", "View company online")</f>
      </c>
    </row>
    <row r="1038">
      <c r="A1038" s="25" t="inlineStr">
        <is>
          <t>90339-40</t>
        </is>
      </c>
      <c r="B1038" s="26" t="inlineStr">
        <is>
          <t>StudyRoom</t>
        </is>
      </c>
      <c r="C1038" s="27" t="inlineStr">
        <is>
          <t/>
        </is>
      </c>
      <c r="D1038" s="28" t="inlineStr">
        <is>
          <t/>
        </is>
      </c>
      <c r="E1038" s="29" t="inlineStr">
        <is>
          <t/>
        </is>
      </c>
      <c r="F1038" s="30" t="inlineStr">
        <is>
          <t/>
        </is>
      </c>
      <c r="G1038" s="31" t="inlineStr">
        <is>
          <t/>
        </is>
      </c>
      <c r="H1038" s="32" t="inlineStr">
        <is>
          <t/>
        </is>
      </c>
      <c r="I1038" s="33" t="inlineStr">
        <is>
          <t/>
        </is>
      </c>
      <c r="J1038" s="34" t="inlineStr">
        <is>
          <t/>
        </is>
      </c>
      <c r="K1038" s="35" t="inlineStr">
        <is>
          <t>Privately Held (backing)</t>
        </is>
      </c>
      <c r="L1038" s="36" t="inlineStr">
        <is>
          <t>Accelerator/Incubator Backed</t>
        </is>
      </c>
      <c r="M1038" s="37" t="n">
        <v>41940.0</v>
      </c>
      <c r="N1038" s="38" t="inlineStr">
        <is>
          <t>Angel (individual)</t>
        </is>
      </c>
      <c r="O1038" s="39" t="inlineStr">
        <is>
          <t/>
        </is>
      </c>
      <c r="P1038" s="102">
        <f>HYPERLINK("https://my.pitchbook.com?c=90339-40", "View company online")</f>
      </c>
    </row>
    <row r="1039">
      <c r="A1039" s="9" t="inlineStr">
        <is>
          <t>92553-49</t>
        </is>
      </c>
      <c r="B1039" s="10" t="inlineStr">
        <is>
          <t>StudyPad</t>
        </is>
      </c>
      <c r="C1039" s="11" t="inlineStr">
        <is>
          <t/>
        </is>
      </c>
      <c r="D1039" s="12" t="inlineStr">
        <is>
          <t/>
        </is>
      </c>
      <c r="E1039" s="13" t="inlineStr">
        <is>
          <t/>
        </is>
      </c>
      <c r="F1039" s="14" t="inlineStr">
        <is>
          <t/>
        </is>
      </c>
      <c r="G1039" s="15" t="inlineStr">
        <is>
          <t/>
        </is>
      </c>
      <c r="H1039" s="16" t="inlineStr">
        <is>
          <t/>
        </is>
      </c>
      <c r="I1039" s="17" t="inlineStr">
        <is>
          <t/>
        </is>
      </c>
      <c r="J1039" s="18" t="inlineStr">
        <is>
          <t/>
        </is>
      </c>
      <c r="K1039" s="19" t="inlineStr">
        <is>
          <t>Privately Held (backing)</t>
        </is>
      </c>
      <c r="L1039" s="20" t="inlineStr">
        <is>
          <t>Angel-Backed</t>
        </is>
      </c>
      <c r="M1039" s="21" t="n">
        <v>40504.0</v>
      </c>
      <c r="N1039" s="22" t="inlineStr">
        <is>
          <t>Angel (individual)</t>
        </is>
      </c>
      <c r="O1039" s="23" t="n">
        <v>0.2</v>
      </c>
      <c r="P1039" s="101">
        <f>HYPERLINK("https://my.pitchbook.com?c=92553-49", "View company online")</f>
      </c>
    </row>
    <row r="1040">
      <c r="A1040" s="25" t="inlineStr">
        <is>
          <t>98444-89</t>
        </is>
      </c>
      <c r="B1040" s="26" t="inlineStr">
        <is>
          <t>Study Notes</t>
        </is>
      </c>
      <c r="C1040" s="27" t="inlineStr">
        <is>
          <t/>
        </is>
      </c>
      <c r="D1040" s="28" t="inlineStr">
        <is>
          <t/>
        </is>
      </c>
      <c r="E1040" s="29" t="inlineStr">
        <is>
          <t/>
        </is>
      </c>
      <c r="F1040" s="30" t="inlineStr">
        <is>
          <t/>
        </is>
      </c>
      <c r="G1040" s="31" t="inlineStr">
        <is>
          <t/>
        </is>
      </c>
      <c r="H1040" s="32" t="inlineStr">
        <is>
          <t/>
        </is>
      </c>
      <c r="I1040" s="33" t="inlineStr">
        <is>
          <t/>
        </is>
      </c>
      <c r="J1040" s="34" t="inlineStr">
        <is>
          <t/>
        </is>
      </c>
      <c r="K1040" s="35" t="inlineStr">
        <is>
          <t>Privately Held (backing)</t>
        </is>
      </c>
      <c r="L1040" s="36" t="inlineStr">
        <is>
          <t>Accelerator/Incubator Backed</t>
        </is>
      </c>
      <c r="M1040" s="37" t="inlineStr">
        <is>
          <t/>
        </is>
      </c>
      <c r="N1040" s="38" t="inlineStr">
        <is>
          <t>Accelerator/Incubator</t>
        </is>
      </c>
      <c r="O1040" s="39" t="inlineStr">
        <is>
          <t/>
        </is>
      </c>
      <c r="P1040" s="102">
        <f>HYPERLINK("https://my.pitchbook.com?c=98444-89", "View company online")</f>
      </c>
    </row>
    <row r="1041">
      <c r="A1041" s="9" t="inlineStr">
        <is>
          <t>98926-21</t>
        </is>
      </c>
      <c r="B1041" s="10" t="inlineStr">
        <is>
          <t>Studio Dental</t>
        </is>
      </c>
      <c r="C1041" s="11" t="inlineStr">
        <is>
          <t/>
        </is>
      </c>
      <c r="D1041" s="12" t="inlineStr">
        <is>
          <t/>
        </is>
      </c>
      <c r="E1041" s="13" t="inlineStr">
        <is>
          <t/>
        </is>
      </c>
      <c r="F1041" s="14" t="inlineStr">
        <is>
          <t/>
        </is>
      </c>
      <c r="G1041" s="15" t="inlineStr">
        <is>
          <t/>
        </is>
      </c>
      <c r="H1041" s="16" t="inlineStr">
        <is>
          <t/>
        </is>
      </c>
      <c r="I1041" s="17" t="inlineStr">
        <is>
          <t/>
        </is>
      </c>
      <c r="J1041" s="18" t="inlineStr">
        <is>
          <t/>
        </is>
      </c>
      <c r="K1041" s="19" t="inlineStr">
        <is>
          <t>Privately Held (backing)</t>
        </is>
      </c>
      <c r="L1041" s="20" t="inlineStr">
        <is>
          <t>Accelerator/Incubator Backed</t>
        </is>
      </c>
      <c r="M1041" s="21" t="n">
        <v>41779.0</v>
      </c>
      <c r="N1041" s="22" t="inlineStr">
        <is>
          <t>Accelerator/Incubator</t>
        </is>
      </c>
      <c r="O1041" s="23" t="n">
        <v>0.1</v>
      </c>
      <c r="P1041" s="101">
        <f>HYPERLINK("https://my.pitchbook.com?c=98926-21", "View company online")</f>
      </c>
    </row>
    <row r="1042">
      <c r="A1042" s="25" t="inlineStr">
        <is>
          <t>177444-46</t>
        </is>
      </c>
      <c r="B1042" s="26" t="inlineStr">
        <is>
          <t>Stryde Men</t>
        </is>
      </c>
      <c r="C1042" s="78">
        <f>HYPERLINK("https://my.pitchbook.com?rrp=177444-46&amp;type=c", "This Company's information is not available to download. Need this Company? Request availability")</f>
      </c>
      <c r="D1042" s="28" t="inlineStr">
        <is>
          <t/>
        </is>
      </c>
      <c r="E1042" s="29" t="inlineStr">
        <is>
          <t/>
        </is>
      </c>
      <c r="F1042" s="30" t="inlineStr">
        <is>
          <t/>
        </is>
      </c>
      <c r="G1042" s="31" t="inlineStr">
        <is>
          <t/>
        </is>
      </c>
      <c r="H1042" s="32" t="inlineStr">
        <is>
          <t/>
        </is>
      </c>
      <c r="I1042" s="33" t="inlineStr">
        <is>
          <t/>
        </is>
      </c>
      <c r="J1042" s="34" t="inlineStr">
        <is>
          <t/>
        </is>
      </c>
      <c r="K1042" s="35" t="inlineStr">
        <is>
          <t/>
        </is>
      </c>
      <c r="L1042" s="36" t="inlineStr">
        <is>
          <t/>
        </is>
      </c>
      <c r="M1042" s="37" t="inlineStr">
        <is>
          <t/>
        </is>
      </c>
      <c r="N1042" s="38" t="inlineStr">
        <is>
          <t/>
        </is>
      </c>
      <c r="O1042" s="39" t="inlineStr">
        <is>
          <t/>
        </is>
      </c>
      <c r="P1042" s="40" t="inlineStr">
        <is>
          <t/>
        </is>
      </c>
    </row>
    <row r="1043">
      <c r="A1043" s="9" t="inlineStr">
        <is>
          <t>95344-75</t>
        </is>
      </c>
      <c r="B1043" s="10" t="inlineStr">
        <is>
          <t>STRV</t>
        </is>
      </c>
      <c r="C1043" s="11" t="inlineStr">
        <is>
          <t/>
        </is>
      </c>
      <c r="D1043" s="12" t="inlineStr">
        <is>
          <t/>
        </is>
      </c>
      <c r="E1043" s="13" t="inlineStr">
        <is>
          <t/>
        </is>
      </c>
      <c r="F1043" s="14" t="inlineStr">
        <is>
          <t/>
        </is>
      </c>
      <c r="G1043" s="15" t="inlineStr">
        <is>
          <t/>
        </is>
      </c>
      <c r="H1043" s="16" t="inlineStr">
        <is>
          <t/>
        </is>
      </c>
      <c r="I1043" s="17" t="inlineStr">
        <is>
          <t/>
        </is>
      </c>
      <c r="J1043" s="18" t="inlineStr">
        <is>
          <t/>
        </is>
      </c>
      <c r="K1043" s="19" t="inlineStr">
        <is>
          <t>Privately Held (backing)</t>
        </is>
      </c>
      <c r="L1043" s="20" t="inlineStr">
        <is>
          <t>Accelerator/Incubator Backed</t>
        </is>
      </c>
      <c r="M1043" s="21" t="inlineStr">
        <is>
          <t/>
        </is>
      </c>
      <c r="N1043" s="22" t="inlineStr">
        <is>
          <t>Accelerator/Incubator</t>
        </is>
      </c>
      <c r="O1043" s="23" t="inlineStr">
        <is>
          <t/>
        </is>
      </c>
      <c r="P1043" s="101">
        <f>HYPERLINK("https://my.pitchbook.com?c=95344-75", "View company online")</f>
      </c>
    </row>
    <row r="1044">
      <c r="A1044" s="25" t="inlineStr">
        <is>
          <t>155952-64</t>
        </is>
      </c>
      <c r="B1044" s="26" t="inlineStr">
        <is>
          <t>StrongIntro</t>
        </is>
      </c>
      <c r="C1044" s="27" t="inlineStr">
        <is>
          <t/>
        </is>
      </c>
      <c r="D1044" s="28" t="inlineStr">
        <is>
          <t/>
        </is>
      </c>
      <c r="E1044" s="29" t="inlineStr">
        <is>
          <t/>
        </is>
      </c>
      <c r="F1044" s="30" t="inlineStr">
        <is>
          <t/>
        </is>
      </c>
      <c r="G1044" s="31" t="inlineStr">
        <is>
          <t/>
        </is>
      </c>
      <c r="H1044" s="32" t="inlineStr">
        <is>
          <t/>
        </is>
      </c>
      <c r="I1044" s="33" t="inlineStr">
        <is>
          <t/>
        </is>
      </c>
      <c r="J1044" s="34" t="inlineStr">
        <is>
          <t/>
        </is>
      </c>
      <c r="K1044" s="35" t="inlineStr">
        <is>
          <t>Privately Held (backing)</t>
        </is>
      </c>
      <c r="L1044" s="36" t="inlineStr">
        <is>
          <t>Accelerator/Incubator Backed</t>
        </is>
      </c>
      <c r="M1044" s="37" t="inlineStr">
        <is>
          <t/>
        </is>
      </c>
      <c r="N1044" s="38" t="inlineStr">
        <is>
          <t>Grant</t>
        </is>
      </c>
      <c r="O1044" s="39" t="n">
        <v>0.1</v>
      </c>
      <c r="P1044" s="102">
        <f>HYPERLINK("https://my.pitchbook.com?c=155952-64", "View company online")</f>
      </c>
    </row>
    <row r="1045">
      <c r="A1045" s="9" t="inlineStr">
        <is>
          <t>95005-90</t>
        </is>
      </c>
      <c r="B1045" s="10" t="inlineStr">
        <is>
          <t>Stroll</t>
        </is>
      </c>
      <c r="C1045" s="11" t="inlineStr">
        <is>
          <t/>
        </is>
      </c>
      <c r="D1045" s="12" t="inlineStr">
        <is>
          <t/>
        </is>
      </c>
      <c r="E1045" s="13" t="inlineStr">
        <is>
          <t/>
        </is>
      </c>
      <c r="F1045" s="14" t="inlineStr">
        <is>
          <t/>
        </is>
      </c>
      <c r="G1045" s="15" t="inlineStr">
        <is>
          <t/>
        </is>
      </c>
      <c r="H1045" s="16" t="inlineStr">
        <is>
          <t/>
        </is>
      </c>
      <c r="I1045" s="17" t="inlineStr">
        <is>
          <t/>
        </is>
      </c>
      <c r="J1045" s="18" t="inlineStr">
        <is>
          <t/>
        </is>
      </c>
      <c r="K1045" s="19" t="inlineStr">
        <is>
          <t>Privately Held (backing)</t>
        </is>
      </c>
      <c r="L1045" s="20" t="inlineStr">
        <is>
          <t>Accelerator/Incubator Backed</t>
        </is>
      </c>
      <c r="M1045" s="21" t="n">
        <v>42779.0</v>
      </c>
      <c r="N1045" s="22" t="inlineStr">
        <is>
          <t>Accelerator/Incubator</t>
        </is>
      </c>
      <c r="O1045" s="23" t="inlineStr">
        <is>
          <t/>
        </is>
      </c>
      <c r="P1045" s="101">
        <f>HYPERLINK("https://my.pitchbook.com?c=95005-90", "View company online")</f>
      </c>
    </row>
    <row r="1046">
      <c r="A1046" s="25" t="inlineStr">
        <is>
          <t>97269-49</t>
        </is>
      </c>
      <c r="B1046" s="26" t="inlineStr">
        <is>
          <t>Striker Solutions</t>
        </is>
      </c>
      <c r="C1046" s="27" t="inlineStr">
        <is>
          <t/>
        </is>
      </c>
      <c r="D1046" s="28" t="inlineStr">
        <is>
          <t/>
        </is>
      </c>
      <c r="E1046" s="29" t="inlineStr">
        <is>
          <t/>
        </is>
      </c>
      <c r="F1046" s="30" t="inlineStr">
        <is>
          <t/>
        </is>
      </c>
      <c r="G1046" s="31" t="inlineStr">
        <is>
          <t/>
        </is>
      </c>
      <c r="H1046" s="32" t="inlineStr">
        <is>
          <t/>
        </is>
      </c>
      <c r="I1046" s="33" t="inlineStr">
        <is>
          <t/>
        </is>
      </c>
      <c r="J1046" s="34" t="inlineStr">
        <is>
          <t/>
        </is>
      </c>
      <c r="K1046" s="35" t="inlineStr">
        <is>
          <t>Privately Held (backing)</t>
        </is>
      </c>
      <c r="L1046" s="36" t="inlineStr">
        <is>
          <t>Angel-Backed</t>
        </is>
      </c>
      <c r="M1046" s="37" t="inlineStr">
        <is>
          <t/>
        </is>
      </c>
      <c r="N1046" s="38" t="inlineStr">
        <is>
          <t>Angel (individual)</t>
        </is>
      </c>
      <c r="O1046" s="39" t="inlineStr">
        <is>
          <t/>
        </is>
      </c>
      <c r="P1046" s="102">
        <f>HYPERLINK("https://my.pitchbook.com?c=97269-49", "View company online")</f>
      </c>
    </row>
    <row r="1047">
      <c r="A1047" s="9" t="inlineStr">
        <is>
          <t>115412-77</t>
        </is>
      </c>
      <c r="B1047" s="10" t="inlineStr">
        <is>
          <t>Strike Brewing Company</t>
        </is>
      </c>
      <c r="C1047" s="11" t="inlineStr">
        <is>
          <t/>
        </is>
      </c>
      <c r="D1047" s="12" t="inlineStr">
        <is>
          <t/>
        </is>
      </c>
      <c r="E1047" s="13" t="inlineStr">
        <is>
          <t/>
        </is>
      </c>
      <c r="F1047" s="14" t="inlineStr">
        <is>
          <t/>
        </is>
      </c>
      <c r="G1047" s="15" t="inlineStr">
        <is>
          <t/>
        </is>
      </c>
      <c r="H1047" s="16" t="inlineStr">
        <is>
          <t/>
        </is>
      </c>
      <c r="I1047" s="17" t="inlineStr">
        <is>
          <t/>
        </is>
      </c>
      <c r="J1047" s="18" t="inlineStr">
        <is>
          <t/>
        </is>
      </c>
      <c r="K1047" s="19" t="inlineStr">
        <is>
          <t>Privately Held (backing)</t>
        </is>
      </c>
      <c r="L1047" s="20" t="inlineStr">
        <is>
          <t>Angel-Backed</t>
        </is>
      </c>
      <c r="M1047" s="21" t="n">
        <v>42578.0</v>
      </c>
      <c r="N1047" s="22" t="inlineStr">
        <is>
          <t>Early Stage VC</t>
        </is>
      </c>
      <c r="O1047" s="23" t="n">
        <v>0.6</v>
      </c>
      <c r="P1047" s="101">
        <f>HYPERLINK("https://my.pitchbook.com?c=115412-77", "View company online")</f>
      </c>
    </row>
    <row r="1048">
      <c r="A1048" s="25" t="inlineStr">
        <is>
          <t>163624-24</t>
        </is>
      </c>
      <c r="B1048" s="26" t="inlineStr">
        <is>
          <t>StrideSpark</t>
        </is>
      </c>
      <c r="C1048" s="27" t="inlineStr">
        <is>
          <t/>
        </is>
      </c>
      <c r="D1048" s="28" t="inlineStr">
        <is>
          <t/>
        </is>
      </c>
      <c r="E1048" s="29" t="inlineStr">
        <is>
          <t/>
        </is>
      </c>
      <c r="F1048" s="30" t="inlineStr">
        <is>
          <t/>
        </is>
      </c>
      <c r="G1048" s="31" t="inlineStr">
        <is>
          <t/>
        </is>
      </c>
      <c r="H1048" s="32" t="inlineStr">
        <is>
          <t/>
        </is>
      </c>
      <c r="I1048" s="33" t="inlineStr">
        <is>
          <t/>
        </is>
      </c>
      <c r="J1048" s="34" t="inlineStr">
        <is>
          <t/>
        </is>
      </c>
      <c r="K1048" s="35" t="inlineStr">
        <is>
          <t>Privately Held (backing)</t>
        </is>
      </c>
      <c r="L1048" s="36" t="inlineStr">
        <is>
          <t>Angel-Backed</t>
        </is>
      </c>
      <c r="M1048" s="37" t="n">
        <v>42585.0</v>
      </c>
      <c r="N1048" s="38" t="inlineStr">
        <is>
          <t>Seed Round</t>
        </is>
      </c>
      <c r="O1048" s="39" t="n">
        <v>2.73</v>
      </c>
      <c r="P1048" s="102">
        <f>HYPERLINK("https://my.pitchbook.com?c=163624-24", "View company online")</f>
      </c>
    </row>
    <row r="1049">
      <c r="A1049" s="9" t="inlineStr">
        <is>
          <t>119768-59</t>
        </is>
      </c>
      <c r="B1049" s="10" t="inlineStr">
        <is>
          <t>Stride Travel</t>
        </is>
      </c>
      <c r="C1049" s="11" t="inlineStr">
        <is>
          <t/>
        </is>
      </c>
      <c r="D1049" s="12" t="inlineStr">
        <is>
          <t/>
        </is>
      </c>
      <c r="E1049" s="13" t="inlineStr">
        <is>
          <t/>
        </is>
      </c>
      <c r="F1049" s="14" t="inlineStr">
        <is>
          <t/>
        </is>
      </c>
      <c r="G1049" s="15" t="inlineStr">
        <is>
          <t/>
        </is>
      </c>
      <c r="H1049" s="16" t="inlineStr">
        <is>
          <t/>
        </is>
      </c>
      <c r="I1049" s="17" t="inlineStr">
        <is>
          <t/>
        </is>
      </c>
      <c r="J1049" s="18" t="inlineStr">
        <is>
          <t/>
        </is>
      </c>
      <c r="K1049" s="19" t="inlineStr">
        <is>
          <t>Privately Held (backing)</t>
        </is>
      </c>
      <c r="L1049" s="20" t="inlineStr">
        <is>
          <t>Angel-Backed</t>
        </is>
      </c>
      <c r="M1049" s="21" t="n">
        <v>42422.0</v>
      </c>
      <c r="N1049" s="22" t="inlineStr">
        <is>
          <t>Seed Round</t>
        </is>
      </c>
      <c r="O1049" s="23" t="n">
        <v>0.5</v>
      </c>
      <c r="P1049" s="101">
        <f>HYPERLINK("https://my.pitchbook.com?c=119768-59", "View company online")</f>
      </c>
    </row>
    <row r="1050">
      <c r="A1050" s="25" t="inlineStr">
        <is>
          <t>108479-35</t>
        </is>
      </c>
      <c r="B1050" s="26" t="inlineStr">
        <is>
          <t>StrictlyRock.com</t>
        </is>
      </c>
      <c r="C1050" s="78">
        <f>HYPERLINK("https://my.pitchbook.com?rrp=108479-35&amp;type=c", "This Company's information is not available to download. Need this Company? Request availability")</f>
      </c>
      <c r="D1050" s="28" t="inlineStr">
        <is>
          <t/>
        </is>
      </c>
      <c r="E1050" s="29" t="inlineStr">
        <is>
          <t/>
        </is>
      </c>
      <c r="F1050" s="30" t="inlineStr">
        <is>
          <t/>
        </is>
      </c>
      <c r="G1050" s="31" t="inlineStr">
        <is>
          <t/>
        </is>
      </c>
      <c r="H1050" s="32" t="inlineStr">
        <is>
          <t/>
        </is>
      </c>
      <c r="I1050" s="33" t="inlineStr">
        <is>
          <t/>
        </is>
      </c>
      <c r="J1050" s="34" t="inlineStr">
        <is>
          <t/>
        </is>
      </c>
      <c r="K1050" s="35" t="inlineStr">
        <is>
          <t/>
        </is>
      </c>
      <c r="L1050" s="36" t="inlineStr">
        <is>
          <t/>
        </is>
      </c>
      <c r="M1050" s="37" t="inlineStr">
        <is>
          <t/>
        </is>
      </c>
      <c r="N1050" s="38" t="inlineStr">
        <is>
          <t/>
        </is>
      </c>
      <c r="O1050" s="39" t="inlineStr">
        <is>
          <t/>
        </is>
      </c>
      <c r="P1050" s="40" t="inlineStr">
        <is>
          <t/>
        </is>
      </c>
    </row>
    <row r="1051">
      <c r="A1051" s="9" t="inlineStr">
        <is>
          <t>88700-05</t>
        </is>
      </c>
      <c r="B1051" s="10" t="inlineStr">
        <is>
          <t>StrengthPortal</t>
        </is>
      </c>
      <c r="C1051" s="11" t="inlineStr">
        <is>
          <t/>
        </is>
      </c>
      <c r="D1051" s="12" t="inlineStr">
        <is>
          <t/>
        </is>
      </c>
      <c r="E1051" s="13" t="inlineStr">
        <is>
          <t/>
        </is>
      </c>
      <c r="F1051" s="14" t="inlineStr">
        <is>
          <t/>
        </is>
      </c>
      <c r="G1051" s="15" t="inlineStr">
        <is>
          <t/>
        </is>
      </c>
      <c r="H1051" s="16" t="inlineStr">
        <is>
          <t/>
        </is>
      </c>
      <c r="I1051" s="17" t="inlineStr">
        <is>
          <t/>
        </is>
      </c>
      <c r="J1051" s="18" t="inlineStr">
        <is>
          <t/>
        </is>
      </c>
      <c r="K1051" s="19" t="inlineStr">
        <is>
          <t>Privately Held (backing)</t>
        </is>
      </c>
      <c r="L1051" s="20" t="inlineStr">
        <is>
          <t>Accelerator/Incubator Backed</t>
        </is>
      </c>
      <c r="M1051" s="21" t="n">
        <v>42655.0</v>
      </c>
      <c r="N1051" s="22" t="inlineStr">
        <is>
          <t>Angel (individual)</t>
        </is>
      </c>
      <c r="O1051" s="23" t="n">
        <v>0.1</v>
      </c>
      <c r="P1051" s="101">
        <f>HYPERLINK("https://my.pitchbook.com?c=88700-05", "View company online")</f>
      </c>
    </row>
    <row r="1052">
      <c r="A1052" s="25" t="inlineStr">
        <is>
          <t>123273-82</t>
        </is>
      </c>
      <c r="B1052" s="26" t="inlineStr">
        <is>
          <t>Streetmix</t>
        </is>
      </c>
      <c r="C1052" s="27" t="inlineStr">
        <is>
          <t/>
        </is>
      </c>
      <c r="D1052" s="28" t="inlineStr">
        <is>
          <t/>
        </is>
      </c>
      <c r="E1052" s="29" t="inlineStr">
        <is>
          <t/>
        </is>
      </c>
      <c r="F1052" s="30" t="inlineStr">
        <is>
          <t/>
        </is>
      </c>
      <c r="G1052" s="31" t="inlineStr">
        <is>
          <t/>
        </is>
      </c>
      <c r="H1052" s="32" t="inlineStr">
        <is>
          <t/>
        </is>
      </c>
      <c r="I1052" s="33" t="inlineStr">
        <is>
          <t/>
        </is>
      </c>
      <c r="J1052" s="34" t="inlineStr">
        <is>
          <t/>
        </is>
      </c>
      <c r="K1052" s="35" t="inlineStr">
        <is>
          <t>Privately Held (backing)</t>
        </is>
      </c>
      <c r="L1052" s="36" t="inlineStr">
        <is>
          <t>Accelerator/Incubator Backed</t>
        </is>
      </c>
      <c r="M1052" s="37" t="n">
        <v>41493.0</v>
      </c>
      <c r="N1052" s="38" t="inlineStr">
        <is>
          <t>Accelerator/Incubator</t>
        </is>
      </c>
      <c r="O1052" s="39" t="inlineStr">
        <is>
          <t/>
        </is>
      </c>
      <c r="P1052" s="102">
        <f>HYPERLINK("https://my.pitchbook.com?c=123273-82", "View company online")</f>
      </c>
    </row>
    <row r="1053">
      <c r="A1053" s="9" t="inlineStr">
        <is>
          <t>117485-74</t>
        </is>
      </c>
      <c r="B1053" s="10" t="inlineStr">
        <is>
          <t>Streek By Wauw</t>
        </is>
      </c>
      <c r="C1053" s="77">
        <f>HYPERLINK("https://my.pitchbook.com?rrp=117485-74&amp;type=c", "This Company's information is not available to download. Need this Company? Request availability")</f>
      </c>
      <c r="D1053" s="12" t="inlineStr">
        <is>
          <t/>
        </is>
      </c>
      <c r="E1053" s="13" t="inlineStr">
        <is>
          <t/>
        </is>
      </c>
      <c r="F1053" s="14" t="inlineStr">
        <is>
          <t/>
        </is>
      </c>
      <c r="G1053" s="15" t="inlineStr">
        <is>
          <t/>
        </is>
      </c>
      <c r="H1053" s="16" t="inlineStr">
        <is>
          <t/>
        </is>
      </c>
      <c r="I1053" s="17" t="inlineStr">
        <is>
          <t/>
        </is>
      </c>
      <c r="J1053" s="18" t="inlineStr">
        <is>
          <t/>
        </is>
      </c>
      <c r="K1053" s="19" t="inlineStr">
        <is>
          <t/>
        </is>
      </c>
      <c r="L1053" s="20" t="inlineStr">
        <is>
          <t/>
        </is>
      </c>
      <c r="M1053" s="21" t="inlineStr">
        <is>
          <t/>
        </is>
      </c>
      <c r="N1053" s="22" t="inlineStr">
        <is>
          <t/>
        </is>
      </c>
      <c r="O1053" s="23" t="inlineStr">
        <is>
          <t/>
        </is>
      </c>
      <c r="P1053" s="24" t="inlineStr">
        <is>
          <t/>
        </is>
      </c>
    </row>
    <row r="1054">
      <c r="A1054" s="25" t="inlineStr">
        <is>
          <t>94007-71</t>
        </is>
      </c>
      <c r="B1054" s="26" t="inlineStr">
        <is>
          <t>Streamworks Products Group</t>
        </is>
      </c>
      <c r="C1054" s="27" t="inlineStr">
        <is>
          <t/>
        </is>
      </c>
      <c r="D1054" s="28" t="inlineStr">
        <is>
          <t/>
        </is>
      </c>
      <c r="E1054" s="29" t="inlineStr">
        <is>
          <t/>
        </is>
      </c>
      <c r="F1054" s="30" t="inlineStr">
        <is>
          <t/>
        </is>
      </c>
      <c r="G1054" s="31" t="inlineStr">
        <is>
          <t/>
        </is>
      </c>
      <c r="H1054" s="32" t="inlineStr">
        <is>
          <t/>
        </is>
      </c>
      <c r="I1054" s="33" t="inlineStr">
        <is>
          <t/>
        </is>
      </c>
      <c r="J1054" s="34" t="inlineStr">
        <is>
          <t/>
        </is>
      </c>
      <c r="K1054" s="35" t="inlineStr">
        <is>
          <t>Privately Held (backing)</t>
        </is>
      </c>
      <c r="L1054" s="36" t="inlineStr">
        <is>
          <t>Angel-Backed</t>
        </is>
      </c>
      <c r="M1054" s="37" t="n">
        <v>41172.0</v>
      </c>
      <c r="N1054" s="38" t="inlineStr">
        <is>
          <t>Angel (individual)</t>
        </is>
      </c>
      <c r="O1054" s="39" t="n">
        <v>0.95</v>
      </c>
      <c r="P1054" s="102">
        <f>HYPERLINK("https://my.pitchbook.com?c=94007-71", "View company online")</f>
      </c>
    </row>
    <row r="1055">
      <c r="A1055" s="9" t="inlineStr">
        <is>
          <t>118205-47</t>
        </is>
      </c>
      <c r="B1055" s="10" t="inlineStr">
        <is>
          <t>Streamlyzer</t>
        </is>
      </c>
      <c r="C1055" s="77">
        <f>HYPERLINK("https://my.pitchbook.com?rrp=118205-47&amp;type=c", "This Company's information is not available to download. Need this Company? Request availability")</f>
      </c>
      <c r="D1055" s="12" t="inlineStr">
        <is>
          <t/>
        </is>
      </c>
      <c r="E1055" s="13" t="inlineStr">
        <is>
          <t/>
        </is>
      </c>
      <c r="F1055" s="14" t="inlineStr">
        <is>
          <t/>
        </is>
      </c>
      <c r="G1055" s="15" t="inlineStr">
        <is>
          <t/>
        </is>
      </c>
      <c r="H1055" s="16" t="inlineStr">
        <is>
          <t/>
        </is>
      </c>
      <c r="I1055" s="17" t="inlineStr">
        <is>
          <t/>
        </is>
      </c>
      <c r="J1055" s="18" t="inlineStr">
        <is>
          <t/>
        </is>
      </c>
      <c r="K1055" s="19" t="inlineStr">
        <is>
          <t/>
        </is>
      </c>
      <c r="L1055" s="20" t="inlineStr">
        <is>
          <t/>
        </is>
      </c>
      <c r="M1055" s="21" t="inlineStr">
        <is>
          <t/>
        </is>
      </c>
      <c r="N1055" s="22" t="inlineStr">
        <is>
          <t/>
        </is>
      </c>
      <c r="O1055" s="23" t="inlineStr">
        <is>
          <t/>
        </is>
      </c>
      <c r="P1055" s="24" t="inlineStr">
        <is>
          <t/>
        </is>
      </c>
    </row>
    <row r="1056">
      <c r="A1056" s="25" t="inlineStr">
        <is>
          <t>163575-82</t>
        </is>
      </c>
      <c r="B1056" s="26" t="inlineStr">
        <is>
          <t>StreamLoan</t>
        </is>
      </c>
      <c r="C1056" s="27" t="inlineStr">
        <is>
          <t/>
        </is>
      </c>
      <c r="D1056" s="28" t="inlineStr">
        <is>
          <t/>
        </is>
      </c>
      <c r="E1056" s="29" t="inlineStr">
        <is>
          <t/>
        </is>
      </c>
      <c r="F1056" s="30" t="inlineStr">
        <is>
          <t/>
        </is>
      </c>
      <c r="G1056" s="31" t="inlineStr">
        <is>
          <t/>
        </is>
      </c>
      <c r="H1056" s="32" t="inlineStr">
        <is>
          <t/>
        </is>
      </c>
      <c r="I1056" s="33" t="inlineStr">
        <is>
          <t/>
        </is>
      </c>
      <c r="J1056" s="34" t="inlineStr">
        <is>
          <t/>
        </is>
      </c>
      <c r="K1056" s="35" t="inlineStr">
        <is>
          <t>Privately Held (backing)</t>
        </is>
      </c>
      <c r="L1056" s="36" t="inlineStr">
        <is>
          <t>Accelerator/Incubator Backed</t>
        </is>
      </c>
      <c r="M1056" s="37" t="n">
        <v>42583.0</v>
      </c>
      <c r="N1056" s="38" t="inlineStr">
        <is>
          <t>Accelerator/Incubator</t>
        </is>
      </c>
      <c r="O1056" s="39" t="n">
        <v>0.13</v>
      </c>
      <c r="P1056" s="102">
        <f>HYPERLINK("https://my.pitchbook.com?c=163575-82", "View company online")</f>
      </c>
    </row>
    <row r="1057">
      <c r="A1057" s="9" t="inlineStr">
        <is>
          <t>92538-64</t>
        </is>
      </c>
      <c r="B1057" s="10" t="inlineStr">
        <is>
          <t>Streamline Alliance</t>
        </is>
      </c>
      <c r="C1057" s="11" t="inlineStr">
        <is>
          <t/>
        </is>
      </c>
      <c r="D1057" s="12" t="inlineStr">
        <is>
          <t/>
        </is>
      </c>
      <c r="E1057" s="13" t="inlineStr">
        <is>
          <t/>
        </is>
      </c>
      <c r="F1057" s="14" t="inlineStr">
        <is>
          <t/>
        </is>
      </c>
      <c r="G1057" s="15" t="inlineStr">
        <is>
          <t/>
        </is>
      </c>
      <c r="H1057" s="16" t="inlineStr">
        <is>
          <t/>
        </is>
      </c>
      <c r="I1057" s="17" t="inlineStr">
        <is>
          <t/>
        </is>
      </c>
      <c r="J1057" s="18" t="inlineStr">
        <is>
          <t/>
        </is>
      </c>
      <c r="K1057" s="19" t="inlineStr">
        <is>
          <t>Privately Held (backing)</t>
        </is>
      </c>
      <c r="L1057" s="20" t="inlineStr">
        <is>
          <t>Angel-Backed</t>
        </is>
      </c>
      <c r="M1057" s="21" t="n">
        <v>39448.0</v>
      </c>
      <c r="N1057" s="22" t="inlineStr">
        <is>
          <t>Angel (individual)</t>
        </is>
      </c>
      <c r="O1057" s="23" t="n">
        <v>1.0</v>
      </c>
      <c r="P1057" s="101">
        <f>HYPERLINK("https://my.pitchbook.com?c=92538-64", "View company online")</f>
      </c>
    </row>
    <row r="1058">
      <c r="A1058" s="25" t="inlineStr">
        <is>
          <t>180625-33</t>
        </is>
      </c>
      <c r="B1058" s="26" t="inlineStr">
        <is>
          <t>Streakwave</t>
        </is>
      </c>
      <c r="C1058" s="27" t="inlineStr">
        <is>
          <t/>
        </is>
      </c>
      <c r="D1058" s="28" t="inlineStr">
        <is>
          <t/>
        </is>
      </c>
      <c r="E1058" s="29" t="inlineStr">
        <is>
          <t/>
        </is>
      </c>
      <c r="F1058" s="30" t="inlineStr">
        <is>
          <t/>
        </is>
      </c>
      <c r="G1058" s="31" t="inlineStr">
        <is>
          <t/>
        </is>
      </c>
      <c r="H1058" s="32" t="inlineStr">
        <is>
          <t/>
        </is>
      </c>
      <c r="I1058" s="33" t="inlineStr">
        <is>
          <t/>
        </is>
      </c>
      <c r="J1058" s="34" t="inlineStr">
        <is>
          <t/>
        </is>
      </c>
      <c r="K1058" s="35" t="inlineStr">
        <is>
          <t>Privately Held (backing)</t>
        </is>
      </c>
      <c r="L1058" s="36" t="inlineStr">
        <is>
          <t>Angel-Backed</t>
        </is>
      </c>
      <c r="M1058" s="37" t="n">
        <v>38926.0</v>
      </c>
      <c r="N1058" s="38" t="inlineStr">
        <is>
          <t>Angel (individual)</t>
        </is>
      </c>
      <c r="O1058" s="39" t="n">
        <v>0.1</v>
      </c>
      <c r="P1058" s="102">
        <f>HYPERLINK("https://my.pitchbook.com?c=180625-33", "View company online")</f>
      </c>
    </row>
    <row r="1059">
      <c r="A1059" s="9" t="inlineStr">
        <is>
          <t>88698-61</t>
        </is>
      </c>
      <c r="B1059" s="10" t="inlineStr">
        <is>
          <t>Stratosec</t>
        </is>
      </c>
      <c r="C1059" s="11" t="inlineStr">
        <is>
          <t/>
        </is>
      </c>
      <c r="D1059" s="12" t="inlineStr">
        <is>
          <t/>
        </is>
      </c>
      <c r="E1059" s="13" t="inlineStr">
        <is>
          <t/>
        </is>
      </c>
      <c r="F1059" s="14" t="inlineStr">
        <is>
          <t/>
        </is>
      </c>
      <c r="G1059" s="15" t="inlineStr">
        <is>
          <t/>
        </is>
      </c>
      <c r="H1059" s="16" t="inlineStr">
        <is>
          <t/>
        </is>
      </c>
      <c r="I1059" s="17" t="inlineStr">
        <is>
          <t/>
        </is>
      </c>
      <c r="J1059" s="18" t="inlineStr">
        <is>
          <t/>
        </is>
      </c>
      <c r="K1059" s="19" t="inlineStr">
        <is>
          <t>Privately Held (backing)</t>
        </is>
      </c>
      <c r="L1059" s="20" t="inlineStr">
        <is>
          <t>Angel-Backed</t>
        </is>
      </c>
      <c r="M1059" s="21" t="n">
        <v>41486.0</v>
      </c>
      <c r="N1059" s="22" t="inlineStr">
        <is>
          <t>Angel (individual)</t>
        </is>
      </c>
      <c r="O1059" s="23" t="inlineStr">
        <is>
          <t/>
        </is>
      </c>
      <c r="P1059" s="101">
        <f>HYPERLINK("https://my.pitchbook.com?c=88698-61", "View company online")</f>
      </c>
    </row>
    <row r="1060">
      <c r="A1060" s="25" t="inlineStr">
        <is>
          <t>112510-81</t>
        </is>
      </c>
      <c r="B1060" s="26" t="inlineStr">
        <is>
          <t>Strategic Districts</t>
        </is>
      </c>
      <c r="C1060" s="27" t="inlineStr">
        <is>
          <t/>
        </is>
      </c>
      <c r="D1060" s="28" t="inlineStr">
        <is>
          <t/>
        </is>
      </c>
      <c r="E1060" s="29" t="inlineStr">
        <is>
          <t/>
        </is>
      </c>
      <c r="F1060" s="30" t="inlineStr">
        <is>
          <t/>
        </is>
      </c>
      <c r="G1060" s="31" t="inlineStr">
        <is>
          <t/>
        </is>
      </c>
      <c r="H1060" s="32" t="inlineStr">
        <is>
          <t/>
        </is>
      </c>
      <c r="I1060" s="33" t="inlineStr">
        <is>
          <t/>
        </is>
      </c>
      <c r="J1060" s="34" t="inlineStr">
        <is>
          <t/>
        </is>
      </c>
      <c r="K1060" s="35" t="inlineStr">
        <is>
          <t>Privately Held (backing)</t>
        </is>
      </c>
      <c r="L1060" s="36" t="inlineStr">
        <is>
          <t>Angel-Backed</t>
        </is>
      </c>
      <c r="M1060" s="37" t="inlineStr">
        <is>
          <t/>
        </is>
      </c>
      <c r="N1060" s="38" t="inlineStr">
        <is>
          <t>Angel (individual)</t>
        </is>
      </c>
      <c r="O1060" s="39" t="inlineStr">
        <is>
          <t/>
        </is>
      </c>
      <c r="P1060" s="102">
        <f>HYPERLINK("https://my.pitchbook.com?c=112510-81", "View company online")</f>
      </c>
    </row>
    <row r="1061">
      <c r="A1061" s="9" t="inlineStr">
        <is>
          <t>168830-29</t>
        </is>
      </c>
      <c r="B1061" s="10" t="inlineStr">
        <is>
          <t>Stowk</t>
        </is>
      </c>
      <c r="C1061" s="11" t="inlineStr">
        <is>
          <t/>
        </is>
      </c>
      <c r="D1061" s="12" t="inlineStr">
        <is>
          <t/>
        </is>
      </c>
      <c r="E1061" s="13" t="inlineStr">
        <is>
          <t/>
        </is>
      </c>
      <c r="F1061" s="14" t="inlineStr">
        <is>
          <t/>
        </is>
      </c>
      <c r="G1061" s="15" t="inlineStr">
        <is>
          <t/>
        </is>
      </c>
      <c r="H1061" s="16" t="inlineStr">
        <is>
          <t/>
        </is>
      </c>
      <c r="I1061" s="17" t="inlineStr">
        <is>
          <t/>
        </is>
      </c>
      <c r="J1061" s="18" t="inlineStr">
        <is>
          <t/>
        </is>
      </c>
      <c r="K1061" s="19" t="inlineStr">
        <is>
          <t>Privately Held (backing)</t>
        </is>
      </c>
      <c r="L1061" s="20" t="inlineStr">
        <is>
          <t>Accelerator/Incubator Backed</t>
        </is>
      </c>
      <c r="M1061" s="21" t="n">
        <v>42705.0</v>
      </c>
      <c r="N1061" s="22" t="inlineStr">
        <is>
          <t>Accelerator/Incubator</t>
        </is>
      </c>
      <c r="O1061" s="23" t="inlineStr">
        <is>
          <t/>
        </is>
      </c>
      <c r="P1061" s="101">
        <f>HYPERLINK("https://my.pitchbook.com?c=168830-29", "View company online")</f>
      </c>
    </row>
    <row r="1062">
      <c r="A1062" s="25" t="inlineStr">
        <is>
          <t>112548-52</t>
        </is>
      </c>
      <c r="B1062" s="26" t="inlineStr">
        <is>
          <t>StorReduce</t>
        </is>
      </c>
      <c r="C1062" s="27" t="inlineStr">
        <is>
          <t/>
        </is>
      </c>
      <c r="D1062" s="28" t="inlineStr">
        <is>
          <t/>
        </is>
      </c>
      <c r="E1062" s="29" t="inlineStr">
        <is>
          <t/>
        </is>
      </c>
      <c r="F1062" s="30" t="inlineStr">
        <is>
          <t/>
        </is>
      </c>
      <c r="G1062" s="31" t="inlineStr">
        <is>
          <t/>
        </is>
      </c>
      <c r="H1062" s="32" t="inlineStr">
        <is>
          <t/>
        </is>
      </c>
      <c r="I1062" s="33" t="inlineStr">
        <is>
          <t/>
        </is>
      </c>
      <c r="J1062" s="34" t="inlineStr">
        <is>
          <t/>
        </is>
      </c>
      <c r="K1062" s="35" t="inlineStr">
        <is>
          <t>Privately Held (backing)</t>
        </is>
      </c>
      <c r="L1062" s="36" t="inlineStr">
        <is>
          <t>Angel-Backed</t>
        </is>
      </c>
      <c r="M1062" s="37" t="n">
        <v>42127.0</v>
      </c>
      <c r="N1062" s="38" t="inlineStr">
        <is>
          <t>Seed Round</t>
        </is>
      </c>
      <c r="O1062" s="39" t="n">
        <v>0.39</v>
      </c>
      <c r="P1062" s="102">
        <f>HYPERLINK("https://my.pitchbook.com?c=112548-52", "View company online")</f>
      </c>
    </row>
    <row r="1063">
      <c r="A1063" s="9" t="inlineStr">
        <is>
          <t>97266-79</t>
        </is>
      </c>
      <c r="B1063" s="10" t="inlineStr">
        <is>
          <t>Storq</t>
        </is>
      </c>
      <c r="C1063" s="11" t="inlineStr">
        <is>
          <t/>
        </is>
      </c>
      <c r="D1063" s="12" t="inlineStr">
        <is>
          <t/>
        </is>
      </c>
      <c r="E1063" s="13" t="inlineStr">
        <is>
          <t/>
        </is>
      </c>
      <c r="F1063" s="14" t="inlineStr">
        <is>
          <t/>
        </is>
      </c>
      <c r="G1063" s="15" t="inlineStr">
        <is>
          <t/>
        </is>
      </c>
      <c r="H1063" s="16" t="inlineStr">
        <is>
          <t/>
        </is>
      </c>
      <c r="I1063" s="17" t="inlineStr">
        <is>
          <t/>
        </is>
      </c>
      <c r="J1063" s="18" t="inlineStr">
        <is>
          <t/>
        </is>
      </c>
      <c r="K1063" s="19" t="inlineStr">
        <is>
          <t>Privately Held (backing)</t>
        </is>
      </c>
      <c r="L1063" s="20" t="inlineStr">
        <is>
          <t>Angel-Backed</t>
        </is>
      </c>
      <c r="M1063" s="21" t="n">
        <v>41662.0</v>
      </c>
      <c r="N1063" s="22" t="inlineStr">
        <is>
          <t>Angel (individual)</t>
        </is>
      </c>
      <c r="O1063" s="23" t="inlineStr">
        <is>
          <t/>
        </is>
      </c>
      <c r="P1063" s="101">
        <f>HYPERLINK("https://my.pitchbook.com?c=97266-79", "View company online")</f>
      </c>
    </row>
    <row r="1064">
      <c r="A1064" s="25" t="inlineStr">
        <is>
          <t>96767-74</t>
        </is>
      </c>
      <c r="B1064" s="26" t="inlineStr">
        <is>
          <t>Storitz</t>
        </is>
      </c>
      <c r="C1064" s="27" t="inlineStr">
        <is>
          <t/>
        </is>
      </c>
      <c r="D1064" s="28" t="inlineStr">
        <is>
          <t/>
        </is>
      </c>
      <c r="E1064" s="29" t="inlineStr">
        <is>
          <t/>
        </is>
      </c>
      <c r="F1064" s="30" t="inlineStr">
        <is>
          <t/>
        </is>
      </c>
      <c r="G1064" s="31" t="inlineStr">
        <is>
          <t/>
        </is>
      </c>
      <c r="H1064" s="32" t="inlineStr">
        <is>
          <t/>
        </is>
      </c>
      <c r="I1064" s="33" t="inlineStr">
        <is>
          <t/>
        </is>
      </c>
      <c r="J1064" s="34" t="inlineStr">
        <is>
          <t/>
        </is>
      </c>
      <c r="K1064" s="35" t="inlineStr">
        <is>
          <t>Privately Held (backing)</t>
        </is>
      </c>
      <c r="L1064" s="36" t="inlineStr">
        <is>
          <t>Angel-Backed</t>
        </is>
      </c>
      <c r="M1064" s="37" t="n">
        <v>40344.0</v>
      </c>
      <c r="N1064" s="38" t="inlineStr">
        <is>
          <t>Angel (individual)</t>
        </is>
      </c>
      <c r="O1064" s="39" t="n">
        <v>1.5</v>
      </c>
      <c r="P1064" s="102">
        <f>HYPERLINK("https://my.pitchbook.com?c=96767-74", "View company online")</f>
      </c>
    </row>
    <row r="1065">
      <c r="A1065" s="9" t="inlineStr">
        <is>
          <t>166264-75</t>
        </is>
      </c>
      <c r="B1065" s="10" t="inlineStr">
        <is>
          <t>Stoodnt</t>
        </is>
      </c>
      <c r="C1065" s="11" t="inlineStr">
        <is>
          <t/>
        </is>
      </c>
      <c r="D1065" s="12" t="inlineStr">
        <is>
          <t/>
        </is>
      </c>
      <c r="E1065" s="13" t="inlineStr">
        <is>
          <t/>
        </is>
      </c>
      <c r="F1065" s="14" t="inlineStr">
        <is>
          <t/>
        </is>
      </c>
      <c r="G1065" s="15" t="inlineStr">
        <is>
          <t/>
        </is>
      </c>
      <c r="H1065" s="16" t="inlineStr">
        <is>
          <t/>
        </is>
      </c>
      <c r="I1065" s="17" t="inlineStr">
        <is>
          <t/>
        </is>
      </c>
      <c r="J1065" s="18" t="inlineStr">
        <is>
          <t/>
        </is>
      </c>
      <c r="K1065" s="19" t="inlineStr">
        <is>
          <t>Privately Held (backing)</t>
        </is>
      </c>
      <c r="L1065" s="20" t="inlineStr">
        <is>
          <t>Angel-Backed</t>
        </is>
      </c>
      <c r="M1065" s="21" t="n">
        <v>42625.0</v>
      </c>
      <c r="N1065" s="22" t="inlineStr">
        <is>
          <t>Seed Round</t>
        </is>
      </c>
      <c r="O1065" s="23" t="n">
        <v>0.3</v>
      </c>
      <c r="P1065" s="101">
        <f>HYPERLINK("https://my.pitchbook.com?c=166264-75", "View company online")</f>
      </c>
    </row>
    <row r="1066">
      <c r="A1066" s="25" t="inlineStr">
        <is>
          <t>104722-39</t>
        </is>
      </c>
      <c r="B1066" s="26" t="inlineStr">
        <is>
          <t>StockShield</t>
        </is>
      </c>
      <c r="C1066" s="27" t="inlineStr">
        <is>
          <t/>
        </is>
      </c>
      <c r="D1066" s="28" t="inlineStr">
        <is>
          <t/>
        </is>
      </c>
      <c r="E1066" s="29" t="inlineStr">
        <is>
          <t/>
        </is>
      </c>
      <c r="F1066" s="30" t="inlineStr">
        <is>
          <t/>
        </is>
      </c>
      <c r="G1066" s="31" t="inlineStr">
        <is>
          <t/>
        </is>
      </c>
      <c r="H1066" s="32" t="inlineStr">
        <is>
          <t/>
        </is>
      </c>
      <c r="I1066" s="33" t="inlineStr">
        <is>
          <t/>
        </is>
      </c>
      <c r="J1066" s="34" t="inlineStr">
        <is>
          <t/>
        </is>
      </c>
      <c r="K1066" s="35" t="inlineStr">
        <is>
          <t>Privately Held (backing)</t>
        </is>
      </c>
      <c r="L1066" s="36" t="inlineStr">
        <is>
          <t>Angel-Backed</t>
        </is>
      </c>
      <c r="M1066" s="37" t="n">
        <v>42025.0</v>
      </c>
      <c r="N1066" s="38" t="inlineStr">
        <is>
          <t>Angel (individual)</t>
        </is>
      </c>
      <c r="O1066" s="39" t="n">
        <v>1.5</v>
      </c>
      <c r="P1066" s="102">
        <f>HYPERLINK("https://my.pitchbook.com?c=104722-39", "View company online")</f>
      </c>
    </row>
    <row r="1067">
      <c r="A1067" s="9" t="inlineStr">
        <is>
          <t>173885-32</t>
        </is>
      </c>
      <c r="B1067" s="10" t="inlineStr">
        <is>
          <t>Stitzii</t>
        </is>
      </c>
      <c r="C1067" s="77">
        <f>HYPERLINK("https://my.pitchbook.com?rrp=173885-32&amp;type=c", "This Company's information is not available to download. Need this Company? Request availability")</f>
      </c>
      <c r="D1067" s="12" t="inlineStr">
        <is>
          <t/>
        </is>
      </c>
      <c r="E1067" s="13" t="inlineStr">
        <is>
          <t/>
        </is>
      </c>
      <c r="F1067" s="14" t="inlineStr">
        <is>
          <t/>
        </is>
      </c>
      <c r="G1067" s="15" t="inlineStr">
        <is>
          <t/>
        </is>
      </c>
      <c r="H1067" s="16" t="inlineStr">
        <is>
          <t/>
        </is>
      </c>
      <c r="I1067" s="17" t="inlineStr">
        <is>
          <t/>
        </is>
      </c>
      <c r="J1067" s="18" t="inlineStr">
        <is>
          <t/>
        </is>
      </c>
      <c r="K1067" s="19" t="inlineStr">
        <is>
          <t/>
        </is>
      </c>
      <c r="L1067" s="20" t="inlineStr">
        <is>
          <t/>
        </is>
      </c>
      <c r="M1067" s="21" t="inlineStr">
        <is>
          <t/>
        </is>
      </c>
      <c r="N1067" s="22" t="inlineStr">
        <is>
          <t/>
        </is>
      </c>
      <c r="O1067" s="23" t="inlineStr">
        <is>
          <t/>
        </is>
      </c>
      <c r="P1067" s="24" t="inlineStr">
        <is>
          <t/>
        </is>
      </c>
    </row>
    <row r="1068">
      <c r="A1068" s="25" t="inlineStr">
        <is>
          <t>124477-93</t>
        </is>
      </c>
      <c r="B1068" s="26" t="inlineStr">
        <is>
          <t>Stitch (Software Application)</t>
        </is>
      </c>
      <c r="C1068" s="27" t="inlineStr">
        <is>
          <t/>
        </is>
      </c>
      <c r="D1068" s="28" t="inlineStr">
        <is>
          <t/>
        </is>
      </c>
      <c r="E1068" s="29" t="inlineStr">
        <is>
          <t/>
        </is>
      </c>
      <c r="F1068" s="30" t="inlineStr">
        <is>
          <t/>
        </is>
      </c>
      <c r="G1068" s="31" t="inlineStr">
        <is>
          <t/>
        </is>
      </c>
      <c r="H1068" s="32" t="inlineStr">
        <is>
          <t/>
        </is>
      </c>
      <c r="I1068" s="33" t="inlineStr">
        <is>
          <t/>
        </is>
      </c>
      <c r="J1068" s="34" t="inlineStr">
        <is>
          <t/>
        </is>
      </c>
      <c r="K1068" s="35" t="inlineStr">
        <is>
          <t>Privately Held (backing)</t>
        </is>
      </c>
      <c r="L1068" s="36" t="inlineStr">
        <is>
          <t>Accelerator/Incubator Backed</t>
        </is>
      </c>
      <c r="M1068" s="37" t="n">
        <v>42005.0</v>
      </c>
      <c r="N1068" s="38" t="inlineStr">
        <is>
          <t>Accelerator/Incubator</t>
        </is>
      </c>
      <c r="O1068" s="39" t="n">
        <v>0.12</v>
      </c>
      <c r="P1068" s="102">
        <f>HYPERLINK("https://my.pitchbook.com?c=124477-93", "View company online")</f>
      </c>
    </row>
    <row r="1069">
      <c r="A1069" s="9" t="inlineStr">
        <is>
          <t>114481-99</t>
        </is>
      </c>
      <c r="B1069" s="10" t="inlineStr">
        <is>
          <t>Stir Market Beverly</t>
        </is>
      </c>
      <c r="C1069" s="11" t="inlineStr">
        <is>
          <t/>
        </is>
      </c>
      <c r="D1069" s="12" t="inlineStr">
        <is>
          <t/>
        </is>
      </c>
      <c r="E1069" s="13" t="inlineStr">
        <is>
          <t/>
        </is>
      </c>
      <c r="F1069" s="14" t="inlineStr">
        <is>
          <t/>
        </is>
      </c>
      <c r="G1069" s="15" t="inlineStr">
        <is>
          <t/>
        </is>
      </c>
      <c r="H1069" s="16" t="inlineStr">
        <is>
          <t/>
        </is>
      </c>
      <c r="I1069" s="17" t="inlineStr">
        <is>
          <t/>
        </is>
      </c>
      <c r="J1069" s="18" t="inlineStr">
        <is>
          <t/>
        </is>
      </c>
      <c r="K1069" s="19" t="inlineStr">
        <is>
          <t>Privately Held (backing)</t>
        </is>
      </c>
      <c r="L1069" s="20" t="inlineStr">
        <is>
          <t>Angel-Backed</t>
        </is>
      </c>
      <c r="M1069" s="21" t="n">
        <v>42150.0</v>
      </c>
      <c r="N1069" s="22" t="inlineStr">
        <is>
          <t>Angel (individual)</t>
        </is>
      </c>
      <c r="O1069" s="23" t="n">
        <v>1.28</v>
      </c>
      <c r="P1069" s="101">
        <f>HYPERLINK("https://my.pitchbook.com?c=114481-99", "View company online")</f>
      </c>
    </row>
    <row r="1070">
      <c r="A1070" s="25" t="inlineStr">
        <is>
          <t>155873-44</t>
        </is>
      </c>
      <c r="B1070" s="26" t="inlineStr">
        <is>
          <t>Stilt</t>
        </is>
      </c>
      <c r="C1070" s="27" t="inlineStr">
        <is>
          <t/>
        </is>
      </c>
      <c r="D1070" s="28" t="inlineStr">
        <is>
          <t/>
        </is>
      </c>
      <c r="E1070" s="29" t="inlineStr">
        <is>
          <t/>
        </is>
      </c>
      <c r="F1070" s="30" t="inlineStr">
        <is>
          <t/>
        </is>
      </c>
      <c r="G1070" s="31" t="inlineStr">
        <is>
          <t/>
        </is>
      </c>
      <c r="H1070" s="32" t="inlineStr">
        <is>
          <t/>
        </is>
      </c>
      <c r="I1070" s="33" t="inlineStr">
        <is>
          <t/>
        </is>
      </c>
      <c r="J1070" s="34" t="inlineStr">
        <is>
          <t/>
        </is>
      </c>
      <c r="K1070" s="35" t="inlineStr">
        <is>
          <t>Privately Held (backing)</t>
        </is>
      </c>
      <c r="L1070" s="36" t="inlineStr">
        <is>
          <t>Accelerator/Incubator Backed</t>
        </is>
      </c>
      <c r="M1070" s="37" t="n">
        <v>42873.0</v>
      </c>
      <c r="N1070" s="38" t="inlineStr">
        <is>
          <t>Angel (individual)</t>
        </is>
      </c>
      <c r="O1070" s="39" t="n">
        <v>2.29</v>
      </c>
      <c r="P1070" s="102">
        <f>HYPERLINK("https://my.pitchbook.com?c=155873-44", "View company online")</f>
      </c>
    </row>
    <row r="1071">
      <c r="A1071" s="9" t="inlineStr">
        <is>
          <t>95358-43</t>
        </is>
      </c>
      <c r="B1071" s="10" t="inlineStr">
        <is>
          <t>Stillwater Supercomputing</t>
        </is>
      </c>
      <c r="C1071" s="11" t="inlineStr">
        <is>
          <t/>
        </is>
      </c>
      <c r="D1071" s="12" t="inlineStr">
        <is>
          <t/>
        </is>
      </c>
      <c r="E1071" s="13" t="inlineStr">
        <is>
          <t/>
        </is>
      </c>
      <c r="F1071" s="14" t="inlineStr">
        <is>
          <t/>
        </is>
      </c>
      <c r="G1071" s="15" t="inlineStr">
        <is>
          <t/>
        </is>
      </c>
      <c r="H1071" s="16" t="inlineStr">
        <is>
          <t/>
        </is>
      </c>
      <c r="I1071" s="17" t="inlineStr">
        <is>
          <t/>
        </is>
      </c>
      <c r="J1071" s="18" t="inlineStr">
        <is>
          <t/>
        </is>
      </c>
      <c r="K1071" s="19" t="inlineStr">
        <is>
          <t>Privately Held (backing)</t>
        </is>
      </c>
      <c r="L1071" s="20" t="inlineStr">
        <is>
          <t>Angel-Backed</t>
        </is>
      </c>
      <c r="M1071" s="21" t="n">
        <v>38930.0</v>
      </c>
      <c r="N1071" s="22" t="inlineStr">
        <is>
          <t>Seed Round</t>
        </is>
      </c>
      <c r="O1071" s="23" t="n">
        <v>0.25</v>
      </c>
      <c r="P1071" s="101">
        <f>HYPERLINK("https://my.pitchbook.com?c=95358-43", "View company online")</f>
      </c>
    </row>
    <row r="1072">
      <c r="A1072" s="25" t="inlineStr">
        <is>
          <t>118176-31</t>
        </is>
      </c>
      <c r="B1072" s="26" t="inlineStr">
        <is>
          <t>Stigma</t>
        </is>
      </c>
      <c r="C1072" s="27" t="inlineStr">
        <is>
          <t/>
        </is>
      </c>
      <c r="D1072" s="28" t="inlineStr">
        <is>
          <t/>
        </is>
      </c>
      <c r="E1072" s="29" t="inlineStr">
        <is>
          <t/>
        </is>
      </c>
      <c r="F1072" s="30" t="inlineStr">
        <is>
          <t/>
        </is>
      </c>
      <c r="G1072" s="31" t="inlineStr">
        <is>
          <t/>
        </is>
      </c>
      <c r="H1072" s="32" t="inlineStr">
        <is>
          <t/>
        </is>
      </c>
      <c r="I1072" s="33" t="inlineStr">
        <is>
          <t/>
        </is>
      </c>
      <c r="J1072" s="34" t="inlineStr">
        <is>
          <t/>
        </is>
      </c>
      <c r="K1072" s="35" t="inlineStr">
        <is>
          <t>Privately Held (backing)</t>
        </is>
      </c>
      <c r="L1072" s="36" t="inlineStr">
        <is>
          <t>Accelerator/Incubator Backed</t>
        </is>
      </c>
      <c r="M1072" s="37" t="inlineStr">
        <is>
          <t/>
        </is>
      </c>
      <c r="N1072" s="38" t="inlineStr">
        <is>
          <t>Accelerator/Incubator</t>
        </is>
      </c>
      <c r="O1072" s="39" t="n">
        <v>0.02</v>
      </c>
      <c r="P1072" s="102">
        <f>HYPERLINK("https://my.pitchbook.com?c=118176-31", "View company online")</f>
      </c>
    </row>
    <row r="1073">
      <c r="A1073" s="9" t="inlineStr">
        <is>
          <t>124877-89</t>
        </is>
      </c>
      <c r="B1073" s="10" t="inlineStr">
        <is>
          <t>Sterile Air</t>
        </is>
      </c>
      <c r="C1073" s="11" t="inlineStr">
        <is>
          <t/>
        </is>
      </c>
      <c r="D1073" s="12" t="inlineStr">
        <is>
          <t/>
        </is>
      </c>
      <c r="E1073" s="13" t="inlineStr">
        <is>
          <t/>
        </is>
      </c>
      <c r="F1073" s="14" t="inlineStr">
        <is>
          <t/>
        </is>
      </c>
      <c r="G1073" s="15" t="inlineStr">
        <is>
          <t/>
        </is>
      </c>
      <c r="H1073" s="16" t="inlineStr">
        <is>
          <t/>
        </is>
      </c>
      <c r="I1073" s="17" t="inlineStr">
        <is>
          <t/>
        </is>
      </c>
      <c r="J1073" s="18" t="inlineStr">
        <is>
          <t/>
        </is>
      </c>
      <c r="K1073" s="19" t="inlineStr">
        <is>
          <t>Privately Held (backing)</t>
        </is>
      </c>
      <c r="L1073" s="20" t="inlineStr">
        <is>
          <t>Accelerator/Incubator Backed</t>
        </is>
      </c>
      <c r="M1073" s="21" t="n">
        <v>41670.0</v>
      </c>
      <c r="N1073" s="22" t="inlineStr">
        <is>
          <t>Accelerator/Incubator</t>
        </is>
      </c>
      <c r="O1073" s="23" t="n">
        <v>0.03</v>
      </c>
      <c r="P1073" s="101">
        <f>HYPERLINK("https://my.pitchbook.com?c=124877-89", "View company online")</f>
      </c>
    </row>
    <row r="1074">
      <c r="A1074" s="25" t="inlineStr">
        <is>
          <t>102959-65</t>
        </is>
      </c>
      <c r="B1074" s="26" t="inlineStr">
        <is>
          <t>StereoVision Imaging</t>
        </is>
      </c>
      <c r="C1074" s="27" t="inlineStr">
        <is>
          <t/>
        </is>
      </c>
      <c r="D1074" s="28" t="inlineStr">
        <is>
          <t/>
        </is>
      </c>
      <c r="E1074" s="29" t="inlineStr">
        <is>
          <t/>
        </is>
      </c>
      <c r="F1074" s="30" t="inlineStr">
        <is>
          <t/>
        </is>
      </c>
      <c r="G1074" s="31" t="inlineStr">
        <is>
          <t/>
        </is>
      </c>
      <c r="H1074" s="32" t="inlineStr">
        <is>
          <t/>
        </is>
      </c>
      <c r="I1074" s="33" t="inlineStr">
        <is>
          <t/>
        </is>
      </c>
      <c r="J1074" s="34" t="inlineStr">
        <is>
          <t/>
        </is>
      </c>
      <c r="K1074" s="35" t="inlineStr">
        <is>
          <t>Privately Held (backing)</t>
        </is>
      </c>
      <c r="L1074" s="36" t="inlineStr">
        <is>
          <t>Angel-Backed</t>
        </is>
      </c>
      <c r="M1074" s="37" t="n">
        <v>42304.0</v>
      </c>
      <c r="N1074" s="38" t="inlineStr">
        <is>
          <t>Angel (individual)</t>
        </is>
      </c>
      <c r="O1074" s="39" t="inlineStr">
        <is>
          <t/>
        </is>
      </c>
      <c r="P1074" s="102">
        <f>HYPERLINK("https://my.pitchbook.com?c=102959-65", "View company online")</f>
      </c>
    </row>
    <row r="1075">
      <c r="A1075" s="9" t="inlineStr">
        <is>
          <t>94998-61</t>
        </is>
      </c>
      <c r="B1075" s="10" t="inlineStr">
        <is>
          <t>Stereolabs</t>
        </is>
      </c>
      <c r="C1075" s="11" t="inlineStr">
        <is>
          <t/>
        </is>
      </c>
      <c r="D1075" s="12" t="inlineStr">
        <is>
          <t/>
        </is>
      </c>
      <c r="E1075" s="13" t="inlineStr">
        <is>
          <t/>
        </is>
      </c>
      <c r="F1075" s="14" t="inlineStr">
        <is>
          <t/>
        </is>
      </c>
      <c r="G1075" s="15" t="inlineStr">
        <is>
          <t/>
        </is>
      </c>
      <c r="H1075" s="16" t="inlineStr">
        <is>
          <t/>
        </is>
      </c>
      <c r="I1075" s="17" t="inlineStr">
        <is>
          <t/>
        </is>
      </c>
      <c r="J1075" s="18" t="inlineStr">
        <is>
          <t/>
        </is>
      </c>
      <c r="K1075" s="19" t="inlineStr">
        <is>
          <t>Privately Held (backing)</t>
        </is>
      </c>
      <c r="L1075" s="20" t="inlineStr">
        <is>
          <t>Accelerator/Incubator Backed</t>
        </is>
      </c>
      <c r="M1075" s="21" t="inlineStr">
        <is>
          <t/>
        </is>
      </c>
      <c r="N1075" s="22" t="inlineStr">
        <is>
          <t>Early Stage VC</t>
        </is>
      </c>
      <c r="O1075" s="23" t="inlineStr">
        <is>
          <t/>
        </is>
      </c>
      <c r="P1075" s="101">
        <f>HYPERLINK("https://my.pitchbook.com?c=94998-61", "View company online")</f>
      </c>
    </row>
    <row r="1076">
      <c r="A1076" s="25" t="inlineStr">
        <is>
          <t>90258-31</t>
        </is>
      </c>
      <c r="B1076" s="26" t="inlineStr">
        <is>
          <t>Stereobot</t>
        </is>
      </c>
      <c r="C1076" s="27" t="inlineStr">
        <is>
          <t/>
        </is>
      </c>
      <c r="D1076" s="28" t="inlineStr">
        <is>
          <t/>
        </is>
      </c>
      <c r="E1076" s="29" t="inlineStr">
        <is>
          <t/>
        </is>
      </c>
      <c r="F1076" s="30" t="inlineStr">
        <is>
          <t/>
        </is>
      </c>
      <c r="G1076" s="31" t="inlineStr">
        <is>
          <t/>
        </is>
      </c>
      <c r="H1076" s="32" t="inlineStr">
        <is>
          <t/>
        </is>
      </c>
      <c r="I1076" s="33" t="inlineStr">
        <is>
          <t/>
        </is>
      </c>
      <c r="J1076" s="34" t="inlineStr">
        <is>
          <t/>
        </is>
      </c>
      <c r="K1076" s="35" t="inlineStr">
        <is>
          <t>Privately Held (backing)</t>
        </is>
      </c>
      <c r="L1076" s="36" t="inlineStr">
        <is>
          <t>Angel-Backed</t>
        </is>
      </c>
      <c r="M1076" s="37" t="n">
        <v>41302.0</v>
      </c>
      <c r="N1076" s="38" t="inlineStr">
        <is>
          <t>Angel (individual)</t>
        </is>
      </c>
      <c r="O1076" s="39" t="n">
        <v>0.36</v>
      </c>
      <c r="P1076" s="102">
        <f>HYPERLINK("https://my.pitchbook.com?c=90258-31", "View company online")</f>
      </c>
    </row>
    <row r="1077">
      <c r="A1077" s="9" t="inlineStr">
        <is>
          <t>113600-89</t>
        </is>
      </c>
      <c r="B1077" s="10" t="inlineStr">
        <is>
          <t>Stepping Stories</t>
        </is>
      </c>
      <c r="C1077" s="77">
        <f>HYPERLINK("https://my.pitchbook.com?rrp=113600-89&amp;type=c", "This Company's information is not available to download. Need this Company? Request availability")</f>
      </c>
      <c r="D1077" s="12" t="inlineStr">
        <is>
          <t/>
        </is>
      </c>
      <c r="E1077" s="13" t="inlineStr">
        <is>
          <t/>
        </is>
      </c>
      <c r="F1077" s="14" t="inlineStr">
        <is>
          <t/>
        </is>
      </c>
      <c r="G1077" s="15" t="inlineStr">
        <is>
          <t/>
        </is>
      </c>
      <c r="H1077" s="16" t="inlineStr">
        <is>
          <t/>
        </is>
      </c>
      <c r="I1077" s="17" t="inlineStr">
        <is>
          <t/>
        </is>
      </c>
      <c r="J1077" s="18" t="inlineStr">
        <is>
          <t/>
        </is>
      </c>
      <c r="K1077" s="19" t="inlineStr">
        <is>
          <t/>
        </is>
      </c>
      <c r="L1077" s="20" t="inlineStr">
        <is>
          <t/>
        </is>
      </c>
      <c r="M1077" s="21" t="inlineStr">
        <is>
          <t/>
        </is>
      </c>
      <c r="N1077" s="22" t="inlineStr">
        <is>
          <t/>
        </is>
      </c>
      <c r="O1077" s="23" t="inlineStr">
        <is>
          <t/>
        </is>
      </c>
      <c r="P1077" s="24" t="inlineStr">
        <is>
          <t/>
        </is>
      </c>
    </row>
    <row r="1078">
      <c r="A1078" s="25" t="inlineStr">
        <is>
          <t>123267-61</t>
        </is>
      </c>
      <c r="B1078" s="26" t="inlineStr">
        <is>
          <t>Stephen Kong Consulting</t>
        </is>
      </c>
      <c r="C1078" s="27" t="inlineStr">
        <is>
          <t/>
        </is>
      </c>
      <c r="D1078" s="28" t="inlineStr">
        <is>
          <t/>
        </is>
      </c>
      <c r="E1078" s="29" t="inlineStr">
        <is>
          <t/>
        </is>
      </c>
      <c r="F1078" s="30" t="inlineStr">
        <is>
          <t/>
        </is>
      </c>
      <c r="G1078" s="31" t="inlineStr">
        <is>
          <t/>
        </is>
      </c>
      <c r="H1078" s="32" t="inlineStr">
        <is>
          <t/>
        </is>
      </c>
      <c r="I1078" s="33" t="inlineStr">
        <is>
          <t/>
        </is>
      </c>
      <c r="J1078" s="34" t="inlineStr">
        <is>
          <t/>
        </is>
      </c>
      <c r="K1078" s="35" t="inlineStr">
        <is>
          <t>Privately Held (backing)</t>
        </is>
      </c>
      <c r="L1078" s="36" t="inlineStr">
        <is>
          <t>Accelerator/Incubator Backed</t>
        </is>
      </c>
      <c r="M1078" s="37" t="inlineStr">
        <is>
          <t/>
        </is>
      </c>
      <c r="N1078" s="38" t="inlineStr">
        <is>
          <t>Accelerator/Incubator</t>
        </is>
      </c>
      <c r="O1078" s="39" t="inlineStr">
        <is>
          <t/>
        </is>
      </c>
      <c r="P1078" s="102">
        <f>HYPERLINK("https://my.pitchbook.com?c=123267-61", "View company online")</f>
      </c>
    </row>
    <row r="1079">
      <c r="A1079" s="9" t="inlineStr">
        <is>
          <t>113575-24</t>
        </is>
      </c>
      <c r="B1079" s="10" t="inlineStr">
        <is>
          <t>StepBOT</t>
        </is>
      </c>
      <c r="C1079" s="11" t="inlineStr">
        <is>
          <t/>
        </is>
      </c>
      <c r="D1079" s="12" t="inlineStr">
        <is>
          <t/>
        </is>
      </c>
      <c r="E1079" s="13" t="inlineStr">
        <is>
          <t/>
        </is>
      </c>
      <c r="F1079" s="14" t="inlineStr">
        <is>
          <t/>
        </is>
      </c>
      <c r="G1079" s="15" t="inlineStr">
        <is>
          <t/>
        </is>
      </c>
      <c r="H1079" s="16" t="inlineStr">
        <is>
          <t/>
        </is>
      </c>
      <c r="I1079" s="17" t="inlineStr">
        <is>
          <t/>
        </is>
      </c>
      <c r="J1079" s="18" t="inlineStr">
        <is>
          <t/>
        </is>
      </c>
      <c r="K1079" s="19" t="inlineStr">
        <is>
          <t>Privately Held (backing)</t>
        </is>
      </c>
      <c r="L1079" s="20" t="inlineStr">
        <is>
          <t>Accelerator/Incubator Backed</t>
        </is>
      </c>
      <c r="M1079" s="21" t="n">
        <v>42053.0</v>
      </c>
      <c r="N1079" s="22" t="inlineStr">
        <is>
          <t>Accelerator/Incubator</t>
        </is>
      </c>
      <c r="O1079" s="23" t="inlineStr">
        <is>
          <t/>
        </is>
      </c>
      <c r="P1079" s="101">
        <f>HYPERLINK("https://my.pitchbook.com?c=113575-24", "View company online")</f>
      </c>
    </row>
    <row r="1080">
      <c r="A1080" s="25" t="inlineStr">
        <is>
          <t>95356-90</t>
        </is>
      </c>
      <c r="B1080" s="26" t="inlineStr">
        <is>
          <t>Stencyl</t>
        </is>
      </c>
      <c r="C1080" s="27" t="inlineStr">
        <is>
          <t/>
        </is>
      </c>
      <c r="D1080" s="28" t="inlineStr">
        <is>
          <t/>
        </is>
      </c>
      <c r="E1080" s="29" t="inlineStr">
        <is>
          <t/>
        </is>
      </c>
      <c r="F1080" s="30" t="inlineStr">
        <is>
          <t/>
        </is>
      </c>
      <c r="G1080" s="31" t="inlineStr">
        <is>
          <t/>
        </is>
      </c>
      <c r="H1080" s="32" t="inlineStr">
        <is>
          <t/>
        </is>
      </c>
      <c r="I1080" s="33" t="inlineStr">
        <is>
          <t/>
        </is>
      </c>
      <c r="J1080" s="34" t="inlineStr">
        <is>
          <t/>
        </is>
      </c>
      <c r="K1080" s="35" t="inlineStr">
        <is>
          <t>Privately Held (backing)</t>
        </is>
      </c>
      <c r="L1080" s="36" t="inlineStr">
        <is>
          <t>Accelerator/Incubator Backed</t>
        </is>
      </c>
      <c r="M1080" s="37" t="n">
        <v>40988.0</v>
      </c>
      <c r="N1080" s="38" t="inlineStr">
        <is>
          <t>Seed Round</t>
        </is>
      </c>
      <c r="O1080" s="39" t="inlineStr">
        <is>
          <t/>
        </is>
      </c>
      <c r="P1080" s="102">
        <f>HYPERLINK("https://my.pitchbook.com?c=95356-90", "View company online")</f>
      </c>
    </row>
    <row r="1081">
      <c r="A1081" s="9" t="inlineStr">
        <is>
          <t>148151-26</t>
        </is>
      </c>
      <c r="B1081" s="10" t="inlineStr">
        <is>
          <t>StemPaks</t>
        </is>
      </c>
      <c r="C1081" s="11" t="inlineStr">
        <is>
          <t/>
        </is>
      </c>
      <c r="D1081" s="12" t="inlineStr">
        <is>
          <t/>
        </is>
      </c>
      <c r="E1081" s="13" t="inlineStr">
        <is>
          <t/>
        </is>
      </c>
      <c r="F1081" s="14" t="inlineStr">
        <is>
          <t/>
        </is>
      </c>
      <c r="G1081" s="15" t="inlineStr">
        <is>
          <t/>
        </is>
      </c>
      <c r="H1081" s="16" t="inlineStr">
        <is>
          <t/>
        </is>
      </c>
      <c r="I1081" s="17" t="inlineStr">
        <is>
          <t/>
        </is>
      </c>
      <c r="J1081" s="18" t="inlineStr">
        <is>
          <t/>
        </is>
      </c>
      <c r="K1081" s="19" t="inlineStr">
        <is>
          <t>Privately Held (backing)</t>
        </is>
      </c>
      <c r="L1081" s="20" t="inlineStr">
        <is>
          <t>Accelerator/Incubator Backed</t>
        </is>
      </c>
      <c r="M1081" s="21" t="n">
        <v>41904.0</v>
      </c>
      <c r="N1081" s="22" t="inlineStr">
        <is>
          <t>Accelerator/Incubator</t>
        </is>
      </c>
      <c r="O1081" s="23" t="inlineStr">
        <is>
          <t/>
        </is>
      </c>
      <c r="P1081" s="101">
        <f>HYPERLINK("https://my.pitchbook.com?c=148151-26", "View company online")</f>
      </c>
    </row>
    <row r="1082">
      <c r="A1082" s="25" t="inlineStr">
        <is>
          <t>95356-81</t>
        </is>
      </c>
      <c r="B1082" s="26" t="inlineStr">
        <is>
          <t>STEMP</t>
        </is>
      </c>
      <c r="C1082" s="27" t="inlineStr">
        <is>
          <t/>
        </is>
      </c>
      <c r="D1082" s="28" t="inlineStr">
        <is>
          <t/>
        </is>
      </c>
      <c r="E1082" s="29" t="inlineStr">
        <is>
          <t/>
        </is>
      </c>
      <c r="F1082" s="30" t="inlineStr">
        <is>
          <t/>
        </is>
      </c>
      <c r="G1082" s="31" t="inlineStr">
        <is>
          <t/>
        </is>
      </c>
      <c r="H1082" s="32" t="inlineStr">
        <is>
          <t/>
        </is>
      </c>
      <c r="I1082" s="33" t="inlineStr">
        <is>
          <t/>
        </is>
      </c>
      <c r="J1082" s="34" t="inlineStr">
        <is>
          <t/>
        </is>
      </c>
      <c r="K1082" s="35" t="inlineStr">
        <is>
          <t>Privately Held (backing)</t>
        </is>
      </c>
      <c r="L1082" s="36" t="inlineStr">
        <is>
          <t>Accelerator/Incubator Backed</t>
        </is>
      </c>
      <c r="M1082" s="37" t="n">
        <v>42110.0</v>
      </c>
      <c r="N1082" s="38" t="inlineStr">
        <is>
          <t>Product Crowdfunding</t>
        </is>
      </c>
      <c r="O1082" s="39" t="n">
        <v>0.04</v>
      </c>
      <c r="P1082" s="102">
        <f>HYPERLINK("https://my.pitchbook.com?c=95356-81", "View company online")</f>
      </c>
    </row>
    <row r="1083">
      <c r="A1083" s="9" t="inlineStr">
        <is>
          <t>181335-61</t>
        </is>
      </c>
      <c r="B1083" s="10" t="inlineStr">
        <is>
          <t>Stellic</t>
        </is>
      </c>
      <c r="C1083" s="11" t="inlineStr">
        <is>
          <t/>
        </is>
      </c>
      <c r="D1083" s="12" t="inlineStr">
        <is>
          <t/>
        </is>
      </c>
      <c r="E1083" s="13" t="inlineStr">
        <is>
          <t/>
        </is>
      </c>
      <c r="F1083" s="14" t="inlineStr">
        <is>
          <t/>
        </is>
      </c>
      <c r="G1083" s="15" t="inlineStr">
        <is>
          <t/>
        </is>
      </c>
      <c r="H1083" s="16" t="inlineStr">
        <is>
          <t/>
        </is>
      </c>
      <c r="I1083" s="17" t="inlineStr">
        <is>
          <t/>
        </is>
      </c>
      <c r="J1083" s="18" t="inlineStr">
        <is>
          <t/>
        </is>
      </c>
      <c r="K1083" s="19" t="inlineStr">
        <is>
          <t>Privately Held (backing)</t>
        </is>
      </c>
      <c r="L1083" s="20" t="inlineStr">
        <is>
          <t>Accelerator/Incubator Backed</t>
        </is>
      </c>
      <c r="M1083" s="21" t="n">
        <v>42878.0</v>
      </c>
      <c r="N1083" s="22" t="inlineStr">
        <is>
          <t>Accelerator/Incubator</t>
        </is>
      </c>
      <c r="O1083" s="23" t="n">
        <v>0.04</v>
      </c>
      <c r="P1083" s="101">
        <f>HYPERLINK("https://my.pitchbook.com?c=181335-61", "View company online")</f>
      </c>
    </row>
    <row r="1084">
      <c r="A1084" s="25" t="inlineStr">
        <is>
          <t>65613-88</t>
        </is>
      </c>
      <c r="B1084" s="26" t="inlineStr">
        <is>
          <t>Stellar</t>
        </is>
      </c>
      <c r="C1084" s="27" t="inlineStr">
        <is>
          <t/>
        </is>
      </c>
      <c r="D1084" s="28" t="inlineStr">
        <is>
          <t/>
        </is>
      </c>
      <c r="E1084" s="29" t="inlineStr">
        <is>
          <t/>
        </is>
      </c>
      <c r="F1084" s="30" t="inlineStr">
        <is>
          <t/>
        </is>
      </c>
      <c r="G1084" s="31" t="inlineStr">
        <is>
          <t/>
        </is>
      </c>
      <c r="H1084" s="32" t="inlineStr">
        <is>
          <t/>
        </is>
      </c>
      <c r="I1084" s="33" t="inlineStr">
        <is>
          <t/>
        </is>
      </c>
      <c r="J1084" s="34" t="inlineStr">
        <is>
          <t/>
        </is>
      </c>
      <c r="K1084" s="35" t="inlineStr">
        <is>
          <t>Privately Held (backing)</t>
        </is>
      </c>
      <c r="L1084" s="36" t="inlineStr">
        <is>
          <t>Accelerator/Incubator Backed</t>
        </is>
      </c>
      <c r="M1084" s="37" t="n">
        <v>42604.0</v>
      </c>
      <c r="N1084" s="38" t="inlineStr">
        <is>
          <t>Accelerator/Incubator</t>
        </is>
      </c>
      <c r="O1084" s="39" t="inlineStr">
        <is>
          <t/>
        </is>
      </c>
      <c r="P1084" s="102">
        <f>HYPERLINK("https://my.pitchbook.com?c=65613-88", "View company online")</f>
      </c>
    </row>
    <row r="1085">
      <c r="A1085" s="9" t="inlineStr">
        <is>
          <t>63991-63</t>
        </is>
      </c>
      <c r="B1085" s="10" t="inlineStr">
        <is>
          <t>Steel Wool Entertainment Group</t>
        </is>
      </c>
      <c r="C1085" s="11" t="inlineStr">
        <is>
          <t/>
        </is>
      </c>
      <c r="D1085" s="12" t="inlineStr">
        <is>
          <t/>
        </is>
      </c>
      <c r="E1085" s="13" t="inlineStr">
        <is>
          <t/>
        </is>
      </c>
      <c r="F1085" s="14" t="inlineStr">
        <is>
          <t/>
        </is>
      </c>
      <c r="G1085" s="15" t="inlineStr">
        <is>
          <t/>
        </is>
      </c>
      <c r="H1085" s="16" t="inlineStr">
        <is>
          <t/>
        </is>
      </c>
      <c r="I1085" s="17" t="inlineStr">
        <is>
          <t/>
        </is>
      </c>
      <c r="J1085" s="18" t="inlineStr">
        <is>
          <t/>
        </is>
      </c>
      <c r="K1085" s="19" t="inlineStr">
        <is>
          <t>Privately Held (backing)</t>
        </is>
      </c>
      <c r="L1085" s="20" t="inlineStr">
        <is>
          <t>Angel-Backed</t>
        </is>
      </c>
      <c r="M1085" s="21" t="n">
        <v>41796.0</v>
      </c>
      <c r="N1085" s="22" t="inlineStr">
        <is>
          <t>Angel (individual)</t>
        </is>
      </c>
      <c r="O1085" s="23" t="n">
        <v>1.5</v>
      </c>
      <c r="P1085" s="101">
        <f>HYPERLINK("https://my.pitchbook.com?c=63991-63", "View company online")</f>
      </c>
    </row>
    <row r="1086">
      <c r="A1086" s="25" t="inlineStr">
        <is>
          <t>94996-72</t>
        </is>
      </c>
      <c r="B1086" s="26" t="inlineStr">
        <is>
          <t>Staytuned App</t>
        </is>
      </c>
      <c r="C1086" s="27" t="inlineStr">
        <is>
          <t/>
        </is>
      </c>
      <c r="D1086" s="28" t="inlineStr">
        <is>
          <t/>
        </is>
      </c>
      <c r="E1086" s="29" t="inlineStr">
        <is>
          <t/>
        </is>
      </c>
      <c r="F1086" s="30" t="inlineStr">
        <is>
          <t/>
        </is>
      </c>
      <c r="G1086" s="31" t="inlineStr">
        <is>
          <t/>
        </is>
      </c>
      <c r="H1086" s="32" t="inlineStr">
        <is>
          <t/>
        </is>
      </c>
      <c r="I1086" s="33" t="inlineStr">
        <is>
          <t/>
        </is>
      </c>
      <c r="J1086" s="34" t="inlineStr">
        <is>
          <t/>
        </is>
      </c>
      <c r="K1086" s="35" t="inlineStr">
        <is>
          <t>Privately Held (backing)</t>
        </is>
      </c>
      <c r="L1086" s="36" t="inlineStr">
        <is>
          <t>Accelerator/Incubator Backed</t>
        </is>
      </c>
      <c r="M1086" s="37" t="n">
        <v>41813.0</v>
      </c>
      <c r="N1086" s="38" t="inlineStr">
        <is>
          <t>Accelerator/Incubator</t>
        </is>
      </c>
      <c r="O1086" s="39" t="n">
        <v>0.03</v>
      </c>
      <c r="P1086" s="102">
        <f>HYPERLINK("https://my.pitchbook.com?c=94996-72", "View company online")</f>
      </c>
    </row>
    <row r="1087">
      <c r="A1087" s="9" t="inlineStr">
        <is>
          <t>109032-85</t>
        </is>
      </c>
      <c r="B1087" s="10" t="inlineStr">
        <is>
          <t>Stationfy</t>
        </is>
      </c>
      <c r="C1087" s="77">
        <f>HYPERLINK("https://my.pitchbook.com?rrp=109032-85&amp;type=c", "This Company's information is not available to download. Need this Company? Request availability")</f>
      </c>
      <c r="D1087" s="12" t="inlineStr">
        <is>
          <t/>
        </is>
      </c>
      <c r="E1087" s="13" t="inlineStr">
        <is>
          <t/>
        </is>
      </c>
      <c r="F1087" s="14" t="inlineStr">
        <is>
          <t/>
        </is>
      </c>
      <c r="G1087" s="15" t="inlineStr">
        <is>
          <t/>
        </is>
      </c>
      <c r="H1087" s="16" t="inlineStr">
        <is>
          <t/>
        </is>
      </c>
      <c r="I1087" s="17" t="inlineStr">
        <is>
          <t/>
        </is>
      </c>
      <c r="J1087" s="18" t="inlineStr">
        <is>
          <t/>
        </is>
      </c>
      <c r="K1087" s="19" t="inlineStr">
        <is>
          <t/>
        </is>
      </c>
      <c r="L1087" s="20" t="inlineStr">
        <is>
          <t/>
        </is>
      </c>
      <c r="M1087" s="21" t="inlineStr">
        <is>
          <t/>
        </is>
      </c>
      <c r="N1087" s="22" t="inlineStr">
        <is>
          <t/>
        </is>
      </c>
      <c r="O1087" s="23" t="inlineStr">
        <is>
          <t/>
        </is>
      </c>
      <c r="P1087" s="24" t="inlineStr">
        <is>
          <t/>
        </is>
      </c>
    </row>
    <row r="1088">
      <c r="A1088" s="25" t="inlineStr">
        <is>
          <t>176945-77</t>
        </is>
      </c>
      <c r="B1088" s="26" t="inlineStr">
        <is>
          <t>Station</t>
        </is>
      </c>
      <c r="C1088" s="78">
        <f>HYPERLINK("https://my.pitchbook.com?rrp=176945-77&amp;type=c", "This Company's information is not available to download. Need this Company? Request availability")</f>
      </c>
      <c r="D1088" s="28" t="inlineStr">
        <is>
          <t/>
        </is>
      </c>
      <c r="E1088" s="29" t="inlineStr">
        <is>
          <t/>
        </is>
      </c>
      <c r="F1088" s="30" t="inlineStr">
        <is>
          <t/>
        </is>
      </c>
      <c r="G1088" s="31" t="inlineStr">
        <is>
          <t/>
        </is>
      </c>
      <c r="H1088" s="32" t="inlineStr">
        <is>
          <t/>
        </is>
      </c>
      <c r="I1088" s="33" t="inlineStr">
        <is>
          <t/>
        </is>
      </c>
      <c r="J1088" s="34" t="inlineStr">
        <is>
          <t/>
        </is>
      </c>
      <c r="K1088" s="35" t="inlineStr">
        <is>
          <t/>
        </is>
      </c>
      <c r="L1088" s="36" t="inlineStr">
        <is>
          <t/>
        </is>
      </c>
      <c r="M1088" s="37" t="inlineStr">
        <is>
          <t/>
        </is>
      </c>
      <c r="N1088" s="38" t="inlineStr">
        <is>
          <t/>
        </is>
      </c>
      <c r="O1088" s="39" t="inlineStr">
        <is>
          <t/>
        </is>
      </c>
      <c r="P1088" s="40" t="inlineStr">
        <is>
          <t/>
        </is>
      </c>
    </row>
    <row r="1089">
      <c r="A1089" s="9" t="inlineStr">
        <is>
          <t>92529-73</t>
        </is>
      </c>
      <c r="B1089" s="10" t="inlineStr">
        <is>
          <t>StartupSocials</t>
        </is>
      </c>
      <c r="C1089" s="11" t="inlineStr">
        <is>
          <t/>
        </is>
      </c>
      <c r="D1089" s="12" t="inlineStr">
        <is>
          <t/>
        </is>
      </c>
      <c r="E1089" s="13" t="inlineStr">
        <is>
          <t/>
        </is>
      </c>
      <c r="F1089" s="14" t="inlineStr">
        <is>
          <t/>
        </is>
      </c>
      <c r="G1089" s="15" t="inlineStr">
        <is>
          <t/>
        </is>
      </c>
      <c r="H1089" s="16" t="inlineStr">
        <is>
          <t/>
        </is>
      </c>
      <c r="I1089" s="17" t="inlineStr">
        <is>
          <t/>
        </is>
      </c>
      <c r="J1089" s="18" t="inlineStr">
        <is>
          <t/>
        </is>
      </c>
      <c r="K1089" s="19" t="inlineStr">
        <is>
          <t>Privately Held (backing)</t>
        </is>
      </c>
      <c r="L1089" s="20" t="inlineStr">
        <is>
          <t>Accelerator/Incubator Backed</t>
        </is>
      </c>
      <c r="M1089" s="21" t="inlineStr">
        <is>
          <t/>
        </is>
      </c>
      <c r="N1089" s="22" t="inlineStr">
        <is>
          <t>Accelerator/Incubator</t>
        </is>
      </c>
      <c r="O1089" s="23" t="inlineStr">
        <is>
          <t/>
        </is>
      </c>
      <c r="P1089" s="101">
        <f>HYPERLINK("https://my.pitchbook.com?c=92529-73", "View company online")</f>
      </c>
    </row>
    <row r="1090">
      <c r="A1090" s="25" t="inlineStr">
        <is>
          <t>94964-95</t>
        </is>
      </c>
      <c r="B1090" s="26" t="inlineStr">
        <is>
          <t>StartupHouse</t>
        </is>
      </c>
      <c r="C1090" s="27" t="inlineStr">
        <is>
          <t/>
        </is>
      </c>
      <c r="D1090" s="28" t="inlineStr">
        <is>
          <t/>
        </is>
      </c>
      <c r="E1090" s="29" t="inlineStr">
        <is>
          <t/>
        </is>
      </c>
      <c r="F1090" s="30" t="inlineStr">
        <is>
          <t/>
        </is>
      </c>
      <c r="G1090" s="31" t="inlineStr">
        <is>
          <t/>
        </is>
      </c>
      <c r="H1090" s="32" t="inlineStr">
        <is>
          <t/>
        </is>
      </c>
      <c r="I1090" s="33" t="inlineStr">
        <is>
          <t/>
        </is>
      </c>
      <c r="J1090" s="34" t="inlineStr">
        <is>
          <t/>
        </is>
      </c>
      <c r="K1090" s="35" t="inlineStr">
        <is>
          <t>Privately Held (backing)</t>
        </is>
      </c>
      <c r="L1090" s="36" t="inlineStr">
        <is>
          <t>Accelerator/Incubator Backed</t>
        </is>
      </c>
      <c r="M1090" s="37" t="n">
        <v>41916.0</v>
      </c>
      <c r="N1090" s="38" t="inlineStr">
        <is>
          <t>Angel (individual)</t>
        </is>
      </c>
      <c r="O1090" s="39" t="inlineStr">
        <is>
          <t/>
        </is>
      </c>
      <c r="P1090" s="102">
        <f>HYPERLINK("https://my.pitchbook.com?c=94964-95", "View company online")</f>
      </c>
    </row>
    <row r="1091">
      <c r="A1091" s="9" t="inlineStr">
        <is>
          <t>126533-08</t>
        </is>
      </c>
      <c r="B1091" s="10" t="inlineStr">
        <is>
          <t>Startup Policy Lab</t>
        </is>
      </c>
      <c r="C1091" s="11" t="inlineStr">
        <is>
          <t/>
        </is>
      </c>
      <c r="D1091" s="12" t="inlineStr">
        <is>
          <t/>
        </is>
      </c>
      <c r="E1091" s="13" t="inlineStr">
        <is>
          <t/>
        </is>
      </c>
      <c r="F1091" s="14" t="inlineStr">
        <is>
          <t/>
        </is>
      </c>
      <c r="G1091" s="15" t="inlineStr">
        <is>
          <t/>
        </is>
      </c>
      <c r="H1091" s="16" t="inlineStr">
        <is>
          <t/>
        </is>
      </c>
      <c r="I1091" s="17" t="inlineStr">
        <is>
          <t/>
        </is>
      </c>
      <c r="J1091" s="18" t="inlineStr">
        <is>
          <t/>
        </is>
      </c>
      <c r="K1091" s="19" t="inlineStr">
        <is>
          <t>Privately Held (backing)</t>
        </is>
      </c>
      <c r="L1091" s="20" t="inlineStr">
        <is>
          <t>Accelerator/Incubator Backed</t>
        </is>
      </c>
      <c r="M1091" s="21" t="n">
        <v>42311.0</v>
      </c>
      <c r="N1091" s="22" t="inlineStr">
        <is>
          <t>Grant</t>
        </is>
      </c>
      <c r="O1091" s="23" t="n">
        <v>0.04</v>
      </c>
      <c r="P1091" s="101">
        <f>HYPERLINK("https://my.pitchbook.com?c=126533-08", "View company online")</f>
      </c>
    </row>
    <row r="1092">
      <c r="A1092" s="25" t="inlineStr">
        <is>
          <t>58457-26</t>
        </is>
      </c>
      <c r="B1092" s="26" t="inlineStr">
        <is>
          <t>Startup Grind</t>
        </is>
      </c>
      <c r="C1092" s="27" t="inlineStr">
        <is>
          <t/>
        </is>
      </c>
      <c r="D1092" s="28" t="inlineStr">
        <is>
          <t/>
        </is>
      </c>
      <c r="E1092" s="29" t="inlineStr">
        <is>
          <t/>
        </is>
      </c>
      <c r="F1092" s="30" t="inlineStr">
        <is>
          <t/>
        </is>
      </c>
      <c r="G1092" s="31" t="inlineStr">
        <is>
          <t/>
        </is>
      </c>
      <c r="H1092" s="32" t="inlineStr">
        <is>
          <t/>
        </is>
      </c>
      <c r="I1092" s="33" t="inlineStr">
        <is>
          <t/>
        </is>
      </c>
      <c r="J1092" s="34" t="inlineStr">
        <is>
          <t/>
        </is>
      </c>
      <c r="K1092" s="35" t="inlineStr">
        <is>
          <t>Privately Held (backing)</t>
        </is>
      </c>
      <c r="L1092" s="36" t="inlineStr">
        <is>
          <t>Accelerator/Incubator Backed</t>
        </is>
      </c>
      <c r="M1092" s="37" t="inlineStr">
        <is>
          <t/>
        </is>
      </c>
      <c r="N1092" s="38" t="inlineStr">
        <is>
          <t>Accelerator/Incubator</t>
        </is>
      </c>
      <c r="O1092" s="39" t="inlineStr">
        <is>
          <t/>
        </is>
      </c>
      <c r="P1092" s="102">
        <f>HYPERLINK("https://my.pitchbook.com?c=58457-26", "View company online")</f>
      </c>
    </row>
    <row r="1093">
      <c r="A1093" s="9" t="inlineStr">
        <is>
          <t>151576-39</t>
        </is>
      </c>
      <c r="B1093" s="10" t="inlineStr">
        <is>
          <t>Startup Genius</t>
        </is>
      </c>
      <c r="C1093" s="11" t="inlineStr">
        <is>
          <t/>
        </is>
      </c>
      <c r="D1093" s="12" t="inlineStr">
        <is>
          <t/>
        </is>
      </c>
      <c r="E1093" s="13" t="inlineStr">
        <is>
          <t/>
        </is>
      </c>
      <c r="F1093" s="14" t="inlineStr">
        <is>
          <t/>
        </is>
      </c>
      <c r="G1093" s="15" t="inlineStr">
        <is>
          <t/>
        </is>
      </c>
      <c r="H1093" s="16" t="inlineStr">
        <is>
          <t/>
        </is>
      </c>
      <c r="I1093" s="17" t="inlineStr">
        <is>
          <t/>
        </is>
      </c>
      <c r="J1093" s="18" t="inlineStr">
        <is>
          <t/>
        </is>
      </c>
      <c r="K1093" s="19" t="inlineStr">
        <is>
          <t>Privately Held (backing)</t>
        </is>
      </c>
      <c r="L1093" s="20" t="inlineStr">
        <is>
          <t>Angel-Backed</t>
        </is>
      </c>
      <c r="M1093" s="21" t="n">
        <v>42597.0</v>
      </c>
      <c r="N1093" s="22" t="inlineStr">
        <is>
          <t>Seed Round</t>
        </is>
      </c>
      <c r="O1093" s="23" t="n">
        <v>1.0</v>
      </c>
      <c r="P1093" s="101">
        <f>HYPERLINK("https://my.pitchbook.com?c=151576-39", "View company online")</f>
      </c>
    </row>
    <row r="1094">
      <c r="A1094" s="25" t="inlineStr">
        <is>
          <t>92539-72</t>
        </is>
      </c>
      <c r="B1094" s="26" t="inlineStr">
        <is>
          <t>StartSpanish</t>
        </is>
      </c>
      <c r="C1094" s="78">
        <f>HYPERLINK("https://my.pitchbook.com?rrp=92539-72&amp;type=c", "This Company's information is not available to download. Need this Company? Request availability")</f>
      </c>
      <c r="D1094" s="28" t="inlineStr">
        <is>
          <t/>
        </is>
      </c>
      <c r="E1094" s="29" t="inlineStr">
        <is>
          <t/>
        </is>
      </c>
      <c r="F1094" s="30" t="inlineStr">
        <is>
          <t/>
        </is>
      </c>
      <c r="G1094" s="31" t="inlineStr">
        <is>
          <t/>
        </is>
      </c>
      <c r="H1094" s="32" t="inlineStr">
        <is>
          <t/>
        </is>
      </c>
      <c r="I1094" s="33" t="inlineStr">
        <is>
          <t/>
        </is>
      </c>
      <c r="J1094" s="34" t="inlineStr">
        <is>
          <t/>
        </is>
      </c>
      <c r="K1094" s="35" t="inlineStr">
        <is>
          <t/>
        </is>
      </c>
      <c r="L1094" s="36" t="inlineStr">
        <is>
          <t/>
        </is>
      </c>
      <c r="M1094" s="37" t="inlineStr">
        <is>
          <t/>
        </is>
      </c>
      <c r="N1094" s="38" t="inlineStr">
        <is>
          <t/>
        </is>
      </c>
      <c r="O1094" s="39" t="inlineStr">
        <is>
          <t/>
        </is>
      </c>
      <c r="P1094" s="40" t="inlineStr">
        <is>
          <t/>
        </is>
      </c>
    </row>
    <row r="1095">
      <c r="A1095" s="9" t="inlineStr">
        <is>
          <t>93671-20</t>
        </is>
      </c>
      <c r="B1095" s="10" t="inlineStr">
        <is>
          <t>StartitUp</t>
        </is>
      </c>
      <c r="C1095" s="11" t="inlineStr">
        <is>
          <t/>
        </is>
      </c>
      <c r="D1095" s="12" t="inlineStr">
        <is>
          <t/>
        </is>
      </c>
      <c r="E1095" s="13" t="inlineStr">
        <is>
          <t/>
        </is>
      </c>
      <c r="F1095" s="14" t="inlineStr">
        <is>
          <t/>
        </is>
      </c>
      <c r="G1095" s="15" t="inlineStr">
        <is>
          <t/>
        </is>
      </c>
      <c r="H1095" s="16" t="inlineStr">
        <is>
          <t/>
        </is>
      </c>
      <c r="I1095" s="17" t="inlineStr">
        <is>
          <t/>
        </is>
      </c>
      <c r="J1095" s="18" t="inlineStr">
        <is>
          <t/>
        </is>
      </c>
      <c r="K1095" s="19" t="inlineStr">
        <is>
          <t>Privately Held (backing)</t>
        </is>
      </c>
      <c r="L1095" s="20" t="inlineStr">
        <is>
          <t>Accelerator/Incubator Backed</t>
        </is>
      </c>
      <c r="M1095" s="21" t="n">
        <v>41344.0</v>
      </c>
      <c r="N1095" s="22" t="inlineStr">
        <is>
          <t>Accelerator/Incubator</t>
        </is>
      </c>
      <c r="O1095" s="23" t="n">
        <v>0.01</v>
      </c>
      <c r="P1095" s="101">
        <f>HYPERLINK("https://my.pitchbook.com?c=93671-20", "View company online")</f>
      </c>
    </row>
    <row r="1096">
      <c r="A1096" s="25" t="inlineStr">
        <is>
          <t>92416-69</t>
        </is>
      </c>
      <c r="B1096" s="26" t="inlineStr">
        <is>
          <t>StarsVu</t>
        </is>
      </c>
      <c r="C1096" s="27" t="inlineStr">
        <is>
          <t/>
        </is>
      </c>
      <c r="D1096" s="28" t="inlineStr">
        <is>
          <t/>
        </is>
      </c>
      <c r="E1096" s="29" t="inlineStr">
        <is>
          <t/>
        </is>
      </c>
      <c r="F1096" s="30" t="inlineStr">
        <is>
          <t/>
        </is>
      </c>
      <c r="G1096" s="31" t="inlineStr">
        <is>
          <t/>
        </is>
      </c>
      <c r="H1096" s="32" t="inlineStr">
        <is>
          <t/>
        </is>
      </c>
      <c r="I1096" s="33" t="inlineStr">
        <is>
          <t/>
        </is>
      </c>
      <c r="J1096" s="34" t="inlineStr">
        <is>
          <t/>
        </is>
      </c>
      <c r="K1096" s="35" t="inlineStr">
        <is>
          <t>Privately Held (backing)</t>
        </is>
      </c>
      <c r="L1096" s="36" t="inlineStr">
        <is>
          <t>Angel-Backed</t>
        </is>
      </c>
      <c r="M1096" s="37" t="n">
        <v>40967.0</v>
      </c>
      <c r="N1096" s="38" t="inlineStr">
        <is>
          <t>Seed Round</t>
        </is>
      </c>
      <c r="O1096" s="39" t="n">
        <v>0.15</v>
      </c>
      <c r="P1096" s="102">
        <f>HYPERLINK("https://my.pitchbook.com?c=92416-69", "View company online")</f>
      </c>
    </row>
    <row r="1097">
      <c r="A1097" s="9" t="inlineStr">
        <is>
          <t>93935-17</t>
        </is>
      </c>
      <c r="B1097" s="10" t="inlineStr">
        <is>
          <t>StarGreetz</t>
        </is>
      </c>
      <c r="C1097" s="11" t="inlineStr">
        <is>
          <t/>
        </is>
      </c>
      <c r="D1097" s="12" t="inlineStr">
        <is>
          <t/>
        </is>
      </c>
      <c r="E1097" s="13" t="inlineStr">
        <is>
          <t/>
        </is>
      </c>
      <c r="F1097" s="14" t="inlineStr">
        <is>
          <t/>
        </is>
      </c>
      <c r="G1097" s="15" t="inlineStr">
        <is>
          <t/>
        </is>
      </c>
      <c r="H1097" s="16" t="inlineStr">
        <is>
          <t/>
        </is>
      </c>
      <c r="I1097" s="17" t="inlineStr">
        <is>
          <t/>
        </is>
      </c>
      <c r="J1097" s="18" t="inlineStr">
        <is>
          <t/>
        </is>
      </c>
      <c r="K1097" s="19" t="inlineStr">
        <is>
          <t>Privately Held (backing)</t>
        </is>
      </c>
      <c r="L1097" s="20" t="inlineStr">
        <is>
          <t>Angel-Backed</t>
        </is>
      </c>
      <c r="M1097" s="21" t="n">
        <v>41704.0</v>
      </c>
      <c r="N1097" s="22" t="inlineStr">
        <is>
          <t>Angel (individual)</t>
        </is>
      </c>
      <c r="O1097" s="23" t="inlineStr">
        <is>
          <t/>
        </is>
      </c>
      <c r="P1097" s="101">
        <f>HYPERLINK("https://my.pitchbook.com?c=93935-17", "View company online")</f>
      </c>
    </row>
    <row r="1098">
      <c r="A1098" s="25" t="inlineStr">
        <is>
          <t>172870-12</t>
        </is>
      </c>
      <c r="B1098" s="26" t="inlineStr">
        <is>
          <t>Stardust + Gravity</t>
        </is>
      </c>
      <c r="C1098" s="78">
        <f>HYPERLINK("https://my.pitchbook.com?rrp=172870-12&amp;type=c", "This Company's information is not available to download. Need this Company? Request availability")</f>
      </c>
      <c r="D1098" s="28" t="inlineStr">
        <is>
          <t/>
        </is>
      </c>
      <c r="E1098" s="29" t="inlineStr">
        <is>
          <t/>
        </is>
      </c>
      <c r="F1098" s="30" t="inlineStr">
        <is>
          <t/>
        </is>
      </c>
      <c r="G1098" s="31" t="inlineStr">
        <is>
          <t/>
        </is>
      </c>
      <c r="H1098" s="32" t="inlineStr">
        <is>
          <t/>
        </is>
      </c>
      <c r="I1098" s="33" t="inlineStr">
        <is>
          <t/>
        </is>
      </c>
      <c r="J1098" s="34" t="inlineStr">
        <is>
          <t/>
        </is>
      </c>
      <c r="K1098" s="35" t="inlineStr">
        <is>
          <t/>
        </is>
      </c>
      <c r="L1098" s="36" t="inlineStr">
        <is>
          <t/>
        </is>
      </c>
      <c r="M1098" s="37" t="inlineStr">
        <is>
          <t/>
        </is>
      </c>
      <c r="N1098" s="38" t="inlineStr">
        <is>
          <t/>
        </is>
      </c>
      <c r="O1098" s="39" t="inlineStr">
        <is>
          <t/>
        </is>
      </c>
      <c r="P1098" s="40" t="inlineStr">
        <is>
          <t/>
        </is>
      </c>
    </row>
    <row r="1099">
      <c r="A1099" s="9" t="inlineStr">
        <is>
          <t>166797-01</t>
        </is>
      </c>
      <c r="B1099" s="10" t="inlineStr">
        <is>
          <t>Starbird Chicken</t>
        </is>
      </c>
      <c r="C1099" s="11" t="inlineStr">
        <is>
          <t/>
        </is>
      </c>
      <c r="D1099" s="12" t="inlineStr">
        <is>
          <t/>
        </is>
      </c>
      <c r="E1099" s="13" t="inlineStr">
        <is>
          <t/>
        </is>
      </c>
      <c r="F1099" s="14" t="inlineStr">
        <is>
          <t/>
        </is>
      </c>
      <c r="G1099" s="15" t="inlineStr">
        <is>
          <t/>
        </is>
      </c>
      <c r="H1099" s="16" t="inlineStr">
        <is>
          <t/>
        </is>
      </c>
      <c r="I1099" s="17" t="inlineStr">
        <is>
          <t/>
        </is>
      </c>
      <c r="J1099" s="18" t="inlineStr">
        <is>
          <t/>
        </is>
      </c>
      <c r="K1099" s="19" t="inlineStr">
        <is>
          <t>Privately Held (backing)</t>
        </is>
      </c>
      <c r="L1099" s="20" t="inlineStr">
        <is>
          <t>Accelerator/Incubator Backed</t>
        </is>
      </c>
      <c r="M1099" s="21" t="n">
        <v>42642.0</v>
      </c>
      <c r="N1099" s="22" t="inlineStr">
        <is>
          <t>Angel (individual)</t>
        </is>
      </c>
      <c r="O1099" s="23" t="n">
        <v>5.0</v>
      </c>
      <c r="P1099" s="101">
        <f>HYPERLINK("https://my.pitchbook.com?c=166797-01", "View company online")</f>
      </c>
    </row>
    <row r="1100">
      <c r="A1100" s="25" t="inlineStr">
        <is>
          <t>114464-35</t>
        </is>
      </c>
      <c r="B1100" s="26" t="inlineStr">
        <is>
          <t>Stanson Health</t>
        </is>
      </c>
      <c r="C1100" s="27" t="inlineStr">
        <is>
          <t/>
        </is>
      </c>
      <c r="D1100" s="28" t="inlineStr">
        <is>
          <t/>
        </is>
      </c>
      <c r="E1100" s="29" t="inlineStr">
        <is>
          <t/>
        </is>
      </c>
      <c r="F1100" s="30" t="inlineStr">
        <is>
          <t/>
        </is>
      </c>
      <c r="G1100" s="31" t="inlineStr">
        <is>
          <t/>
        </is>
      </c>
      <c r="H1100" s="32" t="inlineStr">
        <is>
          <t/>
        </is>
      </c>
      <c r="I1100" s="33" t="inlineStr">
        <is>
          <t/>
        </is>
      </c>
      <c r="J1100" s="34" t="inlineStr">
        <is>
          <t/>
        </is>
      </c>
      <c r="K1100" s="35" t="inlineStr">
        <is>
          <t>Privately Held (backing)</t>
        </is>
      </c>
      <c r="L1100" s="36" t="inlineStr">
        <is>
          <t>Angel-Backed</t>
        </is>
      </c>
      <c r="M1100" s="37" t="n">
        <v>42683.0</v>
      </c>
      <c r="N1100" s="38" t="inlineStr">
        <is>
          <t>Angel (individual)</t>
        </is>
      </c>
      <c r="O1100" s="39" t="n">
        <v>9.2</v>
      </c>
      <c r="P1100" s="102">
        <f>HYPERLINK("https://my.pitchbook.com?c=114464-35", "View company online")</f>
      </c>
    </row>
    <row r="1101">
      <c r="A1101" s="9" t="inlineStr">
        <is>
          <t>59105-89</t>
        </is>
      </c>
      <c r="B1101" s="10" t="inlineStr">
        <is>
          <t>Standing Kitchen</t>
        </is>
      </c>
      <c r="C1101" s="11" t="inlineStr">
        <is>
          <t/>
        </is>
      </c>
      <c r="D1101" s="12" t="inlineStr">
        <is>
          <t/>
        </is>
      </c>
      <c r="E1101" s="13" t="inlineStr">
        <is>
          <t/>
        </is>
      </c>
      <c r="F1101" s="14" t="inlineStr">
        <is>
          <t/>
        </is>
      </c>
      <c r="G1101" s="15" t="inlineStr">
        <is>
          <t/>
        </is>
      </c>
      <c r="H1101" s="16" t="inlineStr">
        <is>
          <t/>
        </is>
      </c>
      <c r="I1101" s="17" t="inlineStr">
        <is>
          <t/>
        </is>
      </c>
      <c r="J1101" s="18" t="inlineStr">
        <is>
          <t/>
        </is>
      </c>
      <c r="K1101" s="19" t="inlineStr">
        <is>
          <t>Privately Held (backing)</t>
        </is>
      </c>
      <c r="L1101" s="20" t="inlineStr">
        <is>
          <t>Angel-Backed</t>
        </is>
      </c>
      <c r="M1101" s="21" t="n">
        <v>41534.0</v>
      </c>
      <c r="N1101" s="22" t="inlineStr">
        <is>
          <t>Convertible Debt</t>
        </is>
      </c>
      <c r="O1101" s="23" t="n">
        <v>1.02</v>
      </c>
      <c r="P1101" s="101">
        <f>HYPERLINK("https://my.pitchbook.com?c=59105-89", "View company online")</f>
      </c>
    </row>
    <row r="1102">
      <c r="A1102" s="25" t="inlineStr">
        <is>
          <t>173987-74</t>
        </is>
      </c>
      <c r="B1102" s="26" t="inlineStr">
        <is>
          <t>Standard Luxury Group</t>
        </is>
      </c>
      <c r="C1102" s="78">
        <f>HYPERLINK("https://my.pitchbook.com?rrp=173987-74&amp;type=c", "This Company's information is not available to download. Need this Company? Request availability")</f>
      </c>
      <c r="D1102" s="28" t="inlineStr">
        <is>
          <t/>
        </is>
      </c>
      <c r="E1102" s="29" t="inlineStr">
        <is>
          <t/>
        </is>
      </c>
      <c r="F1102" s="30" t="inlineStr">
        <is>
          <t/>
        </is>
      </c>
      <c r="G1102" s="31" t="inlineStr">
        <is>
          <t/>
        </is>
      </c>
      <c r="H1102" s="32" t="inlineStr">
        <is>
          <t/>
        </is>
      </c>
      <c r="I1102" s="33" t="inlineStr">
        <is>
          <t/>
        </is>
      </c>
      <c r="J1102" s="34" t="inlineStr">
        <is>
          <t/>
        </is>
      </c>
      <c r="K1102" s="35" t="inlineStr">
        <is>
          <t/>
        </is>
      </c>
      <c r="L1102" s="36" t="inlineStr">
        <is>
          <t/>
        </is>
      </c>
      <c r="M1102" s="37" t="inlineStr">
        <is>
          <t/>
        </is>
      </c>
      <c r="N1102" s="38" t="inlineStr">
        <is>
          <t/>
        </is>
      </c>
      <c r="O1102" s="39" t="inlineStr">
        <is>
          <t/>
        </is>
      </c>
      <c r="P1102" s="40" t="inlineStr">
        <is>
          <t/>
        </is>
      </c>
    </row>
    <row r="1103">
      <c r="A1103" s="9" t="inlineStr">
        <is>
          <t>53405-20</t>
        </is>
      </c>
      <c r="B1103" s="10" t="inlineStr">
        <is>
          <t>Stagee.com</t>
        </is>
      </c>
      <c r="C1103" s="11" t="inlineStr">
        <is>
          <t/>
        </is>
      </c>
      <c r="D1103" s="12" t="inlineStr">
        <is>
          <t/>
        </is>
      </c>
      <c r="E1103" s="13" t="inlineStr">
        <is>
          <t/>
        </is>
      </c>
      <c r="F1103" s="14" t="inlineStr">
        <is>
          <t/>
        </is>
      </c>
      <c r="G1103" s="15" t="inlineStr">
        <is>
          <t/>
        </is>
      </c>
      <c r="H1103" s="16" t="inlineStr">
        <is>
          <t/>
        </is>
      </c>
      <c r="I1103" s="17" t="inlineStr">
        <is>
          <t/>
        </is>
      </c>
      <c r="J1103" s="18" t="inlineStr">
        <is>
          <t/>
        </is>
      </c>
      <c r="K1103" s="19" t="inlineStr">
        <is>
          <t>Privately Held (backing)</t>
        </is>
      </c>
      <c r="L1103" s="20" t="inlineStr">
        <is>
          <t>Angel-Backed</t>
        </is>
      </c>
      <c r="M1103" s="21" t="n">
        <v>40869.0</v>
      </c>
      <c r="N1103" s="22" t="inlineStr">
        <is>
          <t>Seed Round</t>
        </is>
      </c>
      <c r="O1103" s="23" t="n">
        <v>0.33</v>
      </c>
      <c r="P1103" s="101">
        <f>HYPERLINK("https://my.pitchbook.com?c=53405-20", "View company online")</f>
      </c>
    </row>
    <row r="1104">
      <c r="A1104" s="25" t="inlineStr">
        <is>
          <t>102983-32</t>
        </is>
      </c>
      <c r="B1104" s="26" t="inlineStr">
        <is>
          <t>Stage Stream</t>
        </is>
      </c>
      <c r="C1104" s="27" t="inlineStr">
        <is>
          <t/>
        </is>
      </c>
      <c r="D1104" s="28" t="inlineStr">
        <is>
          <t/>
        </is>
      </c>
      <c r="E1104" s="29" t="inlineStr">
        <is>
          <t/>
        </is>
      </c>
      <c r="F1104" s="30" t="inlineStr">
        <is>
          <t/>
        </is>
      </c>
      <c r="G1104" s="31" t="inlineStr">
        <is>
          <t/>
        </is>
      </c>
      <c r="H1104" s="32" t="inlineStr">
        <is>
          <t/>
        </is>
      </c>
      <c r="I1104" s="33" t="inlineStr">
        <is>
          <t/>
        </is>
      </c>
      <c r="J1104" s="34" t="inlineStr">
        <is>
          <t/>
        </is>
      </c>
      <c r="K1104" s="35" t="inlineStr">
        <is>
          <t>Privately Held (backing)</t>
        </is>
      </c>
      <c r="L1104" s="36" t="inlineStr">
        <is>
          <t>Accelerator/Incubator Backed</t>
        </is>
      </c>
      <c r="M1104" s="37" t="inlineStr">
        <is>
          <t/>
        </is>
      </c>
      <c r="N1104" s="38" t="inlineStr">
        <is>
          <t>Accelerator/Incubator</t>
        </is>
      </c>
      <c r="O1104" s="39" t="inlineStr">
        <is>
          <t/>
        </is>
      </c>
      <c r="P1104" s="102">
        <f>HYPERLINK("https://my.pitchbook.com?c=102983-32", "View company online")</f>
      </c>
    </row>
    <row r="1105">
      <c r="A1105" s="9" t="inlineStr">
        <is>
          <t>89774-38</t>
        </is>
      </c>
      <c r="B1105" s="10" t="inlineStr">
        <is>
          <t>Stage 32</t>
        </is>
      </c>
      <c r="C1105" s="77">
        <f>HYPERLINK("https://my.pitchbook.com?rrp=89774-38&amp;type=c", "This Company's information is not available to download. Need this Company? Request availability")</f>
      </c>
      <c r="D1105" s="12" t="inlineStr">
        <is>
          <t/>
        </is>
      </c>
      <c r="E1105" s="13" t="inlineStr">
        <is>
          <t/>
        </is>
      </c>
      <c r="F1105" s="14" t="inlineStr">
        <is>
          <t/>
        </is>
      </c>
      <c r="G1105" s="15" t="inlineStr">
        <is>
          <t/>
        </is>
      </c>
      <c r="H1105" s="16" t="inlineStr">
        <is>
          <t/>
        </is>
      </c>
      <c r="I1105" s="17" t="inlineStr">
        <is>
          <t/>
        </is>
      </c>
      <c r="J1105" s="18" t="inlineStr">
        <is>
          <t/>
        </is>
      </c>
      <c r="K1105" s="19" t="inlineStr">
        <is>
          <t/>
        </is>
      </c>
      <c r="L1105" s="20" t="inlineStr">
        <is>
          <t/>
        </is>
      </c>
      <c r="M1105" s="21" t="inlineStr">
        <is>
          <t/>
        </is>
      </c>
      <c r="N1105" s="22" t="inlineStr">
        <is>
          <t/>
        </is>
      </c>
      <c r="O1105" s="23" t="inlineStr">
        <is>
          <t/>
        </is>
      </c>
      <c r="P1105" s="24" t="inlineStr">
        <is>
          <t/>
        </is>
      </c>
    </row>
    <row r="1106">
      <c r="A1106" s="25" t="inlineStr">
        <is>
          <t>121577-86</t>
        </is>
      </c>
      <c r="B1106" s="26" t="inlineStr">
        <is>
          <t>Stafr</t>
        </is>
      </c>
      <c r="C1106" s="27" t="inlineStr">
        <is>
          <t/>
        </is>
      </c>
      <c r="D1106" s="28" t="inlineStr">
        <is>
          <t/>
        </is>
      </c>
      <c r="E1106" s="29" t="inlineStr">
        <is>
          <t/>
        </is>
      </c>
      <c r="F1106" s="30" t="inlineStr">
        <is>
          <t/>
        </is>
      </c>
      <c r="G1106" s="31" t="inlineStr">
        <is>
          <t/>
        </is>
      </c>
      <c r="H1106" s="32" t="inlineStr">
        <is>
          <t/>
        </is>
      </c>
      <c r="I1106" s="33" t="inlineStr">
        <is>
          <t/>
        </is>
      </c>
      <c r="J1106" s="34" t="inlineStr">
        <is>
          <t/>
        </is>
      </c>
      <c r="K1106" s="35" t="inlineStr">
        <is>
          <t>Privately Held (backing)</t>
        </is>
      </c>
      <c r="L1106" s="36" t="inlineStr">
        <is>
          <t>Accelerator/Incubator Backed</t>
        </is>
      </c>
      <c r="M1106" s="37" t="n">
        <v>42215.0</v>
      </c>
      <c r="N1106" s="38" t="inlineStr">
        <is>
          <t>Angel (individual)</t>
        </is>
      </c>
      <c r="O1106" s="39" t="inlineStr">
        <is>
          <t/>
        </is>
      </c>
      <c r="P1106" s="102">
        <f>HYPERLINK("https://my.pitchbook.com?c=121577-86", "View company online")</f>
      </c>
    </row>
    <row r="1107">
      <c r="A1107" s="9" t="inlineStr">
        <is>
          <t>86501-62</t>
        </is>
      </c>
      <c r="B1107" s="10" t="inlineStr">
        <is>
          <t>Staff'n</t>
        </is>
      </c>
      <c r="C1107" s="11" t="inlineStr">
        <is>
          <t/>
        </is>
      </c>
      <c r="D1107" s="12" t="inlineStr">
        <is>
          <t/>
        </is>
      </c>
      <c r="E1107" s="13" t="inlineStr">
        <is>
          <t/>
        </is>
      </c>
      <c r="F1107" s="14" t="inlineStr">
        <is>
          <t/>
        </is>
      </c>
      <c r="G1107" s="15" t="inlineStr">
        <is>
          <t/>
        </is>
      </c>
      <c r="H1107" s="16" t="inlineStr">
        <is>
          <t/>
        </is>
      </c>
      <c r="I1107" s="17" t="inlineStr">
        <is>
          <t/>
        </is>
      </c>
      <c r="J1107" s="18" t="inlineStr">
        <is>
          <t/>
        </is>
      </c>
      <c r="K1107" s="19" t="inlineStr">
        <is>
          <t>Privately Held (backing)</t>
        </is>
      </c>
      <c r="L1107" s="20" t="inlineStr">
        <is>
          <t>Accelerator/Incubator Backed</t>
        </is>
      </c>
      <c r="M1107" s="21" t="inlineStr">
        <is>
          <t/>
        </is>
      </c>
      <c r="N1107" s="22" t="inlineStr">
        <is>
          <t>Accelerator/Incubator</t>
        </is>
      </c>
      <c r="O1107" s="23" t="inlineStr">
        <is>
          <t/>
        </is>
      </c>
      <c r="P1107" s="101">
        <f>HYPERLINK("https://my.pitchbook.com?c=86501-62", "View company online")</f>
      </c>
    </row>
    <row r="1108">
      <c r="A1108" s="25" t="inlineStr">
        <is>
          <t>63596-35</t>
        </is>
      </c>
      <c r="B1108" s="26" t="inlineStr">
        <is>
          <t>Staff Ranker</t>
        </is>
      </c>
      <c r="C1108" s="27" t="inlineStr">
        <is>
          <t/>
        </is>
      </c>
      <c r="D1108" s="28" t="inlineStr">
        <is>
          <t/>
        </is>
      </c>
      <c r="E1108" s="29" t="inlineStr">
        <is>
          <t/>
        </is>
      </c>
      <c r="F1108" s="30" t="inlineStr">
        <is>
          <t/>
        </is>
      </c>
      <c r="G1108" s="31" t="inlineStr">
        <is>
          <t/>
        </is>
      </c>
      <c r="H1108" s="32" t="inlineStr">
        <is>
          <t/>
        </is>
      </c>
      <c r="I1108" s="33" t="inlineStr">
        <is>
          <t/>
        </is>
      </c>
      <c r="J1108" s="34" t="inlineStr">
        <is>
          <t/>
        </is>
      </c>
      <c r="K1108" s="35" t="inlineStr">
        <is>
          <t>Privately Held (backing)</t>
        </is>
      </c>
      <c r="L1108" s="36" t="inlineStr">
        <is>
          <t>Angel-Backed</t>
        </is>
      </c>
      <c r="M1108" s="37" t="n">
        <v>42177.0</v>
      </c>
      <c r="N1108" s="38" t="inlineStr">
        <is>
          <t>Angel (individual)</t>
        </is>
      </c>
      <c r="O1108" s="39" t="n">
        <v>0.58</v>
      </c>
      <c r="P1108" s="102">
        <f>HYPERLINK("https://my.pitchbook.com?c=63596-35", "View company online")</f>
      </c>
    </row>
    <row r="1109">
      <c r="A1109" s="9" t="inlineStr">
        <is>
          <t>122291-47</t>
        </is>
      </c>
      <c r="B1109" s="10" t="inlineStr">
        <is>
          <t>Stadia</t>
        </is>
      </c>
      <c r="C1109" s="11" t="inlineStr">
        <is>
          <t/>
        </is>
      </c>
      <c r="D1109" s="12" t="inlineStr">
        <is>
          <t/>
        </is>
      </c>
      <c r="E1109" s="13" t="inlineStr">
        <is>
          <t/>
        </is>
      </c>
      <c r="F1109" s="14" t="inlineStr">
        <is>
          <t/>
        </is>
      </c>
      <c r="G1109" s="15" t="inlineStr">
        <is>
          <t/>
        </is>
      </c>
      <c r="H1109" s="16" t="inlineStr">
        <is>
          <t/>
        </is>
      </c>
      <c r="I1109" s="17" t="inlineStr">
        <is>
          <t/>
        </is>
      </c>
      <c r="J1109" s="18" t="inlineStr">
        <is>
          <t/>
        </is>
      </c>
      <c r="K1109" s="19" t="inlineStr">
        <is>
          <t>Privately Held (backing)</t>
        </is>
      </c>
      <c r="L1109" s="20" t="inlineStr">
        <is>
          <t>Accelerator/Incubator Backed</t>
        </is>
      </c>
      <c r="M1109" s="21" t="n">
        <v>41584.0</v>
      </c>
      <c r="N1109" s="22" t="inlineStr">
        <is>
          <t>Accelerator/Incubator</t>
        </is>
      </c>
      <c r="O1109" s="23" t="inlineStr">
        <is>
          <t/>
        </is>
      </c>
      <c r="P1109" s="101">
        <f>HYPERLINK("https://my.pitchbook.com?c=122291-47", "View company online")</f>
      </c>
    </row>
    <row r="1110">
      <c r="A1110" s="25" t="inlineStr">
        <is>
          <t>108545-23</t>
        </is>
      </c>
      <c r="B1110" s="26" t="inlineStr">
        <is>
          <t>StackRox</t>
        </is>
      </c>
      <c r="C1110" s="27" t="inlineStr">
        <is>
          <t/>
        </is>
      </c>
      <c r="D1110" s="28" t="inlineStr">
        <is>
          <t/>
        </is>
      </c>
      <c r="E1110" s="29" t="inlineStr">
        <is>
          <t/>
        </is>
      </c>
      <c r="F1110" s="30" t="inlineStr">
        <is>
          <t/>
        </is>
      </c>
      <c r="G1110" s="31" t="inlineStr">
        <is>
          <t/>
        </is>
      </c>
      <c r="H1110" s="32" t="inlineStr">
        <is>
          <t/>
        </is>
      </c>
      <c r="I1110" s="33" t="inlineStr">
        <is>
          <t/>
        </is>
      </c>
      <c r="J1110" s="34" t="inlineStr">
        <is>
          <t/>
        </is>
      </c>
      <c r="K1110" s="35" t="inlineStr">
        <is>
          <t>Privately Held (backing)</t>
        </is>
      </c>
      <c r="L1110" s="36" t="inlineStr">
        <is>
          <t>Angel-Backed</t>
        </is>
      </c>
      <c r="M1110" s="37" t="n">
        <v>42551.0</v>
      </c>
      <c r="N1110" s="38" t="inlineStr">
        <is>
          <t>Angel (individual)</t>
        </is>
      </c>
      <c r="O1110" s="39" t="n">
        <v>10.0</v>
      </c>
      <c r="P1110" s="102">
        <f>HYPERLINK("https://my.pitchbook.com?c=108545-23", "View company online")</f>
      </c>
    </row>
    <row r="1111">
      <c r="A1111" s="9" t="inlineStr">
        <is>
          <t>172112-14</t>
        </is>
      </c>
      <c r="B1111" s="10" t="inlineStr">
        <is>
          <t>Stackmasters</t>
        </is>
      </c>
      <c r="C1111" s="11" t="inlineStr">
        <is>
          <t/>
        </is>
      </c>
      <c r="D1111" s="12" t="inlineStr">
        <is>
          <t/>
        </is>
      </c>
      <c r="E1111" s="13" t="inlineStr">
        <is>
          <t/>
        </is>
      </c>
      <c r="F1111" s="14" t="inlineStr">
        <is>
          <t/>
        </is>
      </c>
      <c r="G1111" s="15" t="inlineStr">
        <is>
          <t/>
        </is>
      </c>
      <c r="H1111" s="16" t="inlineStr">
        <is>
          <t/>
        </is>
      </c>
      <c r="I1111" s="17" t="inlineStr">
        <is>
          <t/>
        </is>
      </c>
      <c r="J1111" s="18" t="inlineStr">
        <is>
          <t/>
        </is>
      </c>
      <c r="K1111" s="19" t="inlineStr">
        <is>
          <t>Privately Held (backing)</t>
        </is>
      </c>
      <c r="L1111" s="20" t="inlineStr">
        <is>
          <t>Accelerator/Incubator Backed</t>
        </is>
      </c>
      <c r="M1111" s="21" t="n">
        <v>41275.0</v>
      </c>
      <c r="N1111" s="22" t="inlineStr">
        <is>
          <t>Accelerator/Incubator</t>
        </is>
      </c>
      <c r="O1111" s="23" t="inlineStr">
        <is>
          <t/>
        </is>
      </c>
      <c r="P1111" s="101">
        <f>HYPERLINK("https://my.pitchbook.com?c=172112-14", "View company online")</f>
      </c>
    </row>
    <row r="1112">
      <c r="A1112" s="25" t="inlineStr">
        <is>
          <t>102920-86</t>
        </is>
      </c>
      <c r="B1112" s="26" t="inlineStr">
        <is>
          <t>Stack Labs</t>
        </is>
      </c>
      <c r="C1112" s="27" t="inlineStr">
        <is>
          <t/>
        </is>
      </c>
      <c r="D1112" s="28" t="inlineStr">
        <is>
          <t/>
        </is>
      </c>
      <c r="E1112" s="29" t="inlineStr">
        <is>
          <t/>
        </is>
      </c>
      <c r="F1112" s="30" t="inlineStr">
        <is>
          <t/>
        </is>
      </c>
      <c r="G1112" s="31" t="inlineStr">
        <is>
          <t/>
        </is>
      </c>
      <c r="H1112" s="32" t="inlineStr">
        <is>
          <t/>
        </is>
      </c>
      <c r="I1112" s="33" t="inlineStr">
        <is>
          <t/>
        </is>
      </c>
      <c r="J1112" s="34" t="inlineStr">
        <is>
          <t/>
        </is>
      </c>
      <c r="K1112" s="35" t="inlineStr">
        <is>
          <t>Privately Held (backing)</t>
        </is>
      </c>
      <c r="L1112" s="36" t="inlineStr">
        <is>
          <t>Accelerator/Incubator Backed</t>
        </is>
      </c>
      <c r="M1112" s="37" t="n">
        <v>42020.0</v>
      </c>
      <c r="N1112" s="38" t="inlineStr">
        <is>
          <t>Angel (individual)</t>
        </is>
      </c>
      <c r="O1112" s="39" t="inlineStr">
        <is>
          <t/>
        </is>
      </c>
      <c r="P1112" s="102">
        <f>HYPERLINK("https://my.pitchbook.com?c=102920-86", "View company online")</f>
      </c>
    </row>
    <row r="1113">
      <c r="A1113" s="9" t="inlineStr">
        <is>
          <t>66260-53</t>
        </is>
      </c>
      <c r="B1113" s="10" t="inlineStr">
        <is>
          <t>SRS Acquiom</t>
        </is>
      </c>
      <c r="C1113" s="11" t="inlineStr">
        <is>
          <t/>
        </is>
      </c>
      <c r="D1113" s="12" t="inlineStr">
        <is>
          <t/>
        </is>
      </c>
      <c r="E1113" s="13" t="inlineStr">
        <is>
          <t/>
        </is>
      </c>
      <c r="F1113" s="14" t="inlineStr">
        <is>
          <t/>
        </is>
      </c>
      <c r="G1113" s="15" t="inlineStr">
        <is>
          <t/>
        </is>
      </c>
      <c r="H1113" s="16" t="inlineStr">
        <is>
          <t/>
        </is>
      </c>
      <c r="I1113" s="17" t="inlineStr">
        <is>
          <t/>
        </is>
      </c>
      <c r="J1113" s="18" t="inlineStr">
        <is>
          <t/>
        </is>
      </c>
      <c r="K1113" s="19" t="inlineStr">
        <is>
          <t>Privately Held (backing)</t>
        </is>
      </c>
      <c r="L1113" s="20" t="inlineStr">
        <is>
          <t>Angel-Backed</t>
        </is>
      </c>
      <c r="M1113" s="21" t="n">
        <v>41865.0</v>
      </c>
      <c r="N1113" s="22" t="inlineStr">
        <is>
          <t>Angel (individual)</t>
        </is>
      </c>
      <c r="O1113" s="23" t="n">
        <v>6.0</v>
      </c>
      <c r="P1113" s="101">
        <f>HYPERLINK("https://my.pitchbook.com?c=66260-53", "View company online")</f>
      </c>
    </row>
    <row r="1114">
      <c r="A1114" s="25" t="inlineStr">
        <is>
          <t>90170-38</t>
        </is>
      </c>
      <c r="B1114" s="26" t="inlineStr">
        <is>
          <t>SRECTrade</t>
        </is>
      </c>
      <c r="C1114" s="27" t="inlineStr">
        <is>
          <t/>
        </is>
      </c>
      <c r="D1114" s="28" t="inlineStr">
        <is>
          <t/>
        </is>
      </c>
      <c r="E1114" s="29" t="inlineStr">
        <is>
          <t/>
        </is>
      </c>
      <c r="F1114" s="30" t="inlineStr">
        <is>
          <t/>
        </is>
      </c>
      <c r="G1114" s="31" t="inlineStr">
        <is>
          <t/>
        </is>
      </c>
      <c r="H1114" s="32" t="inlineStr">
        <is>
          <t/>
        </is>
      </c>
      <c r="I1114" s="33" t="inlineStr">
        <is>
          <t/>
        </is>
      </c>
      <c r="J1114" s="34" t="inlineStr">
        <is>
          <t/>
        </is>
      </c>
      <c r="K1114" s="35" t="inlineStr">
        <is>
          <t>Privately Held (backing)</t>
        </is>
      </c>
      <c r="L1114" s="36" t="inlineStr">
        <is>
          <t>Angel-Backed</t>
        </is>
      </c>
      <c r="M1114" s="37" t="n">
        <v>40666.0</v>
      </c>
      <c r="N1114" s="38" t="inlineStr">
        <is>
          <t>Angel (individual)</t>
        </is>
      </c>
      <c r="O1114" s="39" t="n">
        <v>0.5</v>
      </c>
      <c r="P1114" s="102">
        <f>HYPERLINK("https://my.pitchbook.com?c=90170-38", "View company online")</f>
      </c>
    </row>
    <row r="1115">
      <c r="A1115" s="9" t="inlineStr">
        <is>
          <t>57455-20</t>
        </is>
      </c>
      <c r="B1115" s="10" t="inlineStr">
        <is>
          <t>SR11 La Pacifica</t>
        </is>
      </c>
      <c r="C1115" s="11" t="inlineStr">
        <is>
          <t/>
        </is>
      </c>
      <c r="D1115" s="12" t="inlineStr">
        <is>
          <t/>
        </is>
      </c>
      <c r="E1115" s="13" t="inlineStr">
        <is>
          <t/>
        </is>
      </c>
      <c r="F1115" s="14" t="inlineStr">
        <is>
          <t/>
        </is>
      </c>
      <c r="G1115" s="15" t="inlineStr">
        <is>
          <t/>
        </is>
      </c>
      <c r="H1115" s="16" t="inlineStr">
        <is>
          <t/>
        </is>
      </c>
      <c r="I1115" s="17" t="inlineStr">
        <is>
          <t/>
        </is>
      </c>
      <c r="J1115" s="18" t="inlineStr">
        <is>
          <t/>
        </is>
      </c>
      <c r="K1115" s="19" t="inlineStr">
        <is>
          <t>Privately Held (backing)</t>
        </is>
      </c>
      <c r="L1115" s="20" t="inlineStr">
        <is>
          <t>Angel-Backed</t>
        </is>
      </c>
      <c r="M1115" s="21" t="n">
        <v>41585.0</v>
      </c>
      <c r="N1115" s="22" t="inlineStr">
        <is>
          <t>Angel (individual)</t>
        </is>
      </c>
      <c r="O1115" s="23" t="n">
        <v>2.5</v>
      </c>
      <c r="P1115" s="101">
        <f>HYPERLINK("https://my.pitchbook.com?c=57455-20", "View company online")</f>
      </c>
    </row>
    <row r="1116">
      <c r="A1116" s="25" t="inlineStr">
        <is>
          <t>108872-29</t>
        </is>
      </c>
      <c r="B1116" s="26" t="inlineStr">
        <is>
          <t>SquishClip</t>
        </is>
      </c>
      <c r="C1116" s="27" t="inlineStr">
        <is>
          <t/>
        </is>
      </c>
      <c r="D1116" s="28" t="inlineStr">
        <is>
          <t/>
        </is>
      </c>
      <c r="E1116" s="29" t="inlineStr">
        <is>
          <t/>
        </is>
      </c>
      <c r="F1116" s="30" t="inlineStr">
        <is>
          <t/>
        </is>
      </c>
      <c r="G1116" s="31" t="inlineStr">
        <is>
          <t/>
        </is>
      </c>
      <c r="H1116" s="32" t="inlineStr">
        <is>
          <t/>
        </is>
      </c>
      <c r="I1116" s="33" t="inlineStr">
        <is>
          <t/>
        </is>
      </c>
      <c r="J1116" s="34" t="inlineStr">
        <is>
          <t/>
        </is>
      </c>
      <c r="K1116" s="35" t="inlineStr">
        <is>
          <t>Privately Held (backing)</t>
        </is>
      </c>
      <c r="L1116" s="36" t="inlineStr">
        <is>
          <t>Angel-Backed</t>
        </is>
      </c>
      <c r="M1116" s="37" t="n">
        <v>42187.0</v>
      </c>
      <c r="N1116" s="38" t="inlineStr">
        <is>
          <t>Angel (individual)</t>
        </is>
      </c>
      <c r="O1116" s="39" t="inlineStr">
        <is>
          <t/>
        </is>
      </c>
      <c r="P1116" s="102">
        <f>HYPERLINK("https://my.pitchbook.com?c=108872-29", "View company online")</f>
      </c>
    </row>
    <row r="1117">
      <c r="A1117" s="9" t="inlineStr">
        <is>
          <t>66039-94</t>
        </is>
      </c>
      <c r="B1117" s="10" t="inlineStr">
        <is>
          <t>Squawkin</t>
        </is>
      </c>
      <c r="C1117" s="11" t="inlineStr">
        <is>
          <t/>
        </is>
      </c>
      <c r="D1117" s="12" t="inlineStr">
        <is>
          <t/>
        </is>
      </c>
      <c r="E1117" s="13" t="inlineStr">
        <is>
          <t/>
        </is>
      </c>
      <c r="F1117" s="14" t="inlineStr">
        <is>
          <t/>
        </is>
      </c>
      <c r="G1117" s="15" t="inlineStr">
        <is>
          <t/>
        </is>
      </c>
      <c r="H1117" s="16" t="inlineStr">
        <is>
          <t/>
        </is>
      </c>
      <c r="I1117" s="17" t="inlineStr">
        <is>
          <t/>
        </is>
      </c>
      <c r="J1117" s="18" t="inlineStr">
        <is>
          <t/>
        </is>
      </c>
      <c r="K1117" s="19" t="inlineStr">
        <is>
          <t>Privately Held (backing)</t>
        </is>
      </c>
      <c r="L1117" s="20" t="inlineStr">
        <is>
          <t>Angel-Backed</t>
        </is>
      </c>
      <c r="M1117" s="21" t="n">
        <v>41865.0</v>
      </c>
      <c r="N1117" s="22" t="inlineStr">
        <is>
          <t>Angel (individual)</t>
        </is>
      </c>
      <c r="O1117" s="23" t="n">
        <v>2.5</v>
      </c>
      <c r="P1117" s="101">
        <f>HYPERLINK("https://my.pitchbook.com?c=66039-94", "View company online")</f>
      </c>
    </row>
    <row r="1118">
      <c r="A1118" s="25" t="inlineStr">
        <is>
          <t>154979-02</t>
        </is>
      </c>
      <c r="B1118" s="26" t="inlineStr">
        <is>
          <t>Squareggs</t>
        </is>
      </c>
      <c r="C1118" s="27" t="inlineStr">
        <is>
          <t/>
        </is>
      </c>
      <c r="D1118" s="28" t="inlineStr">
        <is>
          <t/>
        </is>
      </c>
      <c r="E1118" s="29" t="inlineStr">
        <is>
          <t/>
        </is>
      </c>
      <c r="F1118" s="30" t="inlineStr">
        <is>
          <t/>
        </is>
      </c>
      <c r="G1118" s="31" t="inlineStr">
        <is>
          <t/>
        </is>
      </c>
      <c r="H1118" s="32" t="inlineStr">
        <is>
          <t/>
        </is>
      </c>
      <c r="I1118" s="33" t="inlineStr">
        <is>
          <t/>
        </is>
      </c>
      <c r="J1118" s="34" t="inlineStr">
        <is>
          <t/>
        </is>
      </c>
      <c r="K1118" s="35" t="inlineStr">
        <is>
          <t>Privately Held (backing)</t>
        </is>
      </c>
      <c r="L1118" s="36" t="inlineStr">
        <is>
          <t>Accelerator/Incubator Backed</t>
        </is>
      </c>
      <c r="M1118" s="37" t="n">
        <v>42430.0</v>
      </c>
      <c r="N1118" s="38" t="inlineStr">
        <is>
          <t>Accelerator/Incubator</t>
        </is>
      </c>
      <c r="O1118" s="39" t="inlineStr">
        <is>
          <t/>
        </is>
      </c>
      <c r="P1118" s="102">
        <f>HYPERLINK("https://my.pitchbook.com?c=154979-02", "View company online")</f>
      </c>
    </row>
    <row r="1119">
      <c r="A1119" s="9" t="inlineStr">
        <is>
          <t>58415-86</t>
        </is>
      </c>
      <c r="B1119" s="10" t="inlineStr">
        <is>
          <t>SquaredOut</t>
        </is>
      </c>
      <c r="C1119" s="11" t="inlineStr">
        <is>
          <t/>
        </is>
      </c>
      <c r="D1119" s="12" t="inlineStr">
        <is>
          <t/>
        </is>
      </c>
      <c r="E1119" s="13" t="inlineStr">
        <is>
          <t/>
        </is>
      </c>
      <c r="F1119" s="14" t="inlineStr">
        <is>
          <t/>
        </is>
      </c>
      <c r="G1119" s="15" t="inlineStr">
        <is>
          <t/>
        </is>
      </c>
      <c r="H1119" s="16" t="inlineStr">
        <is>
          <t/>
        </is>
      </c>
      <c r="I1119" s="17" t="inlineStr">
        <is>
          <t/>
        </is>
      </c>
      <c r="J1119" s="18" t="inlineStr">
        <is>
          <t/>
        </is>
      </c>
      <c r="K1119" s="19" t="inlineStr">
        <is>
          <t>Privately Held (backing)</t>
        </is>
      </c>
      <c r="L1119" s="20" t="inlineStr">
        <is>
          <t>Angel-Backed</t>
        </is>
      </c>
      <c r="M1119" s="21" t="n">
        <v>40905.0</v>
      </c>
      <c r="N1119" s="22" t="inlineStr">
        <is>
          <t>Angel (individual)</t>
        </is>
      </c>
      <c r="O1119" s="23" t="n">
        <v>0.23</v>
      </c>
      <c r="P1119" s="101">
        <f>HYPERLINK("https://my.pitchbook.com?c=58415-86", "View company online")</f>
      </c>
    </row>
    <row r="1120">
      <c r="A1120" s="25" t="inlineStr">
        <is>
          <t>110875-42</t>
        </is>
      </c>
      <c r="B1120" s="26" t="inlineStr">
        <is>
          <t>Squamtech</t>
        </is>
      </c>
      <c r="C1120" s="27" t="inlineStr">
        <is>
          <t/>
        </is>
      </c>
      <c r="D1120" s="28" t="inlineStr">
        <is>
          <t/>
        </is>
      </c>
      <c r="E1120" s="29" t="inlineStr">
        <is>
          <t/>
        </is>
      </c>
      <c r="F1120" s="30" t="inlineStr">
        <is>
          <t/>
        </is>
      </c>
      <c r="G1120" s="31" t="inlineStr">
        <is>
          <t/>
        </is>
      </c>
      <c r="H1120" s="32" t="inlineStr">
        <is>
          <t/>
        </is>
      </c>
      <c r="I1120" s="33" t="inlineStr">
        <is>
          <t/>
        </is>
      </c>
      <c r="J1120" s="34" t="inlineStr">
        <is>
          <t/>
        </is>
      </c>
      <c r="K1120" s="35" t="inlineStr">
        <is>
          <t>Privately Held (backing)</t>
        </is>
      </c>
      <c r="L1120" s="36" t="inlineStr">
        <is>
          <t>Angel-Backed</t>
        </is>
      </c>
      <c r="M1120" s="37" t="n">
        <v>42094.0</v>
      </c>
      <c r="N1120" s="38" t="inlineStr">
        <is>
          <t>Angel (individual)</t>
        </is>
      </c>
      <c r="O1120" s="39" t="n">
        <v>0.01</v>
      </c>
      <c r="P1120" s="102">
        <f>HYPERLINK("https://my.pitchbook.com?c=110875-42", "View company online")</f>
      </c>
    </row>
    <row r="1121">
      <c r="A1121" s="9" t="inlineStr">
        <is>
          <t>58971-25</t>
        </is>
      </c>
      <c r="B1121" s="10" t="inlineStr">
        <is>
          <t>SquadUP</t>
        </is>
      </c>
      <c r="C1121" s="11" t="inlineStr">
        <is>
          <t/>
        </is>
      </c>
      <c r="D1121" s="12" t="inlineStr">
        <is>
          <t/>
        </is>
      </c>
      <c r="E1121" s="13" t="inlineStr">
        <is>
          <t/>
        </is>
      </c>
      <c r="F1121" s="14" t="inlineStr">
        <is>
          <t/>
        </is>
      </c>
      <c r="G1121" s="15" t="inlineStr">
        <is>
          <t/>
        </is>
      </c>
      <c r="H1121" s="16" t="inlineStr">
        <is>
          <t/>
        </is>
      </c>
      <c r="I1121" s="17" t="inlineStr">
        <is>
          <t/>
        </is>
      </c>
      <c r="J1121" s="18" t="inlineStr">
        <is>
          <t/>
        </is>
      </c>
      <c r="K1121" s="19" t="inlineStr">
        <is>
          <t>Privately Held (backing)</t>
        </is>
      </c>
      <c r="L1121" s="20" t="inlineStr">
        <is>
          <t>Accelerator/Incubator Backed</t>
        </is>
      </c>
      <c r="M1121" s="21" t="n">
        <v>41592.0</v>
      </c>
      <c r="N1121" s="22" t="inlineStr">
        <is>
          <t>Accelerator/Incubator</t>
        </is>
      </c>
      <c r="O1121" s="23" t="inlineStr">
        <is>
          <t/>
        </is>
      </c>
      <c r="P1121" s="101">
        <f>HYPERLINK("https://my.pitchbook.com?c=58971-25", "View company online")</f>
      </c>
    </row>
    <row r="1122">
      <c r="A1122" s="25" t="inlineStr">
        <is>
          <t>107977-69</t>
        </is>
      </c>
      <c r="B1122" s="26" t="inlineStr">
        <is>
          <t>Squadrone System</t>
        </is>
      </c>
      <c r="C1122" s="27" t="inlineStr">
        <is>
          <t/>
        </is>
      </c>
      <c r="D1122" s="28" t="inlineStr">
        <is>
          <t/>
        </is>
      </c>
      <c r="E1122" s="29" t="inlineStr">
        <is>
          <t/>
        </is>
      </c>
      <c r="F1122" s="30" t="inlineStr">
        <is>
          <t/>
        </is>
      </c>
      <c r="G1122" s="31" t="inlineStr">
        <is>
          <t/>
        </is>
      </c>
      <c r="H1122" s="32" t="inlineStr">
        <is>
          <t/>
        </is>
      </c>
      <c r="I1122" s="33" t="inlineStr">
        <is>
          <t/>
        </is>
      </c>
      <c r="J1122" s="34" t="inlineStr">
        <is>
          <t/>
        </is>
      </c>
      <c r="K1122" s="35" t="inlineStr">
        <is>
          <t>Privately Held (backing)</t>
        </is>
      </c>
      <c r="L1122" s="36" t="inlineStr">
        <is>
          <t>Accelerator/Incubator Backed</t>
        </is>
      </c>
      <c r="M1122" s="37" t="n">
        <v>42179.0</v>
      </c>
      <c r="N1122" s="38" t="inlineStr">
        <is>
          <t>Angel (individual)</t>
        </is>
      </c>
      <c r="O1122" s="39" t="n">
        <v>3.0</v>
      </c>
      <c r="P1122" s="102">
        <f>HYPERLINK("https://my.pitchbook.com?c=107977-69", "View company online")</f>
      </c>
    </row>
    <row r="1123">
      <c r="A1123" s="9" t="inlineStr">
        <is>
          <t>95323-60</t>
        </is>
      </c>
      <c r="B1123" s="10" t="inlineStr">
        <is>
          <t>Sqeeqee</t>
        </is>
      </c>
      <c r="C1123" s="11" t="inlineStr">
        <is>
          <t/>
        </is>
      </c>
      <c r="D1123" s="12" t="inlineStr">
        <is>
          <t/>
        </is>
      </c>
      <c r="E1123" s="13" t="inlineStr">
        <is>
          <t/>
        </is>
      </c>
      <c r="F1123" s="14" t="inlineStr">
        <is>
          <t/>
        </is>
      </c>
      <c r="G1123" s="15" t="inlineStr">
        <is>
          <t/>
        </is>
      </c>
      <c r="H1123" s="16" t="inlineStr">
        <is>
          <t/>
        </is>
      </c>
      <c r="I1123" s="17" t="inlineStr">
        <is>
          <t/>
        </is>
      </c>
      <c r="J1123" s="18" t="inlineStr">
        <is>
          <t/>
        </is>
      </c>
      <c r="K1123" s="19" t="inlineStr">
        <is>
          <t>Privately Held (backing)</t>
        </is>
      </c>
      <c r="L1123" s="20" t="inlineStr">
        <is>
          <t>Angel-Backed</t>
        </is>
      </c>
      <c r="M1123" s="21" t="n">
        <v>41355.0</v>
      </c>
      <c r="N1123" s="22" t="inlineStr">
        <is>
          <t>Seed Round</t>
        </is>
      </c>
      <c r="O1123" s="23" t="n">
        <v>1.8</v>
      </c>
      <c r="P1123" s="101">
        <f>HYPERLINK("https://my.pitchbook.com?c=95323-60", "View company online")</f>
      </c>
    </row>
    <row r="1124">
      <c r="A1124" s="25" t="inlineStr">
        <is>
          <t>96751-99</t>
        </is>
      </c>
      <c r="B1124" s="26" t="inlineStr">
        <is>
          <t>Spyra</t>
        </is>
      </c>
      <c r="C1124" s="27" t="inlineStr">
        <is>
          <t/>
        </is>
      </c>
      <c r="D1124" s="28" t="inlineStr">
        <is>
          <t/>
        </is>
      </c>
      <c r="E1124" s="29" t="inlineStr">
        <is>
          <t/>
        </is>
      </c>
      <c r="F1124" s="30" t="inlineStr">
        <is>
          <t/>
        </is>
      </c>
      <c r="G1124" s="31" t="inlineStr">
        <is>
          <t/>
        </is>
      </c>
      <c r="H1124" s="32" t="inlineStr">
        <is>
          <t/>
        </is>
      </c>
      <c r="I1124" s="33" t="inlineStr">
        <is>
          <t/>
        </is>
      </c>
      <c r="J1124" s="34" t="inlineStr">
        <is>
          <t/>
        </is>
      </c>
      <c r="K1124" s="35" t="inlineStr">
        <is>
          <t>Privately Held (backing)</t>
        </is>
      </c>
      <c r="L1124" s="36" t="inlineStr">
        <is>
          <t>Accelerator/Incubator Backed</t>
        </is>
      </c>
      <c r="M1124" s="37" t="inlineStr">
        <is>
          <t/>
        </is>
      </c>
      <c r="N1124" s="38" t="inlineStr">
        <is>
          <t>Accelerator/Incubator</t>
        </is>
      </c>
      <c r="O1124" s="39" t="n">
        <v>0.03</v>
      </c>
      <c r="P1124" s="102">
        <f>HYPERLINK("https://my.pitchbook.com?c=96751-99", "View company online")</f>
      </c>
    </row>
    <row r="1125">
      <c r="A1125" s="9" t="inlineStr">
        <is>
          <t>163506-79</t>
        </is>
      </c>
      <c r="B1125" s="10" t="inlineStr">
        <is>
          <t>Spycob</t>
        </is>
      </c>
      <c r="C1125" s="11" t="inlineStr">
        <is>
          <t/>
        </is>
      </c>
      <c r="D1125" s="12" t="inlineStr">
        <is>
          <t/>
        </is>
      </c>
      <c r="E1125" s="13" t="inlineStr">
        <is>
          <t/>
        </is>
      </c>
      <c r="F1125" s="14" t="inlineStr">
        <is>
          <t/>
        </is>
      </c>
      <c r="G1125" s="15" t="inlineStr">
        <is>
          <t/>
        </is>
      </c>
      <c r="H1125" s="16" t="inlineStr">
        <is>
          <t/>
        </is>
      </c>
      <c r="I1125" s="17" t="inlineStr">
        <is>
          <t/>
        </is>
      </c>
      <c r="J1125" s="18" t="inlineStr">
        <is>
          <t/>
        </is>
      </c>
      <c r="K1125" s="19" t="inlineStr">
        <is>
          <t>Privately Held (backing)</t>
        </is>
      </c>
      <c r="L1125" s="20" t="inlineStr">
        <is>
          <t>Angel-Backed</t>
        </is>
      </c>
      <c r="M1125" s="21" t="n">
        <v>42583.0</v>
      </c>
      <c r="N1125" s="22" t="inlineStr">
        <is>
          <t>Angel (individual)</t>
        </is>
      </c>
      <c r="O1125" s="23" t="inlineStr">
        <is>
          <t/>
        </is>
      </c>
      <c r="P1125" s="101">
        <f>HYPERLINK("https://my.pitchbook.com?c=163506-79", "View company online")</f>
      </c>
    </row>
    <row r="1126">
      <c r="A1126" s="25" t="inlineStr">
        <is>
          <t>55615-69</t>
        </is>
      </c>
      <c r="B1126" s="26" t="inlineStr">
        <is>
          <t>Spruce Media</t>
        </is>
      </c>
      <c r="C1126" s="27" t="inlineStr">
        <is>
          <t/>
        </is>
      </c>
      <c r="D1126" s="28" t="inlineStr">
        <is>
          <t/>
        </is>
      </c>
      <c r="E1126" s="29" t="inlineStr">
        <is>
          <t>FY 2012</t>
        </is>
      </c>
      <c r="F1126" s="30" t="n">
        <v>37.24</v>
      </c>
      <c r="G1126" s="31" t="inlineStr">
        <is>
          <t/>
        </is>
      </c>
      <c r="H1126" s="32" t="inlineStr">
        <is>
          <t/>
        </is>
      </c>
      <c r="I1126" s="33" t="inlineStr">
        <is>
          <t/>
        </is>
      </c>
      <c r="J1126" s="34" t="inlineStr">
        <is>
          <t/>
        </is>
      </c>
      <c r="K1126" s="35" t="inlineStr">
        <is>
          <t>Privately Held (backing)</t>
        </is>
      </c>
      <c r="L1126" s="36" t="inlineStr">
        <is>
          <t>Angel-Backed</t>
        </is>
      </c>
      <c r="M1126" s="37" t="n">
        <v>41227.0</v>
      </c>
      <c r="N1126" s="38" t="inlineStr">
        <is>
          <t>Debt - General</t>
        </is>
      </c>
      <c r="O1126" s="39" t="n">
        <v>15.0</v>
      </c>
      <c r="P1126" s="102">
        <f>HYPERLINK("https://my.pitchbook.com?c=55615-69", "View company online")</f>
      </c>
    </row>
    <row r="1127">
      <c r="A1127" s="9" t="inlineStr">
        <is>
          <t>123889-33</t>
        </is>
      </c>
      <c r="B1127" s="10" t="inlineStr">
        <is>
          <t>Sprokit</t>
        </is>
      </c>
      <c r="C1127" s="11" t="inlineStr">
        <is>
          <t/>
        </is>
      </c>
      <c r="D1127" s="12" t="inlineStr">
        <is>
          <t/>
        </is>
      </c>
      <c r="E1127" s="13" t="inlineStr">
        <is>
          <t/>
        </is>
      </c>
      <c r="F1127" s="14" t="inlineStr">
        <is>
          <t/>
        </is>
      </c>
      <c r="G1127" s="15" t="inlineStr">
        <is>
          <t/>
        </is>
      </c>
      <c r="H1127" s="16" t="inlineStr">
        <is>
          <t/>
        </is>
      </c>
      <c r="I1127" s="17" t="inlineStr">
        <is>
          <t/>
        </is>
      </c>
      <c r="J1127" s="18" t="inlineStr">
        <is>
          <t/>
        </is>
      </c>
      <c r="K1127" s="19" t="inlineStr">
        <is>
          <t>Privately Held (backing)</t>
        </is>
      </c>
      <c r="L1127" s="20" t="inlineStr">
        <is>
          <t>Accelerator/Incubator Backed</t>
        </is>
      </c>
      <c r="M1127" s="21" t="n">
        <v>42173.0</v>
      </c>
      <c r="N1127" s="22" t="inlineStr">
        <is>
          <t>Accelerator/Incubator</t>
        </is>
      </c>
      <c r="O1127" s="23" t="n">
        <v>0.02</v>
      </c>
      <c r="P1127" s="101">
        <f>HYPERLINK("https://my.pitchbook.com?c=123889-33", "View company online")</f>
      </c>
    </row>
    <row r="1128">
      <c r="A1128" s="25" t="inlineStr">
        <is>
          <t>161275-24</t>
        </is>
      </c>
      <c r="B1128" s="26" t="inlineStr">
        <is>
          <t>Spritzr</t>
        </is>
      </c>
      <c r="C1128" s="27" t="inlineStr">
        <is>
          <t/>
        </is>
      </c>
      <c r="D1128" s="28" t="inlineStr">
        <is>
          <t/>
        </is>
      </c>
      <c r="E1128" s="29" t="inlineStr">
        <is>
          <t/>
        </is>
      </c>
      <c r="F1128" s="30" t="inlineStr">
        <is>
          <t/>
        </is>
      </c>
      <c r="G1128" s="31" t="inlineStr">
        <is>
          <t/>
        </is>
      </c>
      <c r="H1128" s="32" t="inlineStr">
        <is>
          <t/>
        </is>
      </c>
      <c r="I1128" s="33" t="inlineStr">
        <is>
          <t/>
        </is>
      </c>
      <c r="J1128" s="34" t="inlineStr">
        <is>
          <t/>
        </is>
      </c>
      <c r="K1128" s="35" t="inlineStr">
        <is>
          <t>Privately Held (backing)</t>
        </is>
      </c>
      <c r="L1128" s="36" t="inlineStr">
        <is>
          <t>Angel-Backed</t>
        </is>
      </c>
      <c r="M1128" s="37" t="n">
        <v>42244.0</v>
      </c>
      <c r="N1128" s="38" t="inlineStr">
        <is>
          <t>Seed Round</t>
        </is>
      </c>
      <c r="O1128" s="39" t="n">
        <v>0.9</v>
      </c>
      <c r="P1128" s="102">
        <f>HYPERLINK("https://my.pitchbook.com?c=161275-24", "View company online")</f>
      </c>
    </row>
    <row r="1129">
      <c r="A1129" s="9" t="inlineStr">
        <is>
          <t>118308-52</t>
        </is>
      </c>
      <c r="B1129" s="10" t="inlineStr">
        <is>
          <t>SprintRay</t>
        </is>
      </c>
      <c r="C1129" s="11" t="inlineStr">
        <is>
          <t/>
        </is>
      </c>
      <c r="D1129" s="12" t="inlineStr">
        <is>
          <t/>
        </is>
      </c>
      <c r="E1129" s="13" t="inlineStr">
        <is>
          <t/>
        </is>
      </c>
      <c r="F1129" s="14" t="inlineStr">
        <is>
          <t/>
        </is>
      </c>
      <c r="G1129" s="15" t="inlineStr">
        <is>
          <t/>
        </is>
      </c>
      <c r="H1129" s="16" t="inlineStr">
        <is>
          <t/>
        </is>
      </c>
      <c r="I1129" s="17" t="inlineStr">
        <is>
          <t/>
        </is>
      </c>
      <c r="J1129" s="18" t="inlineStr">
        <is>
          <t/>
        </is>
      </c>
      <c r="K1129" s="19" t="inlineStr">
        <is>
          <t>Privately Held (backing)</t>
        </is>
      </c>
      <c r="L1129" s="20" t="inlineStr">
        <is>
          <t>Angel-Backed</t>
        </is>
      </c>
      <c r="M1129" s="21" t="n">
        <v>42162.0</v>
      </c>
      <c r="N1129" s="22" t="inlineStr">
        <is>
          <t>Product Crowdfunding</t>
        </is>
      </c>
      <c r="O1129" s="23" t="n">
        <v>0.42</v>
      </c>
      <c r="P1129" s="101">
        <f>HYPERLINK("https://my.pitchbook.com?c=118308-52", "View company online")</f>
      </c>
    </row>
    <row r="1130">
      <c r="A1130" s="25" t="inlineStr">
        <is>
          <t>57357-73</t>
        </is>
      </c>
      <c r="B1130" s="26" t="inlineStr">
        <is>
          <t>Springshot</t>
        </is>
      </c>
      <c r="C1130" s="27" t="inlineStr">
        <is>
          <t/>
        </is>
      </c>
      <c r="D1130" s="28" t="inlineStr">
        <is>
          <t/>
        </is>
      </c>
      <c r="E1130" s="29" t="inlineStr">
        <is>
          <t/>
        </is>
      </c>
      <c r="F1130" s="30" t="inlineStr">
        <is>
          <t/>
        </is>
      </c>
      <c r="G1130" s="31" t="inlineStr">
        <is>
          <t/>
        </is>
      </c>
      <c r="H1130" s="32" t="inlineStr">
        <is>
          <t/>
        </is>
      </c>
      <c r="I1130" s="33" t="inlineStr">
        <is>
          <t/>
        </is>
      </c>
      <c r="J1130" s="34" t="inlineStr">
        <is>
          <t/>
        </is>
      </c>
      <c r="K1130" s="35" t="inlineStr">
        <is>
          <t>Privately Held (backing)</t>
        </is>
      </c>
      <c r="L1130" s="36" t="inlineStr">
        <is>
          <t>Angel-Backed</t>
        </is>
      </c>
      <c r="M1130" s="37" t="n">
        <v>41746.0</v>
      </c>
      <c r="N1130" s="38" t="inlineStr">
        <is>
          <t>Convertible Debt</t>
        </is>
      </c>
      <c r="O1130" s="39" t="n">
        <v>2.0</v>
      </c>
      <c r="P1130" s="102">
        <f>HYPERLINK("https://my.pitchbook.com?c=57357-73", "View company online")</f>
      </c>
    </row>
    <row r="1131">
      <c r="A1131" s="9" t="inlineStr">
        <is>
          <t>104408-20</t>
        </is>
      </c>
      <c r="B1131" s="10" t="inlineStr">
        <is>
          <t>Springrole</t>
        </is>
      </c>
      <c r="C1131" s="11" t="inlineStr">
        <is>
          <t/>
        </is>
      </c>
      <c r="D1131" s="12" t="inlineStr">
        <is>
          <t/>
        </is>
      </c>
      <c r="E1131" s="13" t="inlineStr">
        <is>
          <t/>
        </is>
      </c>
      <c r="F1131" s="14" t="inlineStr">
        <is>
          <t/>
        </is>
      </c>
      <c r="G1131" s="15" t="inlineStr">
        <is>
          <t/>
        </is>
      </c>
      <c r="H1131" s="16" t="inlineStr">
        <is>
          <t/>
        </is>
      </c>
      <c r="I1131" s="17" t="inlineStr">
        <is>
          <t/>
        </is>
      </c>
      <c r="J1131" s="18" t="inlineStr">
        <is>
          <t/>
        </is>
      </c>
      <c r="K1131" s="19" t="inlineStr">
        <is>
          <t>Privately Held (backing)</t>
        </is>
      </c>
      <c r="L1131" s="20" t="inlineStr">
        <is>
          <t>Accelerator/Incubator Backed</t>
        </is>
      </c>
      <c r="M1131" s="21" t="inlineStr">
        <is>
          <t/>
        </is>
      </c>
      <c r="N1131" s="22" t="inlineStr">
        <is>
          <t>Accelerator/Incubator</t>
        </is>
      </c>
      <c r="O1131" s="23" t="inlineStr">
        <is>
          <t/>
        </is>
      </c>
      <c r="P1131" s="101">
        <f>HYPERLINK("https://my.pitchbook.com?c=104408-20", "View company online")</f>
      </c>
    </row>
    <row r="1132">
      <c r="A1132" s="25" t="inlineStr">
        <is>
          <t>120489-85</t>
        </is>
      </c>
      <c r="B1132" s="26" t="inlineStr">
        <is>
          <t>Spring Fertility Management</t>
        </is>
      </c>
      <c r="C1132" s="27" t="inlineStr">
        <is>
          <t/>
        </is>
      </c>
      <c r="D1132" s="28" t="inlineStr">
        <is>
          <t/>
        </is>
      </c>
      <c r="E1132" s="29" t="inlineStr">
        <is>
          <t/>
        </is>
      </c>
      <c r="F1132" s="30" t="inlineStr">
        <is>
          <t/>
        </is>
      </c>
      <c r="G1132" s="31" t="inlineStr">
        <is>
          <t/>
        </is>
      </c>
      <c r="H1132" s="32" t="inlineStr">
        <is>
          <t/>
        </is>
      </c>
      <c r="I1132" s="33" t="inlineStr">
        <is>
          <t/>
        </is>
      </c>
      <c r="J1132" s="34" t="inlineStr">
        <is>
          <t/>
        </is>
      </c>
      <c r="K1132" s="35" t="inlineStr">
        <is>
          <t>Privately Held (backing)</t>
        </is>
      </c>
      <c r="L1132" s="36" t="inlineStr">
        <is>
          <t>Angel-Backed</t>
        </is>
      </c>
      <c r="M1132" s="37" t="n">
        <v>42202.0</v>
      </c>
      <c r="N1132" s="38" t="inlineStr">
        <is>
          <t>Angel (individual)</t>
        </is>
      </c>
      <c r="O1132" s="39" t="n">
        <v>3.0</v>
      </c>
      <c r="P1132" s="102">
        <f>HYPERLINK("https://my.pitchbook.com?c=120489-85", "View company online")</f>
      </c>
    </row>
    <row r="1133">
      <c r="A1133" s="9" t="inlineStr">
        <is>
          <t>157222-00</t>
        </is>
      </c>
      <c r="B1133" s="10" t="inlineStr">
        <is>
          <t>Sprimo</t>
        </is>
      </c>
      <c r="C1133" s="11" t="inlineStr">
        <is>
          <t/>
        </is>
      </c>
      <c r="D1133" s="12" t="inlineStr">
        <is>
          <t/>
        </is>
      </c>
      <c r="E1133" s="13" t="inlineStr">
        <is>
          <t/>
        </is>
      </c>
      <c r="F1133" s="14" t="inlineStr">
        <is>
          <t/>
        </is>
      </c>
      <c r="G1133" s="15" t="inlineStr">
        <is>
          <t/>
        </is>
      </c>
      <c r="H1133" s="16" t="inlineStr">
        <is>
          <t/>
        </is>
      </c>
      <c r="I1133" s="17" t="inlineStr">
        <is>
          <t/>
        </is>
      </c>
      <c r="J1133" s="18" t="inlineStr">
        <is>
          <t/>
        </is>
      </c>
      <c r="K1133" s="19" t="inlineStr">
        <is>
          <t>Privately Held (backing)</t>
        </is>
      </c>
      <c r="L1133" s="20" t="inlineStr">
        <is>
          <t>Accelerator/Incubator Backed</t>
        </is>
      </c>
      <c r="M1133" s="21" t="n">
        <v>42488.0</v>
      </c>
      <c r="N1133" s="22" t="inlineStr">
        <is>
          <t>Product Crowdfunding</t>
        </is>
      </c>
      <c r="O1133" s="23" t="inlineStr">
        <is>
          <t/>
        </is>
      </c>
      <c r="P1133" s="101">
        <f>HYPERLINK("https://my.pitchbook.com?c=157222-00", "View company online")</f>
      </c>
    </row>
    <row r="1134">
      <c r="A1134" s="25" t="inlineStr">
        <is>
          <t>120202-84</t>
        </is>
      </c>
      <c r="B1134" s="26" t="inlineStr">
        <is>
          <t>Spray Networks</t>
        </is>
      </c>
      <c r="C1134" s="78">
        <f>HYPERLINK("https://my.pitchbook.com?rrp=120202-84&amp;type=c", "This Company's information is not available to download. Need this Company? Request availability")</f>
      </c>
      <c r="D1134" s="28" t="inlineStr">
        <is>
          <t/>
        </is>
      </c>
      <c r="E1134" s="29" t="inlineStr">
        <is>
          <t/>
        </is>
      </c>
      <c r="F1134" s="30" t="inlineStr">
        <is>
          <t/>
        </is>
      </c>
      <c r="G1134" s="31" t="inlineStr">
        <is>
          <t/>
        </is>
      </c>
      <c r="H1134" s="32" t="inlineStr">
        <is>
          <t/>
        </is>
      </c>
      <c r="I1134" s="33" t="inlineStr">
        <is>
          <t/>
        </is>
      </c>
      <c r="J1134" s="34" t="inlineStr">
        <is>
          <t/>
        </is>
      </c>
      <c r="K1134" s="35" t="inlineStr">
        <is>
          <t/>
        </is>
      </c>
      <c r="L1134" s="36" t="inlineStr">
        <is>
          <t/>
        </is>
      </c>
      <c r="M1134" s="37" t="inlineStr">
        <is>
          <t/>
        </is>
      </c>
      <c r="N1134" s="38" t="inlineStr">
        <is>
          <t/>
        </is>
      </c>
      <c r="O1134" s="39" t="inlineStr">
        <is>
          <t/>
        </is>
      </c>
      <c r="P1134" s="40" t="inlineStr">
        <is>
          <t/>
        </is>
      </c>
    </row>
    <row r="1135">
      <c r="A1135" s="9" t="inlineStr">
        <is>
          <t>99242-20</t>
        </is>
      </c>
      <c r="B1135" s="10" t="inlineStr">
        <is>
          <t>Spracht</t>
        </is>
      </c>
      <c r="C1135" s="11" t="inlineStr">
        <is>
          <t/>
        </is>
      </c>
      <c r="D1135" s="12" t="inlineStr">
        <is>
          <t/>
        </is>
      </c>
      <c r="E1135" s="13" t="inlineStr">
        <is>
          <t/>
        </is>
      </c>
      <c r="F1135" s="14" t="inlineStr">
        <is>
          <t/>
        </is>
      </c>
      <c r="G1135" s="15" t="inlineStr">
        <is>
          <t/>
        </is>
      </c>
      <c r="H1135" s="16" t="inlineStr">
        <is>
          <t/>
        </is>
      </c>
      <c r="I1135" s="17" t="inlineStr">
        <is>
          <t/>
        </is>
      </c>
      <c r="J1135" s="18" t="inlineStr">
        <is>
          <t/>
        </is>
      </c>
      <c r="K1135" s="19" t="inlineStr">
        <is>
          <t>Privately Held (backing)</t>
        </is>
      </c>
      <c r="L1135" s="20" t="inlineStr">
        <is>
          <t>Angel-Backed</t>
        </is>
      </c>
      <c r="M1135" s="21" t="n">
        <v>41948.0</v>
      </c>
      <c r="N1135" s="22" t="inlineStr">
        <is>
          <t>Angel (individual)</t>
        </is>
      </c>
      <c r="O1135" s="23" t="n">
        <v>5.7</v>
      </c>
      <c r="P1135" s="101">
        <f>HYPERLINK("https://my.pitchbook.com?c=99242-20", "View company online")</f>
      </c>
    </row>
    <row r="1136">
      <c r="A1136" s="25" t="inlineStr">
        <is>
          <t>90167-86</t>
        </is>
      </c>
      <c r="B1136" s="26" t="inlineStr">
        <is>
          <t>Spout</t>
        </is>
      </c>
      <c r="C1136" s="27" t="inlineStr">
        <is>
          <t/>
        </is>
      </c>
      <c r="D1136" s="28" t="inlineStr">
        <is>
          <t/>
        </is>
      </c>
      <c r="E1136" s="29" t="inlineStr">
        <is>
          <t/>
        </is>
      </c>
      <c r="F1136" s="30" t="inlineStr">
        <is>
          <t/>
        </is>
      </c>
      <c r="G1136" s="31" t="inlineStr">
        <is>
          <t/>
        </is>
      </c>
      <c r="H1136" s="32" t="inlineStr">
        <is>
          <t/>
        </is>
      </c>
      <c r="I1136" s="33" t="inlineStr">
        <is>
          <t/>
        </is>
      </c>
      <c r="J1136" s="34" t="inlineStr">
        <is>
          <t/>
        </is>
      </c>
      <c r="K1136" s="35" t="inlineStr">
        <is>
          <t>Privately Held (backing)</t>
        </is>
      </c>
      <c r="L1136" s="36" t="inlineStr">
        <is>
          <t>Accelerator/Incubator Backed</t>
        </is>
      </c>
      <c r="M1136" s="37" t="n">
        <v>41683.0</v>
      </c>
      <c r="N1136" s="38" t="inlineStr">
        <is>
          <t>Accelerator/Incubator</t>
        </is>
      </c>
      <c r="O1136" s="39" t="n">
        <v>0.02</v>
      </c>
      <c r="P1136" s="102">
        <f>HYPERLINK("https://my.pitchbook.com?c=90167-86", "View company online")</f>
      </c>
    </row>
    <row r="1137">
      <c r="A1137" s="9" t="inlineStr">
        <is>
          <t>160126-66</t>
        </is>
      </c>
      <c r="B1137" s="10" t="inlineStr">
        <is>
          <t>Spotlight: Girls</t>
        </is>
      </c>
      <c r="C1137" s="11" t="inlineStr">
        <is>
          <t/>
        </is>
      </c>
      <c r="D1137" s="12" t="inlineStr">
        <is>
          <t/>
        </is>
      </c>
      <c r="E1137" s="13" t="inlineStr">
        <is>
          <t/>
        </is>
      </c>
      <c r="F1137" s="14" t="inlineStr">
        <is>
          <t/>
        </is>
      </c>
      <c r="G1137" s="15" t="inlineStr">
        <is>
          <t/>
        </is>
      </c>
      <c r="H1137" s="16" t="inlineStr">
        <is>
          <t/>
        </is>
      </c>
      <c r="I1137" s="17" t="inlineStr">
        <is>
          <t/>
        </is>
      </c>
      <c r="J1137" s="18" t="inlineStr">
        <is>
          <t/>
        </is>
      </c>
      <c r="K1137" s="19" t="inlineStr">
        <is>
          <t>Privately Held (backing)</t>
        </is>
      </c>
      <c r="L1137" s="20" t="inlineStr">
        <is>
          <t>Angel-Backed</t>
        </is>
      </c>
      <c r="M1137" s="21" t="n">
        <v>42506.0</v>
      </c>
      <c r="N1137" s="22" t="inlineStr">
        <is>
          <t>Angel (individual)</t>
        </is>
      </c>
      <c r="O1137" s="23" t="n">
        <v>0.1</v>
      </c>
      <c r="P1137" s="101">
        <f>HYPERLINK("https://my.pitchbook.com?c=160126-66", "View company online")</f>
      </c>
    </row>
    <row r="1138">
      <c r="A1138" s="25" t="inlineStr">
        <is>
          <t>96749-92</t>
        </is>
      </c>
      <c r="B1138" s="26" t="inlineStr">
        <is>
          <t>Spotlight Financial</t>
        </is>
      </c>
      <c r="C1138" s="78">
        <f>HYPERLINK("https://my.pitchbook.com?rrp=96749-92&amp;type=c", "This Company's information is not available to download. Need this Company? Request availability")</f>
      </c>
      <c r="D1138" s="28" t="inlineStr">
        <is>
          <t/>
        </is>
      </c>
      <c r="E1138" s="29" t="inlineStr">
        <is>
          <t/>
        </is>
      </c>
      <c r="F1138" s="30" t="inlineStr">
        <is>
          <t/>
        </is>
      </c>
      <c r="G1138" s="31" t="inlineStr">
        <is>
          <t/>
        </is>
      </c>
      <c r="H1138" s="32" t="inlineStr">
        <is>
          <t/>
        </is>
      </c>
      <c r="I1138" s="33" t="inlineStr">
        <is>
          <t/>
        </is>
      </c>
      <c r="J1138" s="34" t="inlineStr">
        <is>
          <t/>
        </is>
      </c>
      <c r="K1138" s="35" t="inlineStr">
        <is>
          <t/>
        </is>
      </c>
      <c r="L1138" s="36" t="inlineStr">
        <is>
          <t/>
        </is>
      </c>
      <c r="M1138" s="37" t="inlineStr">
        <is>
          <t/>
        </is>
      </c>
      <c r="N1138" s="38" t="inlineStr">
        <is>
          <t/>
        </is>
      </c>
      <c r="O1138" s="39" t="inlineStr">
        <is>
          <t/>
        </is>
      </c>
      <c r="P1138" s="40" t="inlineStr">
        <is>
          <t/>
        </is>
      </c>
    </row>
    <row r="1139">
      <c r="A1139" s="9" t="inlineStr">
        <is>
          <t>161563-51</t>
        </is>
      </c>
      <c r="B1139" s="10" t="inlineStr">
        <is>
          <t>Spotlight Education</t>
        </is>
      </c>
      <c r="C1139" s="11" t="inlineStr">
        <is>
          <t/>
        </is>
      </c>
      <c r="D1139" s="12" t="inlineStr">
        <is>
          <t/>
        </is>
      </c>
      <c r="E1139" s="13" t="inlineStr">
        <is>
          <t/>
        </is>
      </c>
      <c r="F1139" s="14" t="inlineStr">
        <is>
          <t/>
        </is>
      </c>
      <c r="G1139" s="15" t="inlineStr">
        <is>
          <t/>
        </is>
      </c>
      <c r="H1139" s="16" t="inlineStr">
        <is>
          <t/>
        </is>
      </c>
      <c r="I1139" s="17" t="inlineStr">
        <is>
          <t/>
        </is>
      </c>
      <c r="J1139" s="18" t="inlineStr">
        <is>
          <t/>
        </is>
      </c>
      <c r="K1139" s="19" t="inlineStr">
        <is>
          <t>Privately Held (backing)</t>
        </is>
      </c>
      <c r="L1139" s="20" t="inlineStr">
        <is>
          <t>Angel-Backed</t>
        </is>
      </c>
      <c r="M1139" s="21" t="n">
        <v>42248.0</v>
      </c>
      <c r="N1139" s="22" t="inlineStr">
        <is>
          <t>Angel (individual)</t>
        </is>
      </c>
      <c r="O1139" s="23" t="n">
        <v>0.25</v>
      </c>
      <c r="P1139" s="101">
        <f>HYPERLINK("https://my.pitchbook.com?c=161563-51", "View company online")</f>
      </c>
    </row>
    <row r="1140">
      <c r="A1140" s="25" t="inlineStr">
        <is>
          <t>103002-04</t>
        </is>
      </c>
      <c r="B1140" s="26" t="inlineStr">
        <is>
          <t>Spotjournal</t>
        </is>
      </c>
      <c r="C1140" s="27" t="inlineStr">
        <is>
          <t/>
        </is>
      </c>
      <c r="D1140" s="28" t="inlineStr">
        <is>
          <t/>
        </is>
      </c>
      <c r="E1140" s="29" t="inlineStr">
        <is>
          <t/>
        </is>
      </c>
      <c r="F1140" s="30" t="inlineStr">
        <is>
          <t/>
        </is>
      </c>
      <c r="G1140" s="31" t="inlineStr">
        <is>
          <t/>
        </is>
      </c>
      <c r="H1140" s="32" t="inlineStr">
        <is>
          <t/>
        </is>
      </c>
      <c r="I1140" s="33" t="inlineStr">
        <is>
          <t/>
        </is>
      </c>
      <c r="J1140" s="34" t="inlineStr">
        <is>
          <t/>
        </is>
      </c>
      <c r="K1140" s="35" t="inlineStr">
        <is>
          <t>Privately Held (backing)</t>
        </is>
      </c>
      <c r="L1140" s="36" t="inlineStr">
        <is>
          <t>Angel-Backed</t>
        </is>
      </c>
      <c r="M1140" s="37" t="n">
        <v>41849.0</v>
      </c>
      <c r="N1140" s="38" t="inlineStr">
        <is>
          <t>Convertible Debt</t>
        </is>
      </c>
      <c r="O1140" s="39" t="n">
        <v>0.03</v>
      </c>
      <c r="P1140" s="102">
        <f>HYPERLINK("https://my.pitchbook.com?c=103002-04", "View company online")</f>
      </c>
    </row>
    <row r="1141">
      <c r="A1141" s="9" t="inlineStr">
        <is>
          <t>100338-49</t>
        </is>
      </c>
      <c r="B1141" s="10" t="inlineStr">
        <is>
          <t>SpotDy</t>
        </is>
      </c>
      <c r="C1141" s="11" t="inlineStr">
        <is>
          <t/>
        </is>
      </c>
      <c r="D1141" s="12" t="inlineStr">
        <is>
          <t/>
        </is>
      </c>
      <c r="E1141" s="13" t="inlineStr">
        <is>
          <t/>
        </is>
      </c>
      <c r="F1141" s="14" t="inlineStr">
        <is>
          <t/>
        </is>
      </c>
      <c r="G1141" s="15" t="inlineStr">
        <is>
          <t/>
        </is>
      </c>
      <c r="H1141" s="16" t="inlineStr">
        <is>
          <t/>
        </is>
      </c>
      <c r="I1141" s="17" t="inlineStr">
        <is>
          <t/>
        </is>
      </c>
      <c r="J1141" s="18" t="inlineStr">
        <is>
          <t/>
        </is>
      </c>
      <c r="K1141" s="19" t="inlineStr">
        <is>
          <t>Privately Held (backing)</t>
        </is>
      </c>
      <c r="L1141" s="20" t="inlineStr">
        <is>
          <t>Accelerator/Incubator Backed</t>
        </is>
      </c>
      <c r="M1141" s="21" t="n">
        <v>41911.0</v>
      </c>
      <c r="N1141" s="22" t="inlineStr">
        <is>
          <t>Accelerator/Incubator</t>
        </is>
      </c>
      <c r="O1141" s="23" t="inlineStr">
        <is>
          <t/>
        </is>
      </c>
      <c r="P1141" s="101">
        <f>HYPERLINK("https://my.pitchbook.com?c=100338-49", "View company online")</f>
      </c>
    </row>
    <row r="1142">
      <c r="A1142" s="25" t="inlineStr">
        <is>
          <t>156486-43</t>
        </is>
      </c>
      <c r="B1142" s="26" t="inlineStr">
        <is>
          <t>Spotbot</t>
        </is>
      </c>
      <c r="C1142" s="27" t="inlineStr">
        <is>
          <t/>
        </is>
      </c>
      <c r="D1142" s="28" t="inlineStr">
        <is>
          <t/>
        </is>
      </c>
      <c r="E1142" s="29" t="inlineStr">
        <is>
          <t/>
        </is>
      </c>
      <c r="F1142" s="30" t="inlineStr">
        <is>
          <t/>
        </is>
      </c>
      <c r="G1142" s="31" t="inlineStr">
        <is>
          <t/>
        </is>
      </c>
      <c r="H1142" s="32" t="inlineStr">
        <is>
          <t/>
        </is>
      </c>
      <c r="I1142" s="33" t="inlineStr">
        <is>
          <t/>
        </is>
      </c>
      <c r="J1142" s="34" t="inlineStr">
        <is>
          <t/>
        </is>
      </c>
      <c r="K1142" s="35" t="inlineStr">
        <is>
          <t>Privately Held (backing)</t>
        </is>
      </c>
      <c r="L1142" s="36" t="inlineStr">
        <is>
          <t>Accelerator/Incubator Backed</t>
        </is>
      </c>
      <c r="M1142" s="37" t="n">
        <v>42461.0</v>
      </c>
      <c r="N1142" s="38" t="inlineStr">
        <is>
          <t>Accelerator/Incubator</t>
        </is>
      </c>
      <c r="O1142" s="39" t="n">
        <v>0.02</v>
      </c>
      <c r="P1142" s="102">
        <f>HYPERLINK("https://my.pitchbook.com?c=156486-43", "View company online")</f>
      </c>
    </row>
    <row r="1143">
      <c r="A1143" s="9" t="inlineStr">
        <is>
          <t>65164-87</t>
        </is>
      </c>
      <c r="B1143" s="10" t="inlineStr">
        <is>
          <t>Spot On Networks</t>
        </is>
      </c>
      <c r="C1143" s="11" t="inlineStr">
        <is>
          <t/>
        </is>
      </c>
      <c r="D1143" s="12" t="inlineStr">
        <is>
          <t/>
        </is>
      </c>
      <c r="E1143" s="13" t="inlineStr">
        <is>
          <t>FY 2014</t>
        </is>
      </c>
      <c r="F1143" s="14" t="n">
        <v>4.46</v>
      </c>
      <c r="G1143" s="15" t="inlineStr">
        <is>
          <t/>
        </is>
      </c>
      <c r="H1143" s="16" t="inlineStr">
        <is>
          <t/>
        </is>
      </c>
      <c r="I1143" s="17" t="inlineStr">
        <is>
          <t/>
        </is>
      </c>
      <c r="J1143" s="18" t="inlineStr">
        <is>
          <t/>
        </is>
      </c>
      <c r="K1143" s="19" t="inlineStr">
        <is>
          <t>Privately Held (backing)</t>
        </is>
      </c>
      <c r="L1143" s="20" t="inlineStr">
        <is>
          <t>Angel-Backed</t>
        </is>
      </c>
      <c r="M1143" s="21" t="n">
        <v>41114.0</v>
      </c>
      <c r="N1143" s="22" t="inlineStr">
        <is>
          <t>Angel (individual)</t>
        </is>
      </c>
      <c r="O1143" s="23" t="inlineStr">
        <is>
          <t/>
        </is>
      </c>
      <c r="P1143" s="101">
        <f>HYPERLINK("https://my.pitchbook.com?c=65164-87", "View company online")</f>
      </c>
    </row>
    <row r="1144">
      <c r="A1144" s="25" t="inlineStr">
        <is>
          <t>168669-64</t>
        </is>
      </c>
      <c r="B1144" s="26" t="inlineStr">
        <is>
          <t>Spot Angels</t>
        </is>
      </c>
      <c r="C1144" s="27" t="inlineStr">
        <is>
          <t/>
        </is>
      </c>
      <c r="D1144" s="28" t="inlineStr">
        <is>
          <t/>
        </is>
      </c>
      <c r="E1144" s="29" t="inlineStr">
        <is>
          <t/>
        </is>
      </c>
      <c r="F1144" s="30" t="inlineStr">
        <is>
          <t/>
        </is>
      </c>
      <c r="G1144" s="31" t="inlineStr">
        <is>
          <t/>
        </is>
      </c>
      <c r="H1144" s="32" t="inlineStr">
        <is>
          <t/>
        </is>
      </c>
      <c r="I1144" s="33" t="inlineStr">
        <is>
          <t/>
        </is>
      </c>
      <c r="J1144" s="34" t="inlineStr">
        <is>
          <t/>
        </is>
      </c>
      <c r="K1144" s="35" t="inlineStr">
        <is>
          <t>Privately Held (backing)</t>
        </is>
      </c>
      <c r="L1144" s="36" t="inlineStr">
        <is>
          <t>Accelerator/Incubator Backed</t>
        </is>
      </c>
      <c r="M1144" s="37" t="n">
        <v>41640.0</v>
      </c>
      <c r="N1144" s="38" t="inlineStr">
        <is>
          <t>Accelerator/Incubator</t>
        </is>
      </c>
      <c r="O1144" s="39" t="n">
        <v>0.12</v>
      </c>
      <c r="P1144" s="102">
        <f>HYPERLINK("https://my.pitchbook.com?c=168669-64", "View company online")</f>
      </c>
    </row>
    <row r="1145">
      <c r="A1145" s="9" t="inlineStr">
        <is>
          <t>169080-76</t>
        </is>
      </c>
      <c r="B1145" s="10" t="inlineStr">
        <is>
          <t>SportsETFs</t>
        </is>
      </c>
      <c r="C1145" s="11" t="inlineStr">
        <is>
          <t/>
        </is>
      </c>
      <c r="D1145" s="12" t="inlineStr">
        <is>
          <t/>
        </is>
      </c>
      <c r="E1145" s="13" t="inlineStr">
        <is>
          <t/>
        </is>
      </c>
      <c r="F1145" s="14" t="inlineStr">
        <is>
          <t/>
        </is>
      </c>
      <c r="G1145" s="15" t="inlineStr">
        <is>
          <t/>
        </is>
      </c>
      <c r="H1145" s="16" t="inlineStr">
        <is>
          <t/>
        </is>
      </c>
      <c r="I1145" s="17" t="inlineStr">
        <is>
          <t/>
        </is>
      </c>
      <c r="J1145" s="18" t="inlineStr">
        <is>
          <t/>
        </is>
      </c>
      <c r="K1145" s="19" t="inlineStr">
        <is>
          <t>Privately Held (backing)</t>
        </is>
      </c>
      <c r="L1145" s="20" t="inlineStr">
        <is>
          <t>Angel-Backed</t>
        </is>
      </c>
      <c r="M1145" s="21" t="n">
        <v>42719.0</v>
      </c>
      <c r="N1145" s="22" t="inlineStr">
        <is>
          <t>Angel (individual)</t>
        </is>
      </c>
      <c r="O1145" s="23" t="n">
        <v>0.5</v>
      </c>
      <c r="P1145" s="101">
        <f>HYPERLINK("https://my.pitchbook.com?c=169080-76", "View company online")</f>
      </c>
    </row>
    <row r="1146">
      <c r="A1146" s="25" t="inlineStr">
        <is>
          <t>88558-66</t>
        </is>
      </c>
      <c r="B1146" s="26" t="inlineStr">
        <is>
          <t>Sporthold</t>
        </is>
      </c>
      <c r="C1146" s="27" t="inlineStr">
        <is>
          <t/>
        </is>
      </c>
      <c r="D1146" s="28" t="inlineStr">
        <is>
          <t/>
        </is>
      </c>
      <c r="E1146" s="29" t="inlineStr">
        <is>
          <t/>
        </is>
      </c>
      <c r="F1146" s="30" t="inlineStr">
        <is>
          <t/>
        </is>
      </c>
      <c r="G1146" s="31" t="inlineStr">
        <is>
          <t/>
        </is>
      </c>
      <c r="H1146" s="32" t="inlineStr">
        <is>
          <t/>
        </is>
      </c>
      <c r="I1146" s="33" t="inlineStr">
        <is>
          <t/>
        </is>
      </c>
      <c r="J1146" s="34" t="inlineStr">
        <is>
          <t/>
        </is>
      </c>
      <c r="K1146" s="35" t="inlineStr">
        <is>
          <t>Privately Held (backing)</t>
        </is>
      </c>
      <c r="L1146" s="36" t="inlineStr">
        <is>
          <t>Accelerator/Incubator Backed</t>
        </is>
      </c>
      <c r="M1146" s="37" t="n">
        <v>41865.0</v>
      </c>
      <c r="N1146" s="38" t="inlineStr">
        <is>
          <t>Angel (individual)</t>
        </is>
      </c>
      <c r="O1146" s="39" t="n">
        <v>0.1</v>
      </c>
      <c r="P1146" s="102">
        <f>HYPERLINK("https://my.pitchbook.com?c=88558-66", "View company online")</f>
      </c>
    </row>
    <row r="1147">
      <c r="A1147" s="9" t="inlineStr">
        <is>
          <t>104176-18</t>
        </is>
      </c>
      <c r="B1147" s="10" t="inlineStr">
        <is>
          <t>SportConnect</t>
        </is>
      </c>
      <c r="C1147" s="11" t="inlineStr">
        <is>
          <t/>
        </is>
      </c>
      <c r="D1147" s="12" t="inlineStr">
        <is>
          <t/>
        </is>
      </c>
      <c r="E1147" s="13" t="inlineStr">
        <is>
          <t/>
        </is>
      </c>
      <c r="F1147" s="14" t="inlineStr">
        <is>
          <t/>
        </is>
      </c>
      <c r="G1147" s="15" t="inlineStr">
        <is>
          <t/>
        </is>
      </c>
      <c r="H1147" s="16" t="inlineStr">
        <is>
          <t/>
        </is>
      </c>
      <c r="I1147" s="17" t="inlineStr">
        <is>
          <t/>
        </is>
      </c>
      <c r="J1147" s="18" t="inlineStr">
        <is>
          <t/>
        </is>
      </c>
      <c r="K1147" s="19" t="inlineStr">
        <is>
          <t>Privately Held (backing)</t>
        </is>
      </c>
      <c r="L1147" s="20" t="inlineStr">
        <is>
          <t>Accelerator/Incubator Backed</t>
        </is>
      </c>
      <c r="M1147" s="21" t="n">
        <v>42239.0</v>
      </c>
      <c r="N1147" s="22" t="inlineStr">
        <is>
          <t>Accelerator/Incubator</t>
        </is>
      </c>
      <c r="O1147" s="23" t="inlineStr">
        <is>
          <t/>
        </is>
      </c>
      <c r="P1147" s="101">
        <f>HYPERLINK("https://my.pitchbook.com?c=104176-18", "View company online")</f>
      </c>
    </row>
    <row r="1148">
      <c r="A1148" s="25" t="inlineStr">
        <is>
          <t>167442-04</t>
        </is>
      </c>
      <c r="B1148" s="26" t="inlineStr">
        <is>
          <t>Spoondrift</t>
        </is>
      </c>
      <c r="C1148" s="27" t="inlineStr">
        <is>
          <t/>
        </is>
      </c>
      <c r="D1148" s="28" t="inlineStr">
        <is>
          <t/>
        </is>
      </c>
      <c r="E1148" s="29" t="inlineStr">
        <is>
          <t/>
        </is>
      </c>
      <c r="F1148" s="30" t="inlineStr">
        <is>
          <t/>
        </is>
      </c>
      <c r="G1148" s="31" t="inlineStr">
        <is>
          <t/>
        </is>
      </c>
      <c r="H1148" s="32" t="inlineStr">
        <is>
          <t/>
        </is>
      </c>
      <c r="I1148" s="33" t="inlineStr">
        <is>
          <t/>
        </is>
      </c>
      <c r="J1148" s="34" t="inlineStr">
        <is>
          <t/>
        </is>
      </c>
      <c r="K1148" s="35" t="inlineStr">
        <is>
          <t>Privately Held (backing)</t>
        </is>
      </c>
      <c r="L1148" s="36" t="inlineStr">
        <is>
          <t>Angel-Backed</t>
        </is>
      </c>
      <c r="M1148" s="37" t="n">
        <v>42664.0</v>
      </c>
      <c r="N1148" s="38" t="inlineStr">
        <is>
          <t>Seed Round</t>
        </is>
      </c>
      <c r="O1148" s="39" t="n">
        <v>0.35</v>
      </c>
      <c r="P1148" s="102">
        <f>HYPERLINK("https://my.pitchbook.com?c=167442-04", "View company online")</f>
      </c>
    </row>
    <row r="1149">
      <c r="A1149" s="9" t="inlineStr">
        <is>
          <t>157036-24</t>
        </is>
      </c>
      <c r="B1149" s="10" t="inlineStr">
        <is>
          <t>Spontime</t>
        </is>
      </c>
      <c r="C1149" s="11" t="inlineStr">
        <is>
          <t/>
        </is>
      </c>
      <c r="D1149" s="12" t="inlineStr">
        <is>
          <t/>
        </is>
      </c>
      <c r="E1149" s="13" t="inlineStr">
        <is>
          <t/>
        </is>
      </c>
      <c r="F1149" s="14" t="inlineStr">
        <is>
          <t/>
        </is>
      </c>
      <c r="G1149" s="15" t="inlineStr">
        <is>
          <t/>
        </is>
      </c>
      <c r="H1149" s="16" t="inlineStr">
        <is>
          <t/>
        </is>
      </c>
      <c r="I1149" s="17" t="inlineStr">
        <is>
          <t/>
        </is>
      </c>
      <c r="J1149" s="18" t="inlineStr">
        <is>
          <t/>
        </is>
      </c>
      <c r="K1149" s="19" t="inlineStr">
        <is>
          <t>Privately Held (backing)</t>
        </is>
      </c>
      <c r="L1149" s="20" t="inlineStr">
        <is>
          <t>Angel-Backed</t>
        </is>
      </c>
      <c r="M1149" s="21" t="n">
        <v>42592.0</v>
      </c>
      <c r="N1149" s="22" t="inlineStr">
        <is>
          <t>Angel (individual)</t>
        </is>
      </c>
      <c r="O1149" s="23" t="n">
        <v>0.2</v>
      </c>
      <c r="P1149" s="101">
        <f>HYPERLINK("https://my.pitchbook.com?c=157036-24", "View company online")</f>
      </c>
    </row>
    <row r="1150">
      <c r="A1150" s="25" t="inlineStr">
        <is>
          <t>104176-00</t>
        </is>
      </c>
      <c r="B1150" s="26" t="inlineStr">
        <is>
          <t>Sponsorbrite</t>
        </is>
      </c>
      <c r="C1150" s="27" t="inlineStr">
        <is>
          <t/>
        </is>
      </c>
      <c r="D1150" s="28" t="inlineStr">
        <is>
          <t/>
        </is>
      </c>
      <c r="E1150" s="29" t="inlineStr">
        <is>
          <t/>
        </is>
      </c>
      <c r="F1150" s="30" t="inlineStr">
        <is>
          <t/>
        </is>
      </c>
      <c r="G1150" s="31" t="inlineStr">
        <is>
          <t/>
        </is>
      </c>
      <c r="H1150" s="32" t="inlineStr">
        <is>
          <t/>
        </is>
      </c>
      <c r="I1150" s="33" t="inlineStr">
        <is>
          <t/>
        </is>
      </c>
      <c r="J1150" s="34" t="inlineStr">
        <is>
          <t/>
        </is>
      </c>
      <c r="K1150" s="35" t="inlineStr">
        <is>
          <t>Privately Held (backing)</t>
        </is>
      </c>
      <c r="L1150" s="36" t="inlineStr">
        <is>
          <t>Angel-Backed</t>
        </is>
      </c>
      <c r="M1150" s="37" t="inlineStr">
        <is>
          <t/>
        </is>
      </c>
      <c r="N1150" s="38" t="inlineStr">
        <is>
          <t>Angel (individual)</t>
        </is>
      </c>
      <c r="O1150" s="39" t="inlineStr">
        <is>
          <t/>
        </is>
      </c>
      <c r="P1150" s="102">
        <f>HYPERLINK("https://my.pitchbook.com?c=104176-00", "View company online")</f>
      </c>
    </row>
    <row r="1151">
      <c r="A1151" s="9" t="inlineStr">
        <is>
          <t>171353-89</t>
        </is>
      </c>
      <c r="B1151" s="10" t="inlineStr">
        <is>
          <t>Spoke Phone</t>
        </is>
      </c>
      <c r="C1151" s="77">
        <f>HYPERLINK("https://my.pitchbook.com?rrp=171353-89&amp;type=c", "This Company's information is not available to download. Need this Company? Request availability")</f>
      </c>
      <c r="D1151" s="12" t="inlineStr">
        <is>
          <t/>
        </is>
      </c>
      <c r="E1151" s="13" t="inlineStr">
        <is>
          <t/>
        </is>
      </c>
      <c r="F1151" s="14" t="inlineStr">
        <is>
          <t/>
        </is>
      </c>
      <c r="G1151" s="15" t="inlineStr">
        <is>
          <t/>
        </is>
      </c>
      <c r="H1151" s="16" t="inlineStr">
        <is>
          <t/>
        </is>
      </c>
      <c r="I1151" s="17" t="inlineStr">
        <is>
          <t/>
        </is>
      </c>
      <c r="J1151" s="18" t="inlineStr">
        <is>
          <t/>
        </is>
      </c>
      <c r="K1151" s="19" t="inlineStr">
        <is>
          <t/>
        </is>
      </c>
      <c r="L1151" s="20" t="inlineStr">
        <is>
          <t/>
        </is>
      </c>
      <c r="M1151" s="21" t="inlineStr">
        <is>
          <t/>
        </is>
      </c>
      <c r="N1151" s="22" t="inlineStr">
        <is>
          <t/>
        </is>
      </c>
      <c r="O1151" s="23" t="inlineStr">
        <is>
          <t/>
        </is>
      </c>
      <c r="P1151" s="24" t="inlineStr">
        <is>
          <t/>
        </is>
      </c>
    </row>
    <row r="1152">
      <c r="A1152" s="25" t="inlineStr">
        <is>
          <t>102452-68</t>
        </is>
      </c>
      <c r="B1152" s="26" t="inlineStr">
        <is>
          <t>Spoil</t>
        </is>
      </c>
      <c r="C1152" s="27" t="inlineStr">
        <is>
          <t/>
        </is>
      </c>
      <c r="D1152" s="28" t="inlineStr">
        <is>
          <t/>
        </is>
      </c>
      <c r="E1152" s="29" t="inlineStr">
        <is>
          <t/>
        </is>
      </c>
      <c r="F1152" s="30" t="inlineStr">
        <is>
          <t/>
        </is>
      </c>
      <c r="G1152" s="31" t="inlineStr">
        <is>
          <t/>
        </is>
      </c>
      <c r="H1152" s="32" t="inlineStr">
        <is>
          <t/>
        </is>
      </c>
      <c r="I1152" s="33" t="inlineStr">
        <is>
          <t/>
        </is>
      </c>
      <c r="J1152" s="34" t="inlineStr">
        <is>
          <t/>
        </is>
      </c>
      <c r="K1152" s="35" t="inlineStr">
        <is>
          <t>Privately Held (backing)</t>
        </is>
      </c>
      <c r="L1152" s="36" t="inlineStr">
        <is>
          <t>Accelerator/Incubator Backed</t>
        </is>
      </c>
      <c r="M1152" s="37" t="n">
        <v>42005.0</v>
      </c>
      <c r="N1152" s="38" t="inlineStr">
        <is>
          <t>Accelerator/Incubator</t>
        </is>
      </c>
      <c r="O1152" s="39" t="n">
        <v>0.12</v>
      </c>
      <c r="P1152" s="102">
        <f>HYPERLINK("https://my.pitchbook.com?c=102452-68", "View company online")</f>
      </c>
    </row>
    <row r="1153">
      <c r="A1153" s="9" t="inlineStr">
        <is>
          <t>156829-78</t>
        </is>
      </c>
      <c r="B1153" s="10" t="inlineStr">
        <is>
          <t>Splore (Photo Sharing)</t>
        </is>
      </c>
      <c r="C1153" s="11" t="inlineStr">
        <is>
          <t/>
        </is>
      </c>
      <c r="D1153" s="12" t="inlineStr">
        <is>
          <t/>
        </is>
      </c>
      <c r="E1153" s="13" t="inlineStr">
        <is>
          <t/>
        </is>
      </c>
      <c r="F1153" s="14" t="inlineStr">
        <is>
          <t/>
        </is>
      </c>
      <c r="G1153" s="15" t="inlineStr">
        <is>
          <t/>
        </is>
      </c>
      <c r="H1153" s="16" t="inlineStr">
        <is>
          <t/>
        </is>
      </c>
      <c r="I1153" s="17" t="inlineStr">
        <is>
          <t/>
        </is>
      </c>
      <c r="J1153" s="18" t="inlineStr">
        <is>
          <t/>
        </is>
      </c>
      <c r="K1153" s="19" t="inlineStr">
        <is>
          <t>Privately Held (backing)</t>
        </is>
      </c>
      <c r="L1153" s="20" t="inlineStr">
        <is>
          <t>Angel-Backed</t>
        </is>
      </c>
      <c r="M1153" s="21" t="n">
        <v>42093.0</v>
      </c>
      <c r="N1153" s="22" t="inlineStr">
        <is>
          <t>Seed Round</t>
        </is>
      </c>
      <c r="O1153" s="23" t="n">
        <v>0.38</v>
      </c>
      <c r="P1153" s="101">
        <f>HYPERLINK("https://my.pitchbook.com?c=156829-78", "View company online")</f>
      </c>
    </row>
    <row r="1154">
      <c r="A1154" s="25" t="inlineStr">
        <is>
          <t>89767-72</t>
        </is>
      </c>
      <c r="B1154" s="26" t="inlineStr">
        <is>
          <t>Splenvid</t>
        </is>
      </c>
      <c r="C1154" s="27" t="inlineStr">
        <is>
          <t/>
        </is>
      </c>
      <c r="D1154" s="28" t="inlineStr">
        <is>
          <t/>
        </is>
      </c>
      <c r="E1154" s="29" t="inlineStr">
        <is>
          <t/>
        </is>
      </c>
      <c r="F1154" s="30" t="inlineStr">
        <is>
          <t/>
        </is>
      </c>
      <c r="G1154" s="31" t="inlineStr">
        <is>
          <t/>
        </is>
      </c>
      <c r="H1154" s="32" t="inlineStr">
        <is>
          <t/>
        </is>
      </c>
      <c r="I1154" s="33" t="inlineStr">
        <is>
          <t/>
        </is>
      </c>
      <c r="J1154" s="34" t="inlineStr">
        <is>
          <t/>
        </is>
      </c>
      <c r="K1154" s="35" t="inlineStr">
        <is>
          <t>Privately Held (backing)</t>
        </is>
      </c>
      <c r="L1154" s="36" t="inlineStr">
        <is>
          <t>Accelerator/Incubator Backed</t>
        </is>
      </c>
      <c r="M1154" s="37" t="n">
        <v>41745.0</v>
      </c>
      <c r="N1154" s="38" t="inlineStr">
        <is>
          <t>Accelerator/Incubator</t>
        </is>
      </c>
      <c r="O1154" s="39" t="inlineStr">
        <is>
          <t/>
        </is>
      </c>
      <c r="P1154" s="102">
        <f>HYPERLINK("https://my.pitchbook.com?c=89767-72", "View company online")</f>
      </c>
    </row>
    <row r="1155">
      <c r="A1155" s="9" t="inlineStr">
        <is>
          <t>58131-28</t>
        </is>
      </c>
      <c r="B1155" s="10" t="inlineStr">
        <is>
          <t>Splash Technologies</t>
        </is>
      </c>
      <c r="C1155" s="11" t="inlineStr">
        <is>
          <t/>
        </is>
      </c>
      <c r="D1155" s="12" t="inlineStr">
        <is>
          <t/>
        </is>
      </c>
      <c r="E1155" s="13" t="inlineStr">
        <is>
          <t/>
        </is>
      </c>
      <c r="F1155" s="14" t="inlineStr">
        <is>
          <t/>
        </is>
      </c>
      <c r="G1155" s="15" t="inlineStr">
        <is>
          <t/>
        </is>
      </c>
      <c r="H1155" s="16" t="inlineStr">
        <is>
          <t/>
        </is>
      </c>
      <c r="I1155" s="17" t="inlineStr">
        <is>
          <t/>
        </is>
      </c>
      <c r="J1155" s="18" t="inlineStr">
        <is>
          <t/>
        </is>
      </c>
      <c r="K1155" s="19" t="inlineStr">
        <is>
          <t>Privately Held (backing)</t>
        </is>
      </c>
      <c r="L1155" s="20" t="inlineStr">
        <is>
          <t>Accelerator/Incubator Backed</t>
        </is>
      </c>
      <c r="M1155" s="21" t="n">
        <v>41478.0</v>
      </c>
      <c r="N1155" s="22" t="inlineStr">
        <is>
          <t>Accelerator/Incubator</t>
        </is>
      </c>
      <c r="O1155" s="23" t="n">
        <v>0.02</v>
      </c>
      <c r="P1155" s="101">
        <f>HYPERLINK("https://my.pitchbook.com?c=58131-28", "View company online")</f>
      </c>
    </row>
    <row r="1156">
      <c r="A1156" s="25" t="inlineStr">
        <is>
          <t>171748-45</t>
        </is>
      </c>
      <c r="B1156" s="26" t="inlineStr">
        <is>
          <t>Splash - Online Presence Management</t>
        </is>
      </c>
      <c r="C1156" s="78">
        <f>HYPERLINK("https://my.pitchbook.com?rrp=171748-45&amp;type=c", "This Company's information is not available to download. Need this Company? Request availability")</f>
      </c>
      <c r="D1156" s="28" t="inlineStr">
        <is>
          <t/>
        </is>
      </c>
      <c r="E1156" s="29" t="inlineStr">
        <is>
          <t/>
        </is>
      </c>
      <c r="F1156" s="30" t="inlineStr">
        <is>
          <t/>
        </is>
      </c>
      <c r="G1156" s="31" t="inlineStr">
        <is>
          <t/>
        </is>
      </c>
      <c r="H1156" s="32" t="inlineStr">
        <is>
          <t/>
        </is>
      </c>
      <c r="I1156" s="33" t="inlineStr">
        <is>
          <t/>
        </is>
      </c>
      <c r="J1156" s="34" t="inlineStr">
        <is>
          <t/>
        </is>
      </c>
      <c r="K1156" s="35" t="inlineStr">
        <is>
          <t/>
        </is>
      </c>
      <c r="L1156" s="36" t="inlineStr">
        <is>
          <t/>
        </is>
      </c>
      <c r="M1156" s="37" t="inlineStr">
        <is>
          <t/>
        </is>
      </c>
      <c r="N1156" s="38" t="inlineStr">
        <is>
          <t/>
        </is>
      </c>
      <c r="O1156" s="39" t="inlineStr">
        <is>
          <t/>
        </is>
      </c>
      <c r="P1156" s="40" t="inlineStr">
        <is>
          <t/>
        </is>
      </c>
    </row>
    <row r="1157">
      <c r="A1157" s="9" t="inlineStr">
        <is>
          <t>66037-78</t>
        </is>
      </c>
      <c r="B1157" s="10" t="inlineStr">
        <is>
          <t>Spitfire Athlete</t>
        </is>
      </c>
      <c r="C1157" s="11" t="inlineStr">
        <is>
          <t/>
        </is>
      </c>
      <c r="D1157" s="12" t="inlineStr">
        <is>
          <t/>
        </is>
      </c>
      <c r="E1157" s="13" t="inlineStr">
        <is>
          <t/>
        </is>
      </c>
      <c r="F1157" s="14" t="inlineStr">
        <is>
          <t/>
        </is>
      </c>
      <c r="G1157" s="15" t="inlineStr">
        <is>
          <t/>
        </is>
      </c>
      <c r="H1157" s="16" t="inlineStr">
        <is>
          <t/>
        </is>
      </c>
      <c r="I1157" s="17" t="inlineStr">
        <is>
          <t/>
        </is>
      </c>
      <c r="J1157" s="18" t="inlineStr">
        <is>
          <t/>
        </is>
      </c>
      <c r="K1157" s="19" t="inlineStr">
        <is>
          <t>Privately Held (backing)</t>
        </is>
      </c>
      <c r="L1157" s="20" t="inlineStr">
        <is>
          <t>Accelerator/Incubator Backed</t>
        </is>
      </c>
      <c r="M1157" s="21" t="n">
        <v>41866.0</v>
      </c>
      <c r="N1157" s="22" t="inlineStr">
        <is>
          <t>Seed Round</t>
        </is>
      </c>
      <c r="O1157" s="23" t="n">
        <v>0.12</v>
      </c>
      <c r="P1157" s="101">
        <f>HYPERLINK("https://my.pitchbook.com?c=66037-78", "View company online")</f>
      </c>
    </row>
    <row r="1158">
      <c r="A1158" s="25" t="inlineStr">
        <is>
          <t>119117-26</t>
        </is>
      </c>
      <c r="B1158" s="26" t="inlineStr">
        <is>
          <t>Spiral Water Technologies</t>
        </is>
      </c>
      <c r="C1158" s="27" t="inlineStr">
        <is>
          <t/>
        </is>
      </c>
      <c r="D1158" s="28" t="inlineStr">
        <is>
          <t/>
        </is>
      </c>
      <c r="E1158" s="29" t="inlineStr">
        <is>
          <t/>
        </is>
      </c>
      <c r="F1158" s="30" t="inlineStr">
        <is>
          <t/>
        </is>
      </c>
      <c r="G1158" s="31" t="inlineStr">
        <is>
          <t/>
        </is>
      </c>
      <c r="H1158" s="32" t="inlineStr">
        <is>
          <t/>
        </is>
      </c>
      <c r="I1158" s="33" t="inlineStr">
        <is>
          <t/>
        </is>
      </c>
      <c r="J1158" s="34" t="inlineStr">
        <is>
          <t/>
        </is>
      </c>
      <c r="K1158" s="35" t="inlineStr">
        <is>
          <t>Privately Held (backing)</t>
        </is>
      </c>
      <c r="L1158" s="36" t="inlineStr">
        <is>
          <t>Accelerator/Incubator Backed</t>
        </is>
      </c>
      <c r="M1158" s="37" t="n">
        <v>42156.0</v>
      </c>
      <c r="N1158" s="38" t="inlineStr">
        <is>
          <t>Angel (individual)</t>
        </is>
      </c>
      <c r="O1158" s="39" t="n">
        <v>3.0</v>
      </c>
      <c r="P1158" s="102">
        <f>HYPERLINK("https://my.pitchbook.com?c=119117-26", "View company online")</f>
      </c>
    </row>
    <row r="1159">
      <c r="A1159" s="9" t="inlineStr">
        <is>
          <t>92500-03</t>
        </is>
      </c>
      <c r="B1159" s="10" t="inlineStr">
        <is>
          <t>Spinnaker Biosciences</t>
        </is>
      </c>
      <c r="C1159" s="11" t="inlineStr">
        <is>
          <t/>
        </is>
      </c>
      <c r="D1159" s="12" t="inlineStr">
        <is>
          <t/>
        </is>
      </c>
      <c r="E1159" s="13" t="inlineStr">
        <is>
          <t/>
        </is>
      </c>
      <c r="F1159" s="14" t="inlineStr">
        <is>
          <t/>
        </is>
      </c>
      <c r="G1159" s="15" t="inlineStr">
        <is>
          <t/>
        </is>
      </c>
      <c r="H1159" s="16" t="inlineStr">
        <is>
          <t/>
        </is>
      </c>
      <c r="I1159" s="17" t="inlineStr">
        <is>
          <t/>
        </is>
      </c>
      <c r="J1159" s="18" t="inlineStr">
        <is>
          <t/>
        </is>
      </c>
      <c r="K1159" s="19" t="inlineStr">
        <is>
          <t>Privately Held (backing)</t>
        </is>
      </c>
      <c r="L1159" s="20" t="inlineStr">
        <is>
          <t>Angel-Backed</t>
        </is>
      </c>
      <c r="M1159" s="21" t="n">
        <v>42004.0</v>
      </c>
      <c r="N1159" s="22" t="inlineStr">
        <is>
          <t>Angel (individual)</t>
        </is>
      </c>
      <c r="O1159" s="23" t="n">
        <v>0.9</v>
      </c>
      <c r="P1159" s="101">
        <f>HYPERLINK("https://my.pitchbook.com?c=92500-03", "View company online")</f>
      </c>
    </row>
    <row r="1160">
      <c r="A1160" s="25" t="inlineStr">
        <is>
          <t>100022-14</t>
        </is>
      </c>
      <c r="B1160" s="26" t="inlineStr">
        <is>
          <t>Spinn Coffee</t>
        </is>
      </c>
      <c r="C1160" s="27" t="inlineStr">
        <is>
          <t/>
        </is>
      </c>
      <c r="D1160" s="28" t="inlineStr">
        <is>
          <t/>
        </is>
      </c>
      <c r="E1160" s="29" t="inlineStr">
        <is>
          <t/>
        </is>
      </c>
      <c r="F1160" s="30" t="inlineStr">
        <is>
          <t/>
        </is>
      </c>
      <c r="G1160" s="31" t="inlineStr">
        <is>
          <t/>
        </is>
      </c>
      <c r="H1160" s="32" t="inlineStr">
        <is>
          <t/>
        </is>
      </c>
      <c r="I1160" s="33" t="inlineStr">
        <is>
          <t/>
        </is>
      </c>
      <c r="J1160" s="34" t="inlineStr">
        <is>
          <t/>
        </is>
      </c>
      <c r="K1160" s="35" t="inlineStr">
        <is>
          <t>Privately Held (backing)</t>
        </is>
      </c>
      <c r="L1160" s="36" t="inlineStr">
        <is>
          <t>Accelerator/Incubator Backed</t>
        </is>
      </c>
      <c r="M1160" s="37" t="n">
        <v>42410.0</v>
      </c>
      <c r="N1160" s="38" t="inlineStr">
        <is>
          <t>Angel (individual)</t>
        </is>
      </c>
      <c r="O1160" s="39" t="n">
        <v>1.18</v>
      </c>
      <c r="P1160" s="102">
        <f>HYPERLINK("https://my.pitchbook.com?c=100022-14", "View company online")</f>
      </c>
    </row>
    <row r="1161">
      <c r="A1161" s="9" t="inlineStr">
        <is>
          <t>54740-35</t>
        </is>
      </c>
      <c r="B1161" s="10" t="inlineStr">
        <is>
          <t>Spinlister</t>
        </is>
      </c>
      <c r="C1161" s="11" t="inlineStr">
        <is>
          <t/>
        </is>
      </c>
      <c r="D1161" s="12" t="inlineStr">
        <is>
          <t/>
        </is>
      </c>
      <c r="E1161" s="13" t="inlineStr">
        <is>
          <t/>
        </is>
      </c>
      <c r="F1161" s="14" t="inlineStr">
        <is>
          <t/>
        </is>
      </c>
      <c r="G1161" s="15" t="inlineStr">
        <is>
          <t/>
        </is>
      </c>
      <c r="H1161" s="16" t="inlineStr">
        <is>
          <t/>
        </is>
      </c>
      <c r="I1161" s="17" t="inlineStr">
        <is>
          <t/>
        </is>
      </c>
      <c r="J1161" s="18" t="inlineStr">
        <is>
          <t/>
        </is>
      </c>
      <c r="K1161" s="19" t="inlineStr">
        <is>
          <t>Privately Held (backing)</t>
        </is>
      </c>
      <c r="L1161" s="20" t="inlineStr">
        <is>
          <t>Angel-Backed</t>
        </is>
      </c>
      <c r="M1161" s="21" t="n">
        <v>41275.0</v>
      </c>
      <c r="N1161" s="22" t="inlineStr">
        <is>
          <t>Angel (individual)</t>
        </is>
      </c>
      <c r="O1161" s="23" t="n">
        <v>1.7</v>
      </c>
      <c r="P1161" s="101">
        <f>HYPERLINK("https://my.pitchbook.com?c=54740-35", "View company online")</f>
      </c>
    </row>
    <row r="1162">
      <c r="A1162" s="25" t="inlineStr">
        <is>
          <t>123888-16</t>
        </is>
      </c>
      <c r="B1162" s="26" t="inlineStr">
        <is>
          <t>Spinezone Medical Fitness</t>
        </is>
      </c>
      <c r="C1162" s="27" t="inlineStr">
        <is>
          <t/>
        </is>
      </c>
      <c r="D1162" s="28" t="inlineStr">
        <is>
          <t/>
        </is>
      </c>
      <c r="E1162" s="29" t="inlineStr">
        <is>
          <t/>
        </is>
      </c>
      <c r="F1162" s="30" t="inlineStr">
        <is>
          <t/>
        </is>
      </c>
      <c r="G1162" s="31" t="inlineStr">
        <is>
          <t/>
        </is>
      </c>
      <c r="H1162" s="32" t="inlineStr">
        <is>
          <t/>
        </is>
      </c>
      <c r="I1162" s="33" t="inlineStr">
        <is>
          <t/>
        </is>
      </c>
      <c r="J1162" s="34" t="inlineStr">
        <is>
          <t/>
        </is>
      </c>
      <c r="K1162" s="35" t="inlineStr">
        <is>
          <t>Privately Held (backing)</t>
        </is>
      </c>
      <c r="L1162" s="36" t="inlineStr">
        <is>
          <t>Accelerator/Incubator Backed</t>
        </is>
      </c>
      <c r="M1162" s="37" t="n">
        <v>42244.0</v>
      </c>
      <c r="N1162" s="38" t="inlineStr">
        <is>
          <t>Accelerator/Incubator</t>
        </is>
      </c>
      <c r="O1162" s="39" t="inlineStr">
        <is>
          <t/>
        </is>
      </c>
      <c r="P1162" s="102">
        <f>HYPERLINK("https://my.pitchbook.com?c=123888-16", "View company online")</f>
      </c>
    </row>
    <row r="1163">
      <c r="A1163" s="9" t="inlineStr">
        <is>
          <t>155951-02</t>
        </is>
      </c>
      <c r="B1163" s="10" t="inlineStr">
        <is>
          <t>Spinal Singularity</t>
        </is>
      </c>
      <c r="C1163" s="11" t="inlineStr">
        <is>
          <t/>
        </is>
      </c>
      <c r="D1163" s="12" t="inlineStr">
        <is>
          <t/>
        </is>
      </c>
      <c r="E1163" s="13" t="inlineStr">
        <is>
          <t/>
        </is>
      </c>
      <c r="F1163" s="14" t="inlineStr">
        <is>
          <t/>
        </is>
      </c>
      <c r="G1163" s="15" t="inlineStr">
        <is>
          <t/>
        </is>
      </c>
      <c r="H1163" s="16" t="inlineStr">
        <is>
          <t/>
        </is>
      </c>
      <c r="I1163" s="17" t="inlineStr">
        <is>
          <t/>
        </is>
      </c>
      <c r="J1163" s="18" t="inlineStr">
        <is>
          <t/>
        </is>
      </c>
      <c r="K1163" s="19" t="inlineStr">
        <is>
          <t>Privately Held (backing)</t>
        </is>
      </c>
      <c r="L1163" s="20" t="inlineStr">
        <is>
          <t>Accelerator/Incubator Backed</t>
        </is>
      </c>
      <c r="M1163" s="21" t="n">
        <v>42452.0</v>
      </c>
      <c r="N1163" s="22" t="inlineStr">
        <is>
          <t>Accelerator/Incubator</t>
        </is>
      </c>
      <c r="O1163" s="23" t="n">
        <v>0.12</v>
      </c>
      <c r="P1163" s="101">
        <f>HYPERLINK("https://my.pitchbook.com?c=155951-02", "View company online")</f>
      </c>
    </row>
    <row r="1164">
      <c r="A1164" s="25" t="inlineStr">
        <is>
          <t>95307-76</t>
        </is>
      </c>
      <c r="B1164" s="26" t="inlineStr">
        <is>
          <t>Spinal Integration</t>
        </is>
      </c>
      <c r="C1164" s="27" t="inlineStr">
        <is>
          <t/>
        </is>
      </c>
      <c r="D1164" s="28" t="inlineStr">
        <is>
          <t/>
        </is>
      </c>
      <c r="E1164" s="29" t="inlineStr">
        <is>
          <t/>
        </is>
      </c>
      <c r="F1164" s="30" t="inlineStr">
        <is>
          <t/>
        </is>
      </c>
      <c r="G1164" s="31" t="inlineStr">
        <is>
          <t/>
        </is>
      </c>
      <c r="H1164" s="32" t="inlineStr">
        <is>
          <t/>
        </is>
      </c>
      <c r="I1164" s="33" t="inlineStr">
        <is>
          <t/>
        </is>
      </c>
      <c r="J1164" s="34" t="inlineStr">
        <is>
          <t/>
        </is>
      </c>
      <c r="K1164" s="35" t="inlineStr">
        <is>
          <t>Privately Held (backing)</t>
        </is>
      </c>
      <c r="L1164" s="36" t="inlineStr">
        <is>
          <t>Angel-Backed</t>
        </is>
      </c>
      <c r="M1164" s="37" t="n">
        <v>40080.0</v>
      </c>
      <c r="N1164" s="38" t="inlineStr">
        <is>
          <t>Angel (individual)</t>
        </is>
      </c>
      <c r="O1164" s="39" t="n">
        <v>0.04</v>
      </c>
      <c r="P1164" s="102">
        <f>HYPERLINK("https://my.pitchbook.com?c=95307-76", "View company online")</f>
      </c>
    </row>
    <row r="1165">
      <c r="A1165" s="9" t="inlineStr">
        <is>
          <t>169967-26</t>
        </is>
      </c>
      <c r="B1165" s="10" t="inlineStr">
        <is>
          <t>Spiio</t>
        </is>
      </c>
      <c r="C1165" s="11" t="inlineStr">
        <is>
          <t/>
        </is>
      </c>
      <c r="D1165" s="12" t="inlineStr">
        <is>
          <t/>
        </is>
      </c>
      <c r="E1165" s="13" t="inlineStr">
        <is>
          <t/>
        </is>
      </c>
      <c r="F1165" s="14" t="inlineStr">
        <is>
          <t/>
        </is>
      </c>
      <c r="G1165" s="15" t="inlineStr">
        <is>
          <t/>
        </is>
      </c>
      <c r="H1165" s="16" t="inlineStr">
        <is>
          <t/>
        </is>
      </c>
      <c r="I1165" s="17" t="inlineStr">
        <is>
          <t/>
        </is>
      </c>
      <c r="J1165" s="18" t="inlineStr">
        <is>
          <t/>
        </is>
      </c>
      <c r="K1165" s="19" t="inlineStr">
        <is>
          <t>Privately Held (backing)</t>
        </is>
      </c>
      <c r="L1165" s="20" t="inlineStr">
        <is>
          <t>Accelerator/Incubator Backed</t>
        </is>
      </c>
      <c r="M1165" s="21" t="inlineStr">
        <is>
          <t/>
        </is>
      </c>
      <c r="N1165" s="22" t="inlineStr">
        <is>
          <t>Grant</t>
        </is>
      </c>
      <c r="O1165" s="23" t="inlineStr">
        <is>
          <t/>
        </is>
      </c>
      <c r="P1165" s="101">
        <f>HYPERLINK("https://my.pitchbook.com?c=169967-26", "View company online")</f>
      </c>
    </row>
    <row r="1166">
      <c r="A1166" s="25" t="inlineStr">
        <is>
          <t>58921-21</t>
        </is>
      </c>
      <c r="B1166" s="26" t="inlineStr">
        <is>
          <t>Spice Kit</t>
        </is>
      </c>
      <c r="C1166" s="27" t="inlineStr">
        <is>
          <t/>
        </is>
      </c>
      <c r="D1166" s="28" t="inlineStr">
        <is>
          <t/>
        </is>
      </c>
      <c r="E1166" s="29" t="inlineStr">
        <is>
          <t/>
        </is>
      </c>
      <c r="F1166" s="30" t="inlineStr">
        <is>
          <t/>
        </is>
      </c>
      <c r="G1166" s="31" t="inlineStr">
        <is>
          <t/>
        </is>
      </c>
      <c r="H1166" s="32" t="inlineStr">
        <is>
          <t/>
        </is>
      </c>
      <c r="I1166" s="33" t="inlineStr">
        <is>
          <t/>
        </is>
      </c>
      <c r="J1166" s="34" t="inlineStr">
        <is>
          <t/>
        </is>
      </c>
      <c r="K1166" s="35" t="inlineStr">
        <is>
          <t>Privately Held (backing)</t>
        </is>
      </c>
      <c r="L1166" s="36" t="inlineStr">
        <is>
          <t>Angel-Backed</t>
        </is>
      </c>
      <c r="M1166" s="37" t="n">
        <v>41523.0</v>
      </c>
      <c r="N1166" s="38" t="inlineStr">
        <is>
          <t>Angel (individual)</t>
        </is>
      </c>
      <c r="O1166" s="39" t="n">
        <v>1.96</v>
      </c>
      <c r="P1166" s="102">
        <f>HYPERLINK("https://my.pitchbook.com?c=58921-21", "View company online")</f>
      </c>
    </row>
    <row r="1167">
      <c r="A1167" s="9" t="inlineStr">
        <is>
          <t>169667-20</t>
        </is>
      </c>
      <c r="B1167" s="10" t="inlineStr">
        <is>
          <t>Spherical Defence</t>
        </is>
      </c>
      <c r="C1167" s="11" t="inlineStr">
        <is>
          <t/>
        </is>
      </c>
      <c r="D1167" s="12" t="inlineStr">
        <is>
          <t/>
        </is>
      </c>
      <c r="E1167" s="13" t="inlineStr">
        <is>
          <t/>
        </is>
      </c>
      <c r="F1167" s="14" t="inlineStr">
        <is>
          <t/>
        </is>
      </c>
      <c r="G1167" s="15" t="inlineStr">
        <is>
          <t/>
        </is>
      </c>
      <c r="H1167" s="16" t="inlineStr">
        <is>
          <t/>
        </is>
      </c>
      <c r="I1167" s="17" t="inlineStr">
        <is>
          <t/>
        </is>
      </c>
      <c r="J1167" s="18" t="inlineStr">
        <is>
          <t/>
        </is>
      </c>
      <c r="K1167" s="19" t="inlineStr">
        <is>
          <t>Privately Held (backing)</t>
        </is>
      </c>
      <c r="L1167" s="20" t="inlineStr">
        <is>
          <t>Accelerator/Incubator Backed</t>
        </is>
      </c>
      <c r="M1167" s="21" t="n">
        <v>42808.0</v>
      </c>
      <c r="N1167" s="22" t="inlineStr">
        <is>
          <t>Accelerator/Incubator</t>
        </is>
      </c>
      <c r="O1167" s="23" t="n">
        <v>0.02</v>
      </c>
      <c r="P1167" s="101">
        <f>HYPERLINK("https://my.pitchbook.com?c=169667-20", "View company online")</f>
      </c>
    </row>
    <row r="1168">
      <c r="A1168" s="25" t="inlineStr">
        <is>
          <t>156597-13</t>
        </is>
      </c>
      <c r="B1168" s="26" t="inlineStr">
        <is>
          <t>Spex Technologies</t>
        </is>
      </c>
      <c r="C1168" s="27" t="inlineStr">
        <is>
          <t/>
        </is>
      </c>
      <c r="D1168" s="28" t="inlineStr">
        <is>
          <t/>
        </is>
      </c>
      <c r="E1168" s="29" t="inlineStr">
        <is>
          <t/>
        </is>
      </c>
      <c r="F1168" s="30" t="inlineStr">
        <is>
          <t/>
        </is>
      </c>
      <c r="G1168" s="31" t="inlineStr">
        <is>
          <t/>
        </is>
      </c>
      <c r="H1168" s="32" t="inlineStr">
        <is>
          <t/>
        </is>
      </c>
      <c r="I1168" s="33" t="inlineStr">
        <is>
          <t/>
        </is>
      </c>
      <c r="J1168" s="34" t="inlineStr">
        <is>
          <t/>
        </is>
      </c>
      <c r="K1168" s="35" t="inlineStr">
        <is>
          <t>Privately Held (backing)</t>
        </is>
      </c>
      <c r="L1168" s="36" t="inlineStr">
        <is>
          <t>Angel-Backed</t>
        </is>
      </c>
      <c r="M1168" s="37" t="n">
        <v>42452.0</v>
      </c>
      <c r="N1168" s="38" t="inlineStr">
        <is>
          <t>Angel (individual)</t>
        </is>
      </c>
      <c r="O1168" s="39" t="n">
        <v>0.02</v>
      </c>
      <c r="P1168" s="102">
        <f>HYPERLINK("https://my.pitchbook.com?c=156597-13", "View company online")</f>
      </c>
    </row>
    <row r="1169">
      <c r="A1169" s="9" t="inlineStr">
        <is>
          <t>102318-94</t>
        </is>
      </c>
      <c r="B1169" s="10" t="inlineStr">
        <is>
          <t>Spero Energy</t>
        </is>
      </c>
      <c r="C1169" s="11" t="inlineStr">
        <is>
          <t/>
        </is>
      </c>
      <c r="D1169" s="12" t="inlineStr">
        <is>
          <t/>
        </is>
      </c>
      <c r="E1169" s="13" t="inlineStr">
        <is>
          <t/>
        </is>
      </c>
      <c r="F1169" s="14" t="inlineStr">
        <is>
          <t/>
        </is>
      </c>
      <c r="G1169" s="15" t="inlineStr">
        <is>
          <t/>
        </is>
      </c>
      <c r="H1169" s="16" t="inlineStr">
        <is>
          <t/>
        </is>
      </c>
      <c r="I1169" s="17" t="inlineStr">
        <is>
          <t/>
        </is>
      </c>
      <c r="J1169" s="18" t="inlineStr">
        <is>
          <t/>
        </is>
      </c>
      <c r="K1169" s="19" t="inlineStr">
        <is>
          <t>Privately Held (backing)</t>
        </is>
      </c>
      <c r="L1169" s="20" t="inlineStr">
        <is>
          <t>Accelerator/Incubator Backed</t>
        </is>
      </c>
      <c r="M1169" s="21" t="n">
        <v>42753.0</v>
      </c>
      <c r="N1169" s="22" t="inlineStr">
        <is>
          <t>Grant</t>
        </is>
      </c>
      <c r="O1169" s="23" t="n">
        <v>0.23</v>
      </c>
      <c r="P1169" s="101">
        <f>HYPERLINK("https://my.pitchbook.com?c=102318-94", "View company online")</f>
      </c>
    </row>
    <row r="1170">
      <c r="A1170" s="25" t="inlineStr">
        <is>
          <t>109044-55</t>
        </is>
      </c>
      <c r="B1170" s="26" t="inlineStr">
        <is>
          <t>SPENT</t>
        </is>
      </c>
      <c r="C1170" s="78">
        <f>HYPERLINK("https://my.pitchbook.com?rrp=109044-55&amp;type=c", "This Company's information is not available to download. Need this Company? Request availability")</f>
      </c>
      <c r="D1170" s="28" t="inlineStr">
        <is>
          <t/>
        </is>
      </c>
      <c r="E1170" s="29" t="inlineStr">
        <is>
          <t/>
        </is>
      </c>
      <c r="F1170" s="30" t="inlineStr">
        <is>
          <t/>
        </is>
      </c>
      <c r="G1170" s="31" t="inlineStr">
        <is>
          <t/>
        </is>
      </c>
      <c r="H1170" s="32" t="inlineStr">
        <is>
          <t/>
        </is>
      </c>
      <c r="I1170" s="33" t="inlineStr">
        <is>
          <t/>
        </is>
      </c>
      <c r="J1170" s="34" t="inlineStr">
        <is>
          <t/>
        </is>
      </c>
      <c r="K1170" s="35" t="inlineStr">
        <is>
          <t/>
        </is>
      </c>
      <c r="L1170" s="36" t="inlineStr">
        <is>
          <t/>
        </is>
      </c>
      <c r="M1170" s="37" t="inlineStr">
        <is>
          <t/>
        </is>
      </c>
      <c r="N1170" s="38" t="inlineStr">
        <is>
          <t/>
        </is>
      </c>
      <c r="O1170" s="39" t="inlineStr">
        <is>
          <t/>
        </is>
      </c>
      <c r="P1170" s="40" t="inlineStr">
        <is>
          <t/>
        </is>
      </c>
    </row>
    <row r="1171">
      <c r="A1171" s="9" t="inlineStr">
        <is>
          <t>150720-22</t>
        </is>
      </c>
      <c r="B1171" s="10" t="inlineStr">
        <is>
          <t>SpendLabs</t>
        </is>
      </c>
      <c r="C1171" s="11" t="inlineStr">
        <is>
          <t/>
        </is>
      </c>
      <c r="D1171" s="12" t="inlineStr">
        <is>
          <t/>
        </is>
      </c>
      <c r="E1171" s="13" t="inlineStr">
        <is>
          <t/>
        </is>
      </c>
      <c r="F1171" s="14" t="inlineStr">
        <is>
          <t/>
        </is>
      </c>
      <c r="G1171" s="15" t="inlineStr">
        <is>
          <t/>
        </is>
      </c>
      <c r="H1171" s="16" t="inlineStr">
        <is>
          <t/>
        </is>
      </c>
      <c r="I1171" s="17" t="inlineStr">
        <is>
          <t/>
        </is>
      </c>
      <c r="J1171" s="18" t="inlineStr">
        <is>
          <t/>
        </is>
      </c>
      <c r="K1171" s="19" t="inlineStr">
        <is>
          <t>Privately Held (backing)</t>
        </is>
      </c>
      <c r="L1171" s="20" t="inlineStr">
        <is>
          <t>Accelerator/Incubator Backed</t>
        </is>
      </c>
      <c r="M1171" s="21" t="n">
        <v>42156.0</v>
      </c>
      <c r="N1171" s="22" t="inlineStr">
        <is>
          <t>Accelerator/Incubator</t>
        </is>
      </c>
      <c r="O1171" s="23" t="inlineStr">
        <is>
          <t/>
        </is>
      </c>
      <c r="P1171" s="101">
        <f>HYPERLINK("https://my.pitchbook.com?c=150720-22", "View company online")</f>
      </c>
    </row>
    <row r="1172">
      <c r="A1172" s="25" t="inlineStr">
        <is>
          <t>109789-12</t>
        </is>
      </c>
      <c r="B1172" s="26" t="inlineStr">
        <is>
          <t>Speeji</t>
        </is>
      </c>
      <c r="C1172" s="27" t="inlineStr">
        <is>
          <t/>
        </is>
      </c>
      <c r="D1172" s="28" t="inlineStr">
        <is>
          <t/>
        </is>
      </c>
      <c r="E1172" s="29" t="inlineStr">
        <is>
          <t/>
        </is>
      </c>
      <c r="F1172" s="30" t="inlineStr">
        <is>
          <t/>
        </is>
      </c>
      <c r="G1172" s="31" t="inlineStr">
        <is>
          <t/>
        </is>
      </c>
      <c r="H1172" s="32" t="inlineStr">
        <is>
          <t/>
        </is>
      </c>
      <c r="I1172" s="33" t="inlineStr">
        <is>
          <t/>
        </is>
      </c>
      <c r="J1172" s="34" t="inlineStr">
        <is>
          <t/>
        </is>
      </c>
      <c r="K1172" s="35" t="inlineStr">
        <is>
          <t>Privately Held (backing)</t>
        </is>
      </c>
      <c r="L1172" s="36" t="inlineStr">
        <is>
          <t>Accelerator/Incubator Backed</t>
        </is>
      </c>
      <c r="M1172" s="37" t="n">
        <v>41640.0</v>
      </c>
      <c r="N1172" s="38" t="inlineStr">
        <is>
          <t>Accelerator/Incubator</t>
        </is>
      </c>
      <c r="O1172" s="39" t="inlineStr">
        <is>
          <t/>
        </is>
      </c>
      <c r="P1172" s="102">
        <f>HYPERLINK("https://my.pitchbook.com?c=109789-12", "View company online")</f>
      </c>
    </row>
    <row r="1173">
      <c r="A1173" s="9" t="inlineStr">
        <is>
          <t>115406-92</t>
        </is>
      </c>
      <c r="B1173" s="10" t="inlineStr">
        <is>
          <t>Speedlancer</t>
        </is>
      </c>
      <c r="C1173" s="11" t="inlineStr">
        <is>
          <t/>
        </is>
      </c>
      <c r="D1173" s="12" t="inlineStr">
        <is>
          <t/>
        </is>
      </c>
      <c r="E1173" s="13" t="inlineStr">
        <is>
          <t/>
        </is>
      </c>
      <c r="F1173" s="14" t="inlineStr">
        <is>
          <t/>
        </is>
      </c>
      <c r="G1173" s="15" t="inlineStr">
        <is>
          <t/>
        </is>
      </c>
      <c r="H1173" s="16" t="inlineStr">
        <is>
          <t/>
        </is>
      </c>
      <c r="I1173" s="17" t="inlineStr">
        <is>
          <t/>
        </is>
      </c>
      <c r="J1173" s="18" t="inlineStr">
        <is>
          <t/>
        </is>
      </c>
      <c r="K1173" s="19" t="inlineStr">
        <is>
          <t>Privately Held (backing)</t>
        </is>
      </c>
      <c r="L1173" s="20" t="inlineStr">
        <is>
          <t>Accelerator/Incubator Backed</t>
        </is>
      </c>
      <c r="M1173" s="21" t="n">
        <v>42727.0</v>
      </c>
      <c r="N1173" s="22" t="inlineStr">
        <is>
          <t>Seed Round</t>
        </is>
      </c>
      <c r="O1173" s="23" t="n">
        <v>0.55</v>
      </c>
      <c r="P1173" s="101">
        <f>HYPERLINK("https://my.pitchbook.com?c=115406-92", "View company online")</f>
      </c>
    </row>
    <row r="1174">
      <c r="A1174" s="25" t="inlineStr">
        <is>
          <t>115552-00</t>
        </is>
      </c>
      <c r="B1174" s="26" t="inlineStr">
        <is>
          <t>Speech Technology Group</t>
        </is>
      </c>
      <c r="C1174" s="27" t="inlineStr">
        <is>
          <t/>
        </is>
      </c>
      <c r="D1174" s="28" t="inlineStr">
        <is>
          <t/>
        </is>
      </c>
      <c r="E1174" s="29" t="inlineStr">
        <is>
          <t/>
        </is>
      </c>
      <c r="F1174" s="30" t="inlineStr">
        <is>
          <t/>
        </is>
      </c>
      <c r="G1174" s="31" t="inlineStr">
        <is>
          <t/>
        </is>
      </c>
      <c r="H1174" s="32" t="inlineStr">
        <is>
          <t/>
        </is>
      </c>
      <c r="I1174" s="33" t="inlineStr">
        <is>
          <t/>
        </is>
      </c>
      <c r="J1174" s="34" t="inlineStr">
        <is>
          <t/>
        </is>
      </c>
      <c r="K1174" s="35" t="inlineStr">
        <is>
          <t>Privately Held (backing)</t>
        </is>
      </c>
      <c r="L1174" s="36" t="inlineStr">
        <is>
          <t>Accelerator/Incubator Backed</t>
        </is>
      </c>
      <c r="M1174" s="37" t="n">
        <v>41275.0</v>
      </c>
      <c r="N1174" s="38" t="inlineStr">
        <is>
          <t>Grant</t>
        </is>
      </c>
      <c r="O1174" s="39" t="n">
        <v>0.01</v>
      </c>
      <c r="P1174" s="102">
        <f>HYPERLINK("https://my.pitchbook.com?c=115552-00", "View company online")</f>
      </c>
    </row>
    <row r="1175">
      <c r="A1175" s="9" t="inlineStr">
        <is>
          <t>109155-52</t>
        </is>
      </c>
      <c r="B1175" s="10" t="inlineStr">
        <is>
          <t>Speech Morphing</t>
        </is>
      </c>
      <c r="C1175" s="11" t="inlineStr">
        <is>
          <t/>
        </is>
      </c>
      <c r="D1175" s="12" t="inlineStr">
        <is>
          <t/>
        </is>
      </c>
      <c r="E1175" s="13" t="inlineStr">
        <is>
          <t/>
        </is>
      </c>
      <c r="F1175" s="14" t="inlineStr">
        <is>
          <t/>
        </is>
      </c>
      <c r="G1175" s="15" t="inlineStr">
        <is>
          <t/>
        </is>
      </c>
      <c r="H1175" s="16" t="inlineStr">
        <is>
          <t/>
        </is>
      </c>
      <c r="I1175" s="17" t="inlineStr">
        <is>
          <t/>
        </is>
      </c>
      <c r="J1175" s="18" t="inlineStr">
        <is>
          <t/>
        </is>
      </c>
      <c r="K1175" s="19" t="inlineStr">
        <is>
          <t>Privately Held (backing)</t>
        </is>
      </c>
      <c r="L1175" s="20" t="inlineStr">
        <is>
          <t>Angel-Backed</t>
        </is>
      </c>
      <c r="M1175" s="21" t="n">
        <v>42054.0</v>
      </c>
      <c r="N1175" s="22" t="inlineStr">
        <is>
          <t>Convertible Debt</t>
        </is>
      </c>
      <c r="O1175" s="23" t="n">
        <v>0.75</v>
      </c>
      <c r="P1175" s="101">
        <f>HYPERLINK("https://my.pitchbook.com?c=109155-52", "View company online")</f>
      </c>
    </row>
    <row r="1176">
      <c r="A1176" s="25" t="inlineStr">
        <is>
          <t>62253-37</t>
        </is>
      </c>
      <c r="B1176" s="26" t="inlineStr">
        <is>
          <t>Speech Kingdom</t>
        </is>
      </c>
      <c r="C1176" s="27" t="inlineStr">
        <is>
          <t/>
        </is>
      </c>
      <c r="D1176" s="28" t="inlineStr">
        <is>
          <t/>
        </is>
      </c>
      <c r="E1176" s="29" t="inlineStr">
        <is>
          <t/>
        </is>
      </c>
      <c r="F1176" s="30" t="inlineStr">
        <is>
          <t/>
        </is>
      </c>
      <c r="G1176" s="31" t="inlineStr">
        <is>
          <t/>
        </is>
      </c>
      <c r="H1176" s="32" t="inlineStr">
        <is>
          <t/>
        </is>
      </c>
      <c r="I1176" s="33" t="inlineStr">
        <is>
          <t/>
        </is>
      </c>
      <c r="J1176" s="34" t="inlineStr">
        <is>
          <t/>
        </is>
      </c>
      <c r="K1176" s="35" t="inlineStr">
        <is>
          <t>Privately Held (backing)</t>
        </is>
      </c>
      <c r="L1176" s="36" t="inlineStr">
        <is>
          <t>Angel-Backed</t>
        </is>
      </c>
      <c r="M1176" s="37" t="n">
        <v>41732.0</v>
      </c>
      <c r="N1176" s="38" t="inlineStr">
        <is>
          <t>Angel (individual)</t>
        </is>
      </c>
      <c r="O1176" s="39" t="n">
        <v>0.54</v>
      </c>
      <c r="P1176" s="102">
        <f>HYPERLINK("https://my.pitchbook.com?c=62253-37", "View company online")</f>
      </c>
    </row>
    <row r="1177">
      <c r="A1177" s="9" t="inlineStr">
        <is>
          <t>120821-95</t>
        </is>
      </c>
      <c r="B1177" s="10" t="inlineStr">
        <is>
          <t>Spectral Platforms</t>
        </is>
      </c>
      <c r="C1177" s="11" t="inlineStr">
        <is>
          <t/>
        </is>
      </c>
      <c r="D1177" s="12" t="inlineStr">
        <is>
          <t/>
        </is>
      </c>
      <c r="E1177" s="13" t="inlineStr">
        <is>
          <t/>
        </is>
      </c>
      <c r="F1177" s="14" t="inlineStr">
        <is>
          <t/>
        </is>
      </c>
      <c r="G1177" s="15" t="inlineStr">
        <is>
          <t/>
        </is>
      </c>
      <c r="H1177" s="16" t="inlineStr">
        <is>
          <t/>
        </is>
      </c>
      <c r="I1177" s="17" t="inlineStr">
        <is>
          <t/>
        </is>
      </c>
      <c r="J1177" s="18" t="inlineStr">
        <is>
          <t/>
        </is>
      </c>
      <c r="K1177" s="19" t="inlineStr">
        <is>
          <t>Privately Held (backing)</t>
        </is>
      </c>
      <c r="L1177" s="20" t="inlineStr">
        <is>
          <t>Angel-Backed</t>
        </is>
      </c>
      <c r="M1177" s="21" t="n">
        <v>42207.0</v>
      </c>
      <c r="N1177" s="22" t="inlineStr">
        <is>
          <t>Angel (individual)</t>
        </is>
      </c>
      <c r="O1177" s="23" t="n">
        <v>0.68</v>
      </c>
      <c r="P1177" s="101">
        <f>HYPERLINK("https://my.pitchbook.com?c=120821-95", "View company online")</f>
      </c>
    </row>
    <row r="1178">
      <c r="A1178" s="25" t="inlineStr">
        <is>
          <t>99048-34</t>
        </is>
      </c>
      <c r="B1178" s="26" t="inlineStr">
        <is>
          <t>Spectracore Technologies</t>
        </is>
      </c>
      <c r="C1178" s="27" t="inlineStr">
        <is>
          <t/>
        </is>
      </c>
      <c r="D1178" s="28" t="inlineStr">
        <is>
          <t/>
        </is>
      </c>
      <c r="E1178" s="29" t="inlineStr">
        <is>
          <t/>
        </is>
      </c>
      <c r="F1178" s="30" t="inlineStr">
        <is>
          <t/>
        </is>
      </c>
      <c r="G1178" s="31" t="inlineStr">
        <is>
          <t/>
        </is>
      </c>
      <c r="H1178" s="32" t="inlineStr">
        <is>
          <t/>
        </is>
      </c>
      <c r="I1178" s="33" t="inlineStr">
        <is>
          <t/>
        </is>
      </c>
      <c r="J1178" s="34" t="inlineStr">
        <is>
          <t/>
        </is>
      </c>
      <c r="K1178" s="35" t="inlineStr">
        <is>
          <t>Privately Held (backing)</t>
        </is>
      </c>
      <c r="L1178" s="36" t="inlineStr">
        <is>
          <t>Accelerator/Incubator Backed</t>
        </is>
      </c>
      <c r="M1178" s="37" t="n">
        <v>40360.0</v>
      </c>
      <c r="N1178" s="38" t="inlineStr">
        <is>
          <t>Accelerator/Incubator</t>
        </is>
      </c>
      <c r="O1178" s="39" t="inlineStr">
        <is>
          <t/>
        </is>
      </c>
      <c r="P1178" s="102">
        <f>HYPERLINK("https://my.pitchbook.com?c=99048-34", "View company online")</f>
      </c>
    </row>
    <row r="1179">
      <c r="A1179" s="9" t="inlineStr">
        <is>
          <t>151080-49</t>
        </is>
      </c>
      <c r="B1179" s="10" t="inlineStr">
        <is>
          <t>Spective</t>
        </is>
      </c>
      <c r="C1179" s="11" t="inlineStr">
        <is>
          <t/>
        </is>
      </c>
      <c r="D1179" s="12" t="inlineStr">
        <is>
          <t/>
        </is>
      </c>
      <c r="E1179" s="13" t="inlineStr">
        <is>
          <t/>
        </is>
      </c>
      <c r="F1179" s="14" t="inlineStr">
        <is>
          <t/>
        </is>
      </c>
      <c r="G1179" s="15" t="inlineStr">
        <is>
          <t/>
        </is>
      </c>
      <c r="H1179" s="16" t="inlineStr">
        <is>
          <t/>
        </is>
      </c>
      <c r="I1179" s="17" t="inlineStr">
        <is>
          <t/>
        </is>
      </c>
      <c r="J1179" s="18" t="inlineStr">
        <is>
          <t/>
        </is>
      </c>
      <c r="K1179" s="19" t="inlineStr">
        <is>
          <t>Privately Held (backing)</t>
        </is>
      </c>
      <c r="L1179" s="20" t="inlineStr">
        <is>
          <t>Angel-Backed</t>
        </is>
      </c>
      <c r="M1179" s="21" t="n">
        <v>42354.0</v>
      </c>
      <c r="N1179" s="22" t="inlineStr">
        <is>
          <t>Angel (individual)</t>
        </is>
      </c>
      <c r="O1179" s="23" t="n">
        <v>0.05</v>
      </c>
      <c r="P1179" s="101">
        <f>HYPERLINK("https://my.pitchbook.com?c=151080-49", "View company online")</f>
      </c>
    </row>
    <row r="1180">
      <c r="A1180" s="25" t="inlineStr">
        <is>
          <t>93873-61</t>
        </is>
      </c>
      <c r="B1180" s="26" t="inlineStr">
        <is>
          <t>Spectafy</t>
        </is>
      </c>
      <c r="C1180" s="27" t="inlineStr">
        <is>
          <t/>
        </is>
      </c>
      <c r="D1180" s="28" t="inlineStr">
        <is>
          <t/>
        </is>
      </c>
      <c r="E1180" s="29" t="inlineStr">
        <is>
          <t/>
        </is>
      </c>
      <c r="F1180" s="30" t="inlineStr">
        <is>
          <t/>
        </is>
      </c>
      <c r="G1180" s="31" t="inlineStr">
        <is>
          <t/>
        </is>
      </c>
      <c r="H1180" s="32" t="inlineStr">
        <is>
          <t/>
        </is>
      </c>
      <c r="I1180" s="33" t="inlineStr">
        <is>
          <t/>
        </is>
      </c>
      <c r="J1180" s="34" t="inlineStr">
        <is>
          <t/>
        </is>
      </c>
      <c r="K1180" s="35" t="inlineStr">
        <is>
          <t>Privately Held (backing)</t>
        </is>
      </c>
      <c r="L1180" s="36" t="inlineStr">
        <is>
          <t>Angel-Backed</t>
        </is>
      </c>
      <c r="M1180" s="37" t="n">
        <v>41760.0</v>
      </c>
      <c r="N1180" s="38" t="inlineStr">
        <is>
          <t>Seed Round</t>
        </is>
      </c>
      <c r="O1180" s="39" t="n">
        <v>0.38</v>
      </c>
      <c r="P1180" s="102">
        <f>HYPERLINK("https://my.pitchbook.com?c=93873-61", "View company online")</f>
      </c>
    </row>
    <row r="1181">
      <c r="A1181" s="9" t="inlineStr">
        <is>
          <t>100584-82</t>
        </is>
      </c>
      <c r="B1181" s="10" t="inlineStr">
        <is>
          <t>Specialty Surgical Center of Encino</t>
        </is>
      </c>
      <c r="C1181" s="11" t="inlineStr">
        <is>
          <t/>
        </is>
      </c>
      <c r="D1181" s="12" t="inlineStr">
        <is>
          <t/>
        </is>
      </c>
      <c r="E1181" s="13" t="inlineStr">
        <is>
          <t/>
        </is>
      </c>
      <c r="F1181" s="14" t="inlineStr">
        <is>
          <t/>
        </is>
      </c>
      <c r="G1181" s="15" t="inlineStr">
        <is>
          <t/>
        </is>
      </c>
      <c r="H1181" s="16" t="inlineStr">
        <is>
          <t/>
        </is>
      </c>
      <c r="I1181" s="17" t="inlineStr">
        <is>
          <t/>
        </is>
      </c>
      <c r="J1181" s="18" t="inlineStr">
        <is>
          <t/>
        </is>
      </c>
      <c r="K1181" s="19" t="inlineStr">
        <is>
          <t>Privately Held (backing)</t>
        </is>
      </c>
      <c r="L1181" s="20" t="inlineStr">
        <is>
          <t>Angel-Backed</t>
        </is>
      </c>
      <c r="M1181" s="21" t="n">
        <v>41983.0</v>
      </c>
      <c r="N1181" s="22" t="inlineStr">
        <is>
          <t>Angel (individual)</t>
        </is>
      </c>
      <c r="O1181" s="23" t="n">
        <v>0.59</v>
      </c>
      <c r="P1181" s="101">
        <f>HYPERLINK("https://my.pitchbook.com?c=100584-82", "View company online")</f>
      </c>
    </row>
    <row r="1182">
      <c r="A1182" s="25" t="inlineStr">
        <is>
          <t>90161-20</t>
        </is>
      </c>
      <c r="B1182" s="26" t="inlineStr">
        <is>
          <t>SpeakUp</t>
        </is>
      </c>
      <c r="C1182" s="27" t="inlineStr">
        <is>
          <t/>
        </is>
      </c>
      <c r="D1182" s="28" t="inlineStr">
        <is>
          <t/>
        </is>
      </c>
      <c r="E1182" s="29" t="inlineStr">
        <is>
          <t/>
        </is>
      </c>
      <c r="F1182" s="30" t="inlineStr">
        <is>
          <t/>
        </is>
      </c>
      <c r="G1182" s="31" t="inlineStr">
        <is>
          <t/>
        </is>
      </c>
      <c r="H1182" s="32" t="inlineStr">
        <is>
          <t/>
        </is>
      </c>
      <c r="I1182" s="33" t="inlineStr">
        <is>
          <t/>
        </is>
      </c>
      <c r="J1182" s="34" t="inlineStr">
        <is>
          <t/>
        </is>
      </c>
      <c r="K1182" s="35" t="inlineStr">
        <is>
          <t>Privately Held (backing)</t>
        </is>
      </c>
      <c r="L1182" s="36" t="inlineStr">
        <is>
          <t>Angel-Backed</t>
        </is>
      </c>
      <c r="M1182" s="37" t="n">
        <v>41941.0</v>
      </c>
      <c r="N1182" s="38" t="inlineStr">
        <is>
          <t>Seed Round</t>
        </is>
      </c>
      <c r="O1182" s="39" t="n">
        <v>0.82</v>
      </c>
      <c r="P1182" s="102">
        <f>HYPERLINK("https://my.pitchbook.com?c=90161-20", "View company online")</f>
      </c>
    </row>
    <row r="1183">
      <c r="A1183" s="9" t="inlineStr">
        <is>
          <t>178888-96</t>
        </is>
      </c>
      <c r="B1183" s="10" t="inlineStr">
        <is>
          <t>Speakeasy Labs</t>
        </is>
      </c>
      <c r="C1183" s="11" t="inlineStr">
        <is>
          <t/>
        </is>
      </c>
      <c r="D1183" s="12" t="inlineStr">
        <is>
          <t/>
        </is>
      </c>
      <c r="E1183" s="13" t="inlineStr">
        <is>
          <t/>
        </is>
      </c>
      <c r="F1183" s="14" t="inlineStr">
        <is>
          <t/>
        </is>
      </c>
      <c r="G1183" s="15" t="inlineStr">
        <is>
          <t/>
        </is>
      </c>
      <c r="H1183" s="16" t="inlineStr">
        <is>
          <t/>
        </is>
      </c>
      <c r="I1183" s="17" t="inlineStr">
        <is>
          <t/>
        </is>
      </c>
      <c r="J1183" s="18" t="inlineStr">
        <is>
          <t/>
        </is>
      </c>
      <c r="K1183" s="19" t="inlineStr">
        <is>
          <t>Privately Held (backing)</t>
        </is>
      </c>
      <c r="L1183" s="20" t="inlineStr">
        <is>
          <t>Accelerator/Incubator Backed</t>
        </is>
      </c>
      <c r="M1183" s="21" t="n">
        <v>42815.0</v>
      </c>
      <c r="N1183" s="22" t="inlineStr">
        <is>
          <t>Accelerator/Incubator</t>
        </is>
      </c>
      <c r="O1183" s="23" t="n">
        <v>0.12</v>
      </c>
      <c r="P1183" s="101">
        <f>HYPERLINK("https://my.pitchbook.com?c=178888-96", "View company online")</f>
      </c>
    </row>
    <row r="1184">
      <c r="A1184" s="25" t="inlineStr">
        <is>
          <t>92369-35</t>
        </is>
      </c>
      <c r="B1184" s="26" t="inlineStr">
        <is>
          <t>Speak With Me</t>
        </is>
      </c>
      <c r="C1184" s="27" t="inlineStr">
        <is>
          <t/>
        </is>
      </c>
      <c r="D1184" s="28" t="inlineStr">
        <is>
          <t/>
        </is>
      </c>
      <c r="E1184" s="29" t="inlineStr">
        <is>
          <t/>
        </is>
      </c>
      <c r="F1184" s="30" t="inlineStr">
        <is>
          <t/>
        </is>
      </c>
      <c r="G1184" s="31" t="inlineStr">
        <is>
          <t/>
        </is>
      </c>
      <c r="H1184" s="32" t="inlineStr">
        <is>
          <t/>
        </is>
      </c>
      <c r="I1184" s="33" t="inlineStr">
        <is>
          <t/>
        </is>
      </c>
      <c r="J1184" s="34" t="inlineStr">
        <is>
          <t/>
        </is>
      </c>
      <c r="K1184" s="35" t="inlineStr">
        <is>
          <t>Privately Held (backing)</t>
        </is>
      </c>
      <c r="L1184" s="36" t="inlineStr">
        <is>
          <t>Angel-Backed</t>
        </is>
      </c>
      <c r="M1184" s="37" t="n">
        <v>39083.0</v>
      </c>
      <c r="N1184" s="38" t="inlineStr">
        <is>
          <t>Seed Round</t>
        </is>
      </c>
      <c r="O1184" s="39" t="n">
        <v>2.4</v>
      </c>
      <c r="P1184" s="102">
        <f>HYPERLINK("https://my.pitchbook.com?c=92369-35", "View company online")</f>
      </c>
    </row>
    <row r="1185">
      <c r="A1185" s="9" t="inlineStr">
        <is>
          <t>98820-28</t>
        </is>
      </c>
      <c r="B1185" s="10" t="inlineStr">
        <is>
          <t>Sparrow (Mobile)</t>
        </is>
      </c>
      <c r="C1185" s="11" t="inlineStr">
        <is>
          <t/>
        </is>
      </c>
      <c r="D1185" s="12" t="inlineStr">
        <is>
          <t/>
        </is>
      </c>
      <c r="E1185" s="13" t="inlineStr">
        <is>
          <t/>
        </is>
      </c>
      <c r="F1185" s="14" t="inlineStr">
        <is>
          <t/>
        </is>
      </c>
      <c r="G1185" s="15" t="inlineStr">
        <is>
          <t/>
        </is>
      </c>
      <c r="H1185" s="16" t="inlineStr">
        <is>
          <t/>
        </is>
      </c>
      <c r="I1185" s="17" t="inlineStr">
        <is>
          <t/>
        </is>
      </c>
      <c r="J1185" s="18" t="inlineStr">
        <is>
          <t/>
        </is>
      </c>
      <c r="K1185" s="19" t="inlineStr">
        <is>
          <t>Privately Held (backing)</t>
        </is>
      </c>
      <c r="L1185" s="20" t="inlineStr">
        <is>
          <t>Accelerator/Incubator Backed</t>
        </is>
      </c>
      <c r="M1185" s="21" t="inlineStr">
        <is>
          <t/>
        </is>
      </c>
      <c r="N1185" s="22" t="inlineStr">
        <is>
          <t>Accelerator/Incubator</t>
        </is>
      </c>
      <c r="O1185" s="23" t="inlineStr">
        <is>
          <t/>
        </is>
      </c>
      <c r="P1185" s="101">
        <f>HYPERLINK("https://my.pitchbook.com?c=98820-28", "View company online")</f>
      </c>
    </row>
    <row r="1186">
      <c r="A1186" s="25" t="inlineStr">
        <is>
          <t>65104-75</t>
        </is>
      </c>
      <c r="B1186" s="26" t="inlineStr">
        <is>
          <t>Sparksfly Technologies</t>
        </is>
      </c>
      <c r="C1186" s="27" t="inlineStr">
        <is>
          <t/>
        </is>
      </c>
      <c r="D1186" s="28" t="inlineStr">
        <is>
          <t/>
        </is>
      </c>
      <c r="E1186" s="29" t="inlineStr">
        <is>
          <t/>
        </is>
      </c>
      <c r="F1186" s="30" t="inlineStr">
        <is>
          <t/>
        </is>
      </c>
      <c r="G1186" s="31" t="inlineStr">
        <is>
          <t/>
        </is>
      </c>
      <c r="H1186" s="32" t="inlineStr">
        <is>
          <t/>
        </is>
      </c>
      <c r="I1186" s="33" t="inlineStr">
        <is>
          <t/>
        </is>
      </c>
      <c r="J1186" s="34" t="inlineStr">
        <is>
          <t/>
        </is>
      </c>
      <c r="K1186" s="35" t="inlineStr">
        <is>
          <t>Privately Held (backing)</t>
        </is>
      </c>
      <c r="L1186" s="36" t="inlineStr">
        <is>
          <t>Angel-Backed</t>
        </is>
      </c>
      <c r="M1186" s="37" t="n">
        <v>41837.0</v>
      </c>
      <c r="N1186" s="38" t="inlineStr">
        <is>
          <t>Seed Round</t>
        </is>
      </c>
      <c r="O1186" s="39" t="n">
        <v>0.5</v>
      </c>
      <c r="P1186" s="102">
        <f>HYPERLINK("https://my.pitchbook.com?c=65104-75", "View company online")</f>
      </c>
    </row>
    <row r="1187">
      <c r="A1187" s="9" t="inlineStr">
        <is>
          <t>93872-44</t>
        </is>
      </c>
      <c r="B1187" s="10" t="inlineStr">
        <is>
          <t>Sparkroad</t>
        </is>
      </c>
      <c r="C1187" s="11" t="inlineStr">
        <is>
          <t/>
        </is>
      </c>
      <c r="D1187" s="12" t="inlineStr">
        <is>
          <t/>
        </is>
      </c>
      <c r="E1187" s="13" t="inlineStr">
        <is>
          <t/>
        </is>
      </c>
      <c r="F1187" s="14" t="inlineStr">
        <is>
          <t/>
        </is>
      </c>
      <c r="G1187" s="15" t="inlineStr">
        <is>
          <t/>
        </is>
      </c>
      <c r="H1187" s="16" t="inlineStr">
        <is>
          <t/>
        </is>
      </c>
      <c r="I1187" s="17" t="inlineStr">
        <is>
          <t/>
        </is>
      </c>
      <c r="J1187" s="18" t="inlineStr">
        <is>
          <t/>
        </is>
      </c>
      <c r="K1187" s="19" t="inlineStr">
        <is>
          <t>Privately Held (backing)</t>
        </is>
      </c>
      <c r="L1187" s="20" t="inlineStr">
        <is>
          <t>Accelerator/Incubator Backed</t>
        </is>
      </c>
      <c r="M1187" s="21" t="n">
        <v>41320.0</v>
      </c>
      <c r="N1187" s="22" t="inlineStr">
        <is>
          <t>Accelerator/Incubator</t>
        </is>
      </c>
      <c r="O1187" s="23" t="inlineStr">
        <is>
          <t/>
        </is>
      </c>
      <c r="P1187" s="101">
        <f>HYPERLINK("https://my.pitchbook.com?c=93872-44", "View company online")</f>
      </c>
    </row>
    <row r="1188">
      <c r="A1188" s="25" t="inlineStr">
        <is>
          <t>169372-09</t>
        </is>
      </c>
      <c r="B1188" s="26" t="inlineStr">
        <is>
          <t>SparkRaiser</t>
        </is>
      </c>
      <c r="C1188" s="27" t="inlineStr">
        <is>
          <t/>
        </is>
      </c>
      <c r="D1188" s="28" t="inlineStr">
        <is>
          <t/>
        </is>
      </c>
      <c r="E1188" s="29" t="inlineStr">
        <is>
          <t/>
        </is>
      </c>
      <c r="F1188" s="30" t="inlineStr">
        <is>
          <t/>
        </is>
      </c>
      <c r="G1188" s="31" t="inlineStr">
        <is>
          <t/>
        </is>
      </c>
      <c r="H1188" s="32" t="inlineStr">
        <is>
          <t/>
        </is>
      </c>
      <c r="I1188" s="33" t="inlineStr">
        <is>
          <t/>
        </is>
      </c>
      <c r="J1188" s="34" t="inlineStr">
        <is>
          <t/>
        </is>
      </c>
      <c r="K1188" s="35" t="inlineStr">
        <is>
          <t>Privately Held (backing)</t>
        </is>
      </c>
      <c r="L1188" s="36" t="inlineStr">
        <is>
          <t>Angel-Backed</t>
        </is>
      </c>
      <c r="M1188" s="37" t="n">
        <v>42734.0</v>
      </c>
      <c r="N1188" s="38" t="inlineStr">
        <is>
          <t>Angel (individual)</t>
        </is>
      </c>
      <c r="O1188" s="39" t="n">
        <v>0.03</v>
      </c>
      <c r="P1188" s="102">
        <f>HYPERLINK("https://my.pitchbook.com?c=169372-09", "View company online")</f>
      </c>
    </row>
    <row r="1189">
      <c r="A1189" s="9" t="inlineStr">
        <is>
          <t>163850-77</t>
        </is>
      </c>
      <c r="B1189" s="10" t="inlineStr">
        <is>
          <t>Sparkmesh</t>
        </is>
      </c>
      <c r="C1189" s="11" t="inlineStr">
        <is>
          <t/>
        </is>
      </c>
      <c r="D1189" s="12" t="inlineStr">
        <is>
          <t/>
        </is>
      </c>
      <c r="E1189" s="13" t="inlineStr">
        <is>
          <t/>
        </is>
      </c>
      <c r="F1189" s="14" t="inlineStr">
        <is>
          <t/>
        </is>
      </c>
      <c r="G1189" s="15" t="inlineStr">
        <is>
          <t/>
        </is>
      </c>
      <c r="H1189" s="16" t="inlineStr">
        <is>
          <t/>
        </is>
      </c>
      <c r="I1189" s="17" t="inlineStr">
        <is>
          <t/>
        </is>
      </c>
      <c r="J1189" s="18" t="inlineStr">
        <is>
          <t/>
        </is>
      </c>
      <c r="K1189" s="19" t="inlineStr">
        <is>
          <t>Privately Held (backing)</t>
        </is>
      </c>
      <c r="L1189" s="20" t="inlineStr">
        <is>
          <t>Accelerator/Incubator Backed</t>
        </is>
      </c>
      <c r="M1189" s="21" t="inlineStr">
        <is>
          <t/>
        </is>
      </c>
      <c r="N1189" s="22" t="inlineStr">
        <is>
          <t>Accelerator/Incubator</t>
        </is>
      </c>
      <c r="O1189" s="23" t="inlineStr">
        <is>
          <t/>
        </is>
      </c>
      <c r="P1189" s="101">
        <f>HYPERLINK("https://my.pitchbook.com?c=163850-77", "View company online")</f>
      </c>
    </row>
    <row r="1190">
      <c r="A1190" s="25" t="inlineStr">
        <is>
          <t>104175-19</t>
        </is>
      </c>
      <c r="B1190" s="26" t="inlineStr">
        <is>
          <t>Sparkling Logic</t>
        </is>
      </c>
      <c r="C1190" s="27" t="inlineStr">
        <is>
          <t/>
        </is>
      </c>
      <c r="D1190" s="28" t="inlineStr">
        <is>
          <t/>
        </is>
      </c>
      <c r="E1190" s="29" t="inlineStr">
        <is>
          <t/>
        </is>
      </c>
      <c r="F1190" s="30" t="inlineStr">
        <is>
          <t/>
        </is>
      </c>
      <c r="G1190" s="31" t="inlineStr">
        <is>
          <t/>
        </is>
      </c>
      <c r="H1190" s="32" t="inlineStr">
        <is>
          <t/>
        </is>
      </c>
      <c r="I1190" s="33" t="inlineStr">
        <is>
          <t/>
        </is>
      </c>
      <c r="J1190" s="34" t="inlineStr">
        <is>
          <t/>
        </is>
      </c>
      <c r="K1190" s="35" t="inlineStr">
        <is>
          <t>Privately Held (backing)</t>
        </is>
      </c>
      <c r="L1190" s="36" t="inlineStr">
        <is>
          <t>Accelerator/Incubator Backed</t>
        </is>
      </c>
      <c r="M1190" s="37" t="n">
        <v>42074.0</v>
      </c>
      <c r="N1190" s="38" t="inlineStr">
        <is>
          <t>Accelerator/Incubator</t>
        </is>
      </c>
      <c r="O1190" s="39" t="inlineStr">
        <is>
          <t/>
        </is>
      </c>
      <c r="P1190" s="102">
        <f>HYPERLINK("https://my.pitchbook.com?c=104175-19", "View company online")</f>
      </c>
    </row>
    <row r="1191">
      <c r="A1191" s="9" t="inlineStr">
        <is>
          <t>98503-75</t>
        </is>
      </c>
      <c r="B1191" s="10" t="inlineStr">
        <is>
          <t>Sparkia</t>
        </is>
      </c>
      <c r="C1191" s="11" t="inlineStr">
        <is>
          <t/>
        </is>
      </c>
      <c r="D1191" s="12" t="inlineStr">
        <is>
          <t/>
        </is>
      </c>
      <c r="E1191" s="13" t="inlineStr">
        <is>
          <t/>
        </is>
      </c>
      <c r="F1191" s="14" t="inlineStr">
        <is>
          <t/>
        </is>
      </c>
      <c r="G1191" s="15" t="inlineStr">
        <is>
          <t/>
        </is>
      </c>
      <c r="H1191" s="16" t="inlineStr">
        <is>
          <t/>
        </is>
      </c>
      <c r="I1191" s="17" t="inlineStr">
        <is>
          <t/>
        </is>
      </c>
      <c r="J1191" s="18" t="inlineStr">
        <is>
          <t/>
        </is>
      </c>
      <c r="K1191" s="19" t="inlineStr">
        <is>
          <t>Privately Held (backing)</t>
        </is>
      </c>
      <c r="L1191" s="20" t="inlineStr">
        <is>
          <t>Accelerator/Incubator Backed</t>
        </is>
      </c>
      <c r="M1191" s="21" t="n">
        <v>41767.0</v>
      </c>
      <c r="N1191" s="22" t="inlineStr">
        <is>
          <t>Accelerator/Incubator</t>
        </is>
      </c>
      <c r="O1191" s="23" t="inlineStr">
        <is>
          <t/>
        </is>
      </c>
      <c r="P1191" s="101">
        <f>HYPERLINK("https://my.pitchbook.com?c=98503-75", "View company online")</f>
      </c>
    </row>
    <row r="1192">
      <c r="A1192" s="25" t="inlineStr">
        <is>
          <t>164410-12</t>
        </is>
      </c>
      <c r="B1192" s="26" t="inlineStr">
        <is>
          <t>Spare CS</t>
        </is>
      </c>
      <c r="C1192" s="27" t="inlineStr">
        <is>
          <t/>
        </is>
      </c>
      <c r="D1192" s="28" t="inlineStr">
        <is>
          <t/>
        </is>
      </c>
      <c r="E1192" s="29" t="inlineStr">
        <is>
          <t/>
        </is>
      </c>
      <c r="F1192" s="30" t="inlineStr">
        <is>
          <t/>
        </is>
      </c>
      <c r="G1192" s="31" t="inlineStr">
        <is>
          <t/>
        </is>
      </c>
      <c r="H1192" s="32" t="inlineStr">
        <is>
          <t/>
        </is>
      </c>
      <c r="I1192" s="33" t="inlineStr">
        <is>
          <t/>
        </is>
      </c>
      <c r="J1192" s="34" t="inlineStr">
        <is>
          <t/>
        </is>
      </c>
      <c r="K1192" s="35" t="inlineStr">
        <is>
          <t>Privately Held (backing)</t>
        </is>
      </c>
      <c r="L1192" s="36" t="inlineStr">
        <is>
          <t>Accelerator/Incubator Backed</t>
        </is>
      </c>
      <c r="M1192" s="37" t="n">
        <v>42499.0</v>
      </c>
      <c r="N1192" s="38" t="inlineStr">
        <is>
          <t>Convertible Debt</t>
        </is>
      </c>
      <c r="O1192" s="39" t="n">
        <v>0.22</v>
      </c>
      <c r="P1192" s="102">
        <f>HYPERLINK("https://my.pitchbook.com?c=164410-12", "View company online")</f>
      </c>
    </row>
    <row r="1193">
      <c r="A1193" s="9" t="inlineStr">
        <is>
          <t>113479-39</t>
        </is>
      </c>
      <c r="B1193" s="10" t="inlineStr">
        <is>
          <t>SparcIt</t>
        </is>
      </c>
      <c r="C1193" s="11" t="inlineStr">
        <is>
          <t/>
        </is>
      </c>
      <c r="D1193" s="12" t="inlineStr">
        <is>
          <t/>
        </is>
      </c>
      <c r="E1193" s="13" t="inlineStr">
        <is>
          <t/>
        </is>
      </c>
      <c r="F1193" s="14" t="inlineStr">
        <is>
          <t/>
        </is>
      </c>
      <c r="G1193" s="15" t="inlineStr">
        <is>
          <t/>
        </is>
      </c>
      <c r="H1193" s="16" t="inlineStr">
        <is>
          <t/>
        </is>
      </c>
      <c r="I1193" s="17" t="inlineStr">
        <is>
          <t/>
        </is>
      </c>
      <c r="J1193" s="18" t="inlineStr">
        <is>
          <t/>
        </is>
      </c>
      <c r="K1193" s="19" t="inlineStr">
        <is>
          <t>Privately Held (backing)</t>
        </is>
      </c>
      <c r="L1193" s="20" t="inlineStr">
        <is>
          <t>Accelerator/Incubator Backed</t>
        </is>
      </c>
      <c r="M1193" s="21" t="n">
        <v>42706.0</v>
      </c>
      <c r="N1193" s="22" t="inlineStr">
        <is>
          <t>Accelerator/Incubator</t>
        </is>
      </c>
      <c r="O1193" s="23" t="inlineStr">
        <is>
          <t/>
        </is>
      </c>
      <c r="P1193" s="101">
        <f>HYPERLINK("https://my.pitchbook.com?c=113479-39", "View company online")</f>
      </c>
    </row>
    <row r="1194">
      <c r="A1194" s="25" t="inlineStr">
        <is>
          <t>117849-61</t>
        </is>
      </c>
      <c r="B1194" s="26" t="inlineStr">
        <is>
          <t>SpaceHQ</t>
        </is>
      </c>
      <c r="C1194" s="27" t="inlineStr">
        <is>
          <t/>
        </is>
      </c>
      <c r="D1194" s="28" t="inlineStr">
        <is>
          <t/>
        </is>
      </c>
      <c r="E1194" s="29" t="inlineStr">
        <is>
          <t/>
        </is>
      </c>
      <c r="F1194" s="30" t="inlineStr">
        <is>
          <t/>
        </is>
      </c>
      <c r="G1194" s="31" t="inlineStr">
        <is>
          <t/>
        </is>
      </c>
      <c r="H1194" s="32" t="inlineStr">
        <is>
          <t/>
        </is>
      </c>
      <c r="I1194" s="33" t="inlineStr">
        <is>
          <t/>
        </is>
      </c>
      <c r="J1194" s="34" t="inlineStr">
        <is>
          <t/>
        </is>
      </c>
      <c r="K1194" s="35" t="inlineStr">
        <is>
          <t>Privately Held (backing)</t>
        </is>
      </c>
      <c r="L1194" s="36" t="inlineStr">
        <is>
          <t>Accelerator/Incubator Backed</t>
        </is>
      </c>
      <c r="M1194" s="37" t="inlineStr">
        <is>
          <t/>
        </is>
      </c>
      <c r="N1194" s="38" t="inlineStr">
        <is>
          <t>Accelerator/Incubator</t>
        </is>
      </c>
      <c r="O1194" s="39" t="inlineStr">
        <is>
          <t/>
        </is>
      </c>
      <c r="P1194" s="102">
        <f>HYPERLINK("https://my.pitchbook.com?c=117849-61", "View company online")</f>
      </c>
    </row>
    <row r="1197">
      <c r="A1197" s="103" t="inlineStr">
        <is>
          <t>© PitchBook Data, Inc. 2017</t>
        </is>
      </c>
    </row>
  </sheetData>
  <mergeCells count="1">
    <mergeCell ref="B4:D6"/>
  </mergeCells>
  <pageMargins left="0.7" right="0.7" top="0.75" bottom="0.75" header="0.3" footer="0.3"/>
  <pageSetup paperSize="9" orientation="portrait" horizontalDpi="0" verticalDpi="0" r:id="rId1"/>
  <drawing r:id="rId2"/>
  <legacyDrawing r:id="rId4"/>
</worksheet>
</file>

<file path=xl/worksheets/sheet7.xml><?xml version="1.0" encoding="utf-8"?>
<worksheet xmlns="http://schemas.openxmlformats.org/spreadsheetml/2006/main">
  <dimension ref="A1"/>
  <sheetViews>
    <sheetView workbookViewId="0" showGridLines="false" tabSelected="false">
      <selection activeCell="A100" sqref="A100"/>
    </sheetView>
  </sheetViews>
  <sheetFormatPr defaultRowHeight="15.0"/>
  <cols>
    <col min="1" max="1" width="19.140625" customWidth="true"/>
    <col min="2" max="2" width="23.140625" customWidth="true"/>
    <col min="3" max="3" width="9.140625" customWidth="true"/>
    <col min="4" max="4" width="9.140625" customWidth="true"/>
    <col min="5" max="5" width="9.140625" customWidth="true"/>
    <col min="6" max="6" width="9.140625" customWidth="true"/>
    <col min="7" max="7" width="9.140625" customWidth="true"/>
    <col min="8" max="8" width="2.85546875" customWidth="true"/>
    <col min="9" max="9" width="26.42578125" customWidth="true"/>
  </cols>
  <sheetData>
    <row r="1">
      <c r="A1" t="s" s="104">
        <v>25</v>
      </c>
    </row>
    <row r="3">
      <c r="A3" t="s" s="105">
        <v>26</v>
      </c>
    </row>
    <row r="4">
      <c r="A4" t="s" s="113">
        <f>HYPERLINK("mailto:clientservices@pitchbook.com ", "clientservices@pitchbook.com ")</f>
      </c>
    </row>
    <row r="6">
      <c r="A6" t="s" s="107">
        <v>28</v>
      </c>
      <c r="B6" t="s" s="112">
        <f>HYPERLINK("http://www.pitchbook.com/agreement", "PitchBook User Agreement")</f>
      </c>
      <c r="C6" t="s" s="109">
        <v>30</v>
      </c>
    </row>
    <row r="8">
      <c r="A8" t="s" s="110">
        <v>31</v>
      </c>
      <c r="I8" t="s" s="114">
        <f>HYPERLINK("mailto:clientservices@pitchbook.com", "clientservices@pitchbook.com.")</f>
      </c>
    </row>
    <row r="10">
      <c r="A10" t="s" s="115">
        <v>33</v>
      </c>
    </row>
    <row r="21">
      <c r="A21"/>
    </row>
  </sheetData>
  <sheetProtection password="C9C1" sheet="true" scenarios="true" objects="tru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lastModifiedBy>PitchBook</lastModifiedBy>
  <dcterms:modified xsi:type="dcterms:W3CDTF">2012-10-16T07:15:39Z</dcterms:modified>
</coreProperties>
</file>