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200" yWindow="0" windowWidth="25600" windowHeight="15940" tabRatio="500" activeTab="1"/>
  </bookViews>
  <sheets>
    <sheet name="Qs 1-3" sheetId="1" r:id="rId1"/>
    <sheet name="Q4" sheetId="2" r:id="rId2"/>
    <sheet name="Reference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2" l="1"/>
  <c r="F26" i="2"/>
  <c r="C26" i="2"/>
  <c r="G35" i="2"/>
  <c r="F35" i="2"/>
  <c r="C35" i="2"/>
  <c r="G30" i="2"/>
  <c r="F30" i="2"/>
  <c r="E30" i="2"/>
  <c r="D30" i="2"/>
  <c r="C30" i="2"/>
  <c r="B39" i="1"/>
  <c r="B41" i="1"/>
  <c r="B25" i="1"/>
  <c r="B24" i="1"/>
  <c r="B27" i="1"/>
  <c r="B42" i="1"/>
  <c r="B43" i="1"/>
  <c r="B19" i="1"/>
  <c r="B48" i="1"/>
  <c r="B26" i="1"/>
  <c r="B29" i="1"/>
  <c r="B49" i="1"/>
  <c r="B50" i="1"/>
  <c r="B56" i="1"/>
  <c r="B64" i="1"/>
  <c r="B65" i="1"/>
  <c r="B66" i="1"/>
  <c r="B72" i="1"/>
  <c r="B73" i="1"/>
  <c r="B75" i="1"/>
  <c r="B77" i="1"/>
  <c r="B33" i="1"/>
  <c r="B32" i="1"/>
  <c r="B34" i="1"/>
  <c r="B57" i="1"/>
  <c r="B58" i="1"/>
  <c r="B59" i="1"/>
  <c r="H4" i="2"/>
  <c r="H7" i="2"/>
  <c r="H6" i="2"/>
  <c r="G28" i="2"/>
  <c r="G27" i="2"/>
  <c r="C20" i="2"/>
  <c r="G29" i="2"/>
  <c r="F29" i="2"/>
  <c r="F28" i="2"/>
  <c r="F27" i="2"/>
  <c r="E29" i="2"/>
  <c r="E28" i="2"/>
  <c r="F5" i="2"/>
  <c r="E27" i="2"/>
  <c r="D29" i="2"/>
  <c r="D28" i="2"/>
  <c r="D27" i="2"/>
  <c r="C29" i="2"/>
  <c r="C28" i="2"/>
  <c r="C5" i="2"/>
  <c r="C27" i="2"/>
  <c r="G36" i="2"/>
  <c r="F36" i="2"/>
  <c r="C36" i="2"/>
  <c r="G39" i="2"/>
  <c r="E39" i="2"/>
  <c r="F39" i="2"/>
  <c r="G38" i="2"/>
  <c r="G37" i="2"/>
  <c r="I7" i="2"/>
  <c r="I6" i="2"/>
  <c r="I4" i="2"/>
  <c r="C38" i="2"/>
  <c r="D38" i="2"/>
  <c r="E38" i="2"/>
  <c r="F38" i="2"/>
  <c r="F37" i="2"/>
  <c r="D39" i="2"/>
  <c r="E37" i="2"/>
  <c r="E36" i="2"/>
  <c r="F6" i="2"/>
  <c r="C39" i="2"/>
  <c r="D37" i="2"/>
  <c r="D36" i="2"/>
  <c r="C37" i="2"/>
  <c r="A53" i="1"/>
  <c r="C53" i="1"/>
  <c r="B53" i="1"/>
  <c r="B28" i="1"/>
  <c r="B30" i="1"/>
  <c r="B76" i="1"/>
  <c r="B74" i="1"/>
  <c r="B60" i="1"/>
  <c r="C48" i="1"/>
  <c r="B40" i="1"/>
</calcChain>
</file>

<file path=xl/comments1.xml><?xml version="1.0" encoding="utf-8"?>
<comments xmlns="http://schemas.openxmlformats.org/spreadsheetml/2006/main">
  <authors>
    <author>Kathryn Cogert</author>
  </authors>
  <commentList>
    <comment ref="H2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 temperature Independent
</t>
        </r>
      </text>
    </comment>
    <comment ref="I2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 temperature Independent</t>
        </r>
      </text>
    </comment>
    <comment ref="F5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assumed to be same as AOB, but some studies suggest this might be higher [5]</t>
        </r>
      </text>
    </comment>
    <comment ref="F6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Assumed to be same as AOB</t>
        </r>
      </text>
    </comment>
    <comment ref="G6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[6]</t>
        </r>
      </text>
    </comment>
    <comment ref="C20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Assumed 1 mol Alkalinity: 1 mol NH4 (from [9])</t>
        </r>
      </text>
    </comment>
    <comment ref="A21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 constant for all organisms</t>
        </r>
      </text>
    </comment>
    <comment ref="A22" authorId="0">
      <text>
        <r>
          <rPr>
            <b/>
            <sz val="9"/>
            <color indexed="81"/>
            <rFont val="Calibri"/>
            <family val="2"/>
          </rPr>
          <t>Kathryn Cogert:</t>
        </r>
        <r>
          <rPr>
            <sz val="9"/>
            <color indexed="81"/>
            <rFont val="Calibri"/>
            <family val="2"/>
          </rPr>
          <t xml:space="preserve">
Assume constant for all organisms
</t>
        </r>
      </text>
    </comment>
  </commentList>
</comments>
</file>

<file path=xl/sharedStrings.xml><?xml version="1.0" encoding="utf-8"?>
<sst xmlns="http://schemas.openxmlformats.org/spreadsheetml/2006/main" count="260" uniqueCount="191">
  <si>
    <t xml:space="preserve">1) An anaerobic reactor, operated at 37°C, processes a wastewater stream with a flow of 2800 m3/d and a bCOD concentration of 4900 g/m3.  At 95 percent bCOD removal and a net biomass synthesis yield of 0.04 g VSS/g COD used, what is the amount of methane produced in m3/d?   </t>
  </si>
  <si>
    <t xml:space="preserve">a) Prepare a steady-state mass balance for COD to determine the amount of the influent COD converted to methane.  </t>
  </si>
  <si>
    <t>COD In</t>
  </si>
  <si>
    <t>COD Out</t>
  </si>
  <si>
    <t>COD Consumed</t>
  </si>
  <si>
    <t>COD Accumulated</t>
  </si>
  <si>
    <t>Given Values</t>
  </si>
  <si>
    <t>Digester Temperature</t>
  </si>
  <si>
    <t>bCOD Concentration</t>
  </si>
  <si>
    <t>% bCOD Removal</t>
  </si>
  <si>
    <t>deg C</t>
  </si>
  <si>
    <t>g/m3</t>
  </si>
  <si>
    <t>wt/wt</t>
  </si>
  <si>
    <t>Assumed on weight basis</t>
  </si>
  <si>
    <t>m3/d</t>
  </si>
  <si>
    <t>kg/d</t>
  </si>
  <si>
    <t>= Fraction Converted * Influent COD</t>
  </si>
  <si>
    <t>= Influent COD - Consumed COD</t>
  </si>
  <si>
    <t>= Influent Flowrate * Influent COD conentration</t>
  </si>
  <si>
    <t xml:space="preserve">b) Determine the values of the individual mass balance terms. </t>
  </si>
  <si>
    <t xml:space="preserve">c) Determine the amount of methane produced at 37°C. </t>
  </si>
  <si>
    <t xml:space="preserve">-Determine the volume of gas occupied by 1 mole of gas at 37°C. </t>
  </si>
  <si>
    <t xml:space="preserve">d) Calculate the CH4 equivalent of COD converted under anaerobic conditions </t>
  </si>
  <si>
    <t>COD to biomass</t>
  </si>
  <si>
    <t>COD to CH4</t>
  </si>
  <si>
    <t>g VSS/g COD</t>
  </si>
  <si>
    <t>Net biomass Synthesis</t>
  </si>
  <si>
    <t>kg VSS/d</t>
  </si>
  <si>
    <t>Calculated Values</t>
  </si>
  <si>
    <t>gCOD/gVSS</t>
  </si>
  <si>
    <t>MW of Biomass</t>
  </si>
  <si>
    <t>MW of O2</t>
  </si>
  <si>
    <t>C</t>
  </si>
  <si>
    <t>General biomass formula: CH1.8O0.5N0.2 (phosphorous not included for scope simplification)</t>
  </si>
  <si>
    <t>MW CH4</t>
  </si>
  <si>
    <t>assume ideal gas law: PV = nRT</t>
  </si>
  <si>
    <t>Pressure</t>
  </si>
  <si>
    <t>atm</t>
  </si>
  <si>
    <t>dim'less</t>
  </si>
  <si>
    <t>gCH4/gCOD</t>
  </si>
  <si>
    <t>m3 CH3/g COD consumed</t>
  </si>
  <si>
    <t>ideal gas m3/kmol</t>
  </si>
  <si>
    <t>m3 atm/ kmol/K</t>
  </si>
  <si>
    <t>kgCOD/d</t>
  </si>
  <si>
    <t>m3/kgCOD</t>
  </si>
  <si>
    <t>m3/kmol</t>
  </si>
  <si>
    <t>% Methane in Biogas</t>
  </si>
  <si>
    <t>vol/vol</t>
  </si>
  <si>
    <t>Assumed on volume basis</t>
  </si>
  <si>
    <t xml:space="preserve">e) Calculate the methane production and the methane total gas flow assuming 63% of methane in biogas </t>
  </si>
  <si>
    <t>Total Biogas Production</t>
  </si>
  <si>
    <t xml:space="preserve">2) How much nitrate could anaerobic methane oxidizing archaea convert to nitrite with the provided methane from question 1? </t>
  </si>
  <si>
    <t>mmol/L</t>
  </si>
  <si>
    <t>mol/L-atm</t>
  </si>
  <si>
    <t>Partial Pressure CH4</t>
  </si>
  <si>
    <t>Max Dissolved Methane</t>
  </si>
  <si>
    <t>Water Density @ 37 C</t>
  </si>
  <si>
    <t>kg/m3</t>
  </si>
  <si>
    <t>Henry's Constant at 37 C</t>
  </si>
  <si>
    <t>kmol/d</t>
  </si>
  <si>
    <t>Influent Flowrate</t>
  </si>
  <si>
    <t>Total methane in biogas</t>
  </si>
  <si>
    <t>Assuming no competition from other methanotrophs</t>
  </si>
  <si>
    <t>kgN/d</t>
  </si>
  <si>
    <t>Nitrate converted</t>
  </si>
  <si>
    <t>gN/m3</t>
  </si>
  <si>
    <t xml:space="preserve">3) Assuming that the produced nitrite from questions 2 would be reduced by Anammox bacteria how much nitrogen could be removed with the provided methane? </t>
  </si>
  <si>
    <t>-Please provide all stoichiometric equations you are using for your calculations.</t>
  </si>
  <si>
    <t>Nitrite Converted</t>
  </si>
  <si>
    <t>Ammonium Converted</t>
  </si>
  <si>
    <t>Total NO3- Produced by Anammox</t>
  </si>
  <si>
    <t>Total N2 Produced</t>
  </si>
  <si>
    <t>Total N removed</t>
  </si>
  <si>
    <t>Total N in Synthesized Biomass</t>
  </si>
  <si>
    <t>CH4 Produced</t>
  </si>
  <si>
    <t>Scenario A</t>
  </si>
  <si>
    <t>Scenario B</t>
  </si>
  <si>
    <t>N in</t>
  </si>
  <si>
    <t>C in</t>
  </si>
  <si>
    <t>gVSS/gN</t>
  </si>
  <si>
    <t>gCOD/gN</t>
  </si>
  <si>
    <t>Comments</t>
  </si>
  <si>
    <t>Units</t>
  </si>
  <si>
    <t>gO2/gN</t>
  </si>
  <si>
    <t>AOB</t>
  </si>
  <si>
    <t>NOB</t>
  </si>
  <si>
    <t>Sludge Production</t>
  </si>
  <si>
    <t>wt/wt%</t>
  </si>
  <si>
    <t>Anammox</t>
  </si>
  <si>
    <t>Assume</t>
  </si>
  <si>
    <t>N Removal</t>
  </si>
  <si>
    <t>Temperature</t>
  </si>
  <si>
    <t>µ_max</t>
  </si>
  <si>
    <t>K_COD</t>
  </si>
  <si>
    <t>Hetertroph</t>
  </si>
  <si>
    <t>gVSS/gVSS/d</t>
  </si>
  <si>
    <t>Y</t>
  </si>
  <si>
    <t>Substrate (S)</t>
  </si>
  <si>
    <t>gVSS/g S</t>
  </si>
  <si>
    <t>COD</t>
  </si>
  <si>
    <t>NH4-N</t>
  </si>
  <si>
    <t>NO2-N</t>
  </si>
  <si>
    <t>K_O2</t>
  </si>
  <si>
    <t>N/A</t>
  </si>
  <si>
    <t>gO2/m3</t>
  </si>
  <si>
    <t>Oxygen Consumption</t>
  </si>
  <si>
    <t>b</t>
  </si>
  <si>
    <t>days</t>
  </si>
  <si>
    <t>mgCOD/L</t>
  </si>
  <si>
    <t>mgN/L</t>
  </si>
  <si>
    <t>COD Rem Eff.</t>
  </si>
  <si>
    <t>Alkalinity Consumed</t>
  </si>
  <si>
    <t>Alkalinity</t>
  </si>
  <si>
    <t>g CaCO3</t>
  </si>
  <si>
    <t>Min SRT</t>
  </si>
  <si>
    <t>AOA</t>
  </si>
  <si>
    <t>K_NO2</t>
  </si>
  <si>
    <t>K_NO3</t>
  </si>
  <si>
    <t>K_NH4</t>
  </si>
  <si>
    <t>% gCaCO3</t>
  </si>
  <si>
    <t>Parameter</t>
  </si>
  <si>
    <t>Concept a)</t>
  </si>
  <si>
    <t>Concept b)</t>
  </si>
  <si>
    <t>Concept c)</t>
  </si>
  <si>
    <t>Concept d)</t>
  </si>
  <si>
    <t>Concept e)</t>
  </si>
  <si>
    <t>CH4</t>
  </si>
  <si>
    <t>[1]</t>
  </si>
  <si>
    <t>Description</t>
  </si>
  <si>
    <t>Value</t>
  </si>
  <si>
    <t>Unit</t>
  </si>
  <si>
    <t>Assumptions/Known Constants</t>
  </si>
  <si>
    <t>MW C</t>
  </si>
  <si>
    <t>MW H</t>
  </si>
  <si>
    <t>MW O</t>
  </si>
  <si>
    <t>MW N</t>
  </si>
  <si>
    <t>CH4 Heat of Dissolution</t>
  </si>
  <si>
    <t>CH4 Henry's Constant</t>
  </si>
  <si>
    <t>universal gas constant</t>
  </si>
  <si>
    <t>Biomass Combustion Stoichiometry: CH1.8O0.5N0.2 + 1.05 O2 --&gt; CO2 + 0.6 H2O + 0.2 NH3</t>
  </si>
  <si>
    <t>CH4 combustion stoichiometery: CH4 + 2O2 --&gt; CO2 + 2H2O</t>
  </si>
  <si>
    <t>Calculated via van't hoff eqn</t>
  </si>
  <si>
    <t>= y * P_tot</t>
  </si>
  <si>
    <t>mol/m3</t>
  </si>
  <si>
    <t>Calculated via henry'slaw</t>
  </si>
  <si>
    <t>&amp;</t>
  </si>
  <si>
    <t>= COD Converted - COD converted to biomass</t>
  </si>
  <si>
    <t>= COD Converted * Y * 1.4 gCOD/gVSS</t>
  </si>
  <si>
    <t>= 0 (steady state asuumption)</t>
  </si>
  <si>
    <t>m3 CH4/g COD</t>
  </si>
  <si>
    <t>m3/g</t>
  </si>
  <si>
    <t>= n * R * T (as Kelvin) / P (assuming ideal gas)</t>
  </si>
  <si>
    <t>volume of 1 mole gas</t>
  </si>
  <si>
    <t>= volume of 1 mole of gas / MW of CH4 / g CH4 to g COD conversion</t>
  </si>
  <si>
    <t>= gCOD converted to methane * volume of 1 g methane gas as COD</t>
  </si>
  <si>
    <t>Calcuated above</t>
  </si>
  <si>
    <t>Moles of Methane Produced</t>
  </si>
  <si>
    <t>CH4 that Dissolves</t>
  </si>
  <si>
    <t>= m3/d of methane produced / volume of 1 mole of gas</t>
  </si>
  <si>
    <t>= Saturated concentration of dissolved methane * influent flowate</t>
  </si>
  <si>
    <t>= Total methane produced - methane that dissolves</t>
  </si>
  <si>
    <t>= Moles * volume of 1 mole</t>
  </si>
  <si>
    <t>= volume of methane / CH4 fraction in biogas</t>
  </si>
  <si>
    <t>[1] NIST Chemistry Webook</t>
  </si>
  <si>
    <t>[2] Haroon 2013</t>
  </si>
  <si>
    <t>Moles NO3 per mole CH4</t>
  </si>
  <si>
    <t>mol/mol</t>
  </si>
  <si>
    <t>= moles * MW for N</t>
  </si>
  <si>
    <t>= N converted per day / influent flowrate</t>
  </si>
  <si>
    <t>NDAMO</t>
  </si>
  <si>
    <t>NH4+ + 1.32 NO2- + 0.066 HCO3- + 0.13 H+ → 1.02 N2+0.066 CH1.8 O0.5N0.2 + 0.26 NO3- + 2.03 H2O [3]</t>
  </si>
  <si>
    <t>4 NO3-+CH4→CO2+4 NO2-+2 H2O [2]</t>
  </si>
  <si>
    <t>[3] Van der Star 2008</t>
  </si>
  <si>
    <t>= Nitrate converted by NDAMO</t>
  </si>
  <si>
    <t>= Nitrite * 1.02 * 2</t>
  </si>
  <si>
    <t>= Nitrite / 1.32</t>
  </si>
  <si>
    <t>= Nitrite / 1.32 * 0.26</t>
  </si>
  <si>
    <t>= Nitrite * 0.066 * 0.2</t>
  </si>
  <si>
    <t>= Total N2 produced</t>
  </si>
  <si>
    <t>[5] Könneke, Martin, Daniel M. Schubert, Philip C. Brown, Michael Hügler, Sonja Standfest, Thomas Schwander, Lennart Schada Von Borzyskowski, Tobias J. Erb, David A. Stahl, and Ivan A. Berg. "Ammonia-oxidizing Archaea Use the Most Energy-efficient Aerobic Pathway for CO2 Fixation." Proceedings of the National Academy of Sciences of the United States of America. National Academy of Sciences, 03 June 2014. Web. 29 June 2016</t>
  </si>
  <si>
    <t>[4] Wastewater Engineering, Metcalf &amp; Eddy</t>
  </si>
  <si>
    <r>
      <t>Microbial Kinetics</t>
    </r>
    <r>
      <rPr>
        <sz val="12"/>
        <color theme="1"/>
        <rFont val="Calibri"/>
        <family val="2"/>
        <scheme val="minor"/>
      </rPr>
      <t xml:space="preserve"> (from [4] unless otherwise stated)</t>
    </r>
  </si>
  <si>
    <t>[6] Koch, G., K. Egli, J. R. Van Der Meer, and H. Siegrist. "Mathematical Modeling of Autotrophic Denitrification in a Nitrifying Biofilm of a Rotating Biological Contactor." Water Science &amp; Technology. IWA Conference, n.d. Web. 29 June 2016</t>
  </si>
  <si>
    <t>DAMA Arch[7]</t>
  </si>
  <si>
    <t>DAMO Bact[7]</t>
  </si>
  <si>
    <t>[7] Chen, Xueming, Liu Yiwen, Lai Peng, Zhinguo Yuan, and Bing Jie Ni. "Model-Based Feasibility Assessment of Membrane Biofilm Reactor to Achieve Simultaneous Ammonium, Dissolved Methane, and Sulfide Removal from Anaerobic Digestion Liquor". Nature Scientific Reports, 2016. Web.</t>
  </si>
  <si>
    <t>[8] Ettwing, 2010</t>
  </si>
  <si>
    <t>[9] DeMooji, H. W., and G. Thomas. "Ammoniacal Nitrogen Removal from Sludge Liquors – Operational Experience with the DEMON Process." Ammoniacal Nitrogen Removal from Sludge Liquors – Operational Experience with the DEMON Process (n.d.): n. pag. 15th European Biosolids and Organic Resources Conference. Web. 28 June 2016.</t>
  </si>
  <si>
    <t>theta_b</t>
  </si>
  <si>
    <t>theta_µ</t>
  </si>
  <si>
    <t>COD Req'd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</si>
</sst>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quotePrefix="1" applyAlignment="1">
      <alignment horizontal="left"/>
    </xf>
    <xf numFmtId="2" fontId="6" fillId="0" borderId="0" xfId="0" applyNumberFormat="1" applyFont="1"/>
    <xf numFmtId="165" fontId="2" fillId="0" borderId="0" xfId="0" applyNumberFormat="1" applyFont="1"/>
    <xf numFmtId="0" fontId="0" fillId="0" borderId="0" xfId="0" applyFont="1"/>
    <xf numFmtId="1" fontId="2" fillId="0" borderId="0" xfId="0" quotePrefix="1" applyNumberFormat="1" applyFont="1" applyAlignment="1">
      <alignment horizontal="left" indent="4"/>
    </xf>
    <xf numFmtId="9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9" fontId="0" fillId="0" borderId="0" xfId="209" applyFont="1"/>
    <xf numFmtId="165" fontId="7" fillId="0" borderId="0" xfId="0" applyNumberFormat="1" applyFont="1"/>
    <xf numFmtId="1" fontId="7" fillId="0" borderId="0" xfId="0" applyNumberFormat="1" applyFont="1"/>
    <xf numFmtId="0" fontId="3" fillId="0" borderId="0" xfId="400"/>
    <xf numFmtId="0" fontId="2" fillId="0" borderId="0" xfId="0" applyFont="1" applyAlignment="1">
      <alignment wrapText="1"/>
    </xf>
    <xf numFmtId="0" fontId="5" fillId="0" borderId="0" xfId="0" quotePrefix="1" applyFont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indent="2"/>
    </xf>
    <xf numFmtId="0" fontId="0" fillId="0" borderId="0" xfId="0" quotePrefix="1" applyAlignment="1"/>
    <xf numFmtId="165" fontId="0" fillId="0" borderId="0" xfId="0" quotePrefix="1" applyNumberFormat="1" applyFont="1" applyAlignment="1">
      <alignment horizontal="right"/>
    </xf>
    <xf numFmtId="1" fontId="0" fillId="0" borderId="0" xfId="0" quotePrefix="1" applyNumberFormat="1" applyFont="1" applyAlignment="1">
      <alignment horizontal="left" indent="4"/>
    </xf>
    <xf numFmtId="0" fontId="0" fillId="0" borderId="0" xfId="0" applyFont="1" applyAlignment="1">
      <alignment horizontal="left" indent="1"/>
    </xf>
    <xf numFmtId="0" fontId="0" fillId="0" borderId="0" xfId="0" quotePrefix="1" applyFont="1"/>
    <xf numFmtId="165" fontId="0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2" fontId="0" fillId="0" borderId="0" xfId="0" applyNumberFormat="1" applyAlignment="1">
      <alignment horizontal="center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/>
    <cellStyle name="Normal" xfId="0" builtinId="0"/>
    <cellStyle name="Percent" xfId="20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5.jpg"/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12</xdr:row>
      <xdr:rowOff>114300</xdr:rowOff>
    </xdr:from>
    <xdr:to>
      <xdr:col>14</xdr:col>
      <xdr:colOff>635000</xdr:colOff>
      <xdr:row>22</xdr:row>
      <xdr:rowOff>99060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2209800"/>
          <a:ext cx="6299200" cy="1889760"/>
        </a:xfrm>
        <a:prstGeom prst="rect">
          <a:avLst/>
        </a:prstGeom>
      </xdr:spPr>
    </xdr:pic>
    <xdr:clientData/>
  </xdr:twoCellAnchor>
  <xdr:twoCellAnchor editAs="oneCell">
    <xdr:from>
      <xdr:col>7</xdr:col>
      <xdr:colOff>596900</xdr:colOff>
      <xdr:row>25</xdr:row>
      <xdr:rowOff>152400</xdr:rowOff>
    </xdr:from>
    <xdr:to>
      <xdr:col>15</xdr:col>
      <xdr:colOff>254000</xdr:colOff>
      <xdr:row>36</xdr:row>
      <xdr:rowOff>76200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9300" y="4343400"/>
          <a:ext cx="6731000" cy="201930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37</xdr:row>
      <xdr:rowOff>101600</xdr:rowOff>
    </xdr:from>
    <xdr:to>
      <xdr:col>15</xdr:col>
      <xdr:colOff>76200</xdr:colOff>
      <xdr:row>47</xdr:row>
      <xdr:rowOff>158750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0" y="6578600"/>
          <a:ext cx="6540500" cy="196215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48</xdr:row>
      <xdr:rowOff>101600</xdr:rowOff>
    </xdr:from>
    <xdr:to>
      <xdr:col>15</xdr:col>
      <xdr:colOff>279400</xdr:colOff>
      <xdr:row>59</xdr:row>
      <xdr:rowOff>29210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2000" y="8674100"/>
          <a:ext cx="6743700" cy="2023110"/>
        </a:xfrm>
        <a:prstGeom prst="rect">
          <a:avLst/>
        </a:prstGeom>
      </xdr:spPr>
    </xdr:pic>
    <xdr:clientData/>
  </xdr:twoCellAnchor>
  <xdr:twoCellAnchor editAs="oneCell">
    <xdr:from>
      <xdr:col>7</xdr:col>
      <xdr:colOff>711200</xdr:colOff>
      <xdr:row>60</xdr:row>
      <xdr:rowOff>63500</xdr:rowOff>
    </xdr:from>
    <xdr:to>
      <xdr:col>15</xdr:col>
      <xdr:colOff>342900</xdr:colOff>
      <xdr:row>70</xdr:row>
      <xdr:rowOff>170180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13600" y="10922000"/>
          <a:ext cx="6705600" cy="2011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zoomScale="125" zoomScaleNormal="125" zoomScalePageLayoutView="125" workbookViewId="0">
      <selection activeCell="D76" sqref="D76"/>
    </sheetView>
  </sheetViews>
  <sheetFormatPr baseColWidth="10" defaultRowHeight="15" x14ac:dyDescent="0"/>
  <cols>
    <col min="1" max="1" width="24.33203125" customWidth="1"/>
    <col min="2" max="2" width="13.33203125" bestFit="1" customWidth="1"/>
    <col min="4" max="4" width="86.5" customWidth="1"/>
  </cols>
  <sheetData>
    <row r="1" spans="1:11" ht="30" customHeight="1">
      <c r="A1" s="36" t="s">
        <v>0</v>
      </c>
      <c r="B1" s="36"/>
      <c r="C1" s="36"/>
      <c r="D1" s="36"/>
      <c r="E1" s="25"/>
      <c r="F1" s="25"/>
      <c r="G1" s="25"/>
      <c r="H1" s="25"/>
      <c r="I1" s="25"/>
      <c r="J1" s="25"/>
      <c r="K1" s="25"/>
    </row>
    <row r="2" spans="1:11" ht="14" customHeight="1">
      <c r="A2" s="27"/>
      <c r="B2" s="27"/>
      <c r="C2" s="27"/>
      <c r="D2" s="27"/>
      <c r="E2" s="25"/>
      <c r="F2" s="25"/>
      <c r="G2" s="25"/>
      <c r="H2" s="25"/>
      <c r="I2" s="25"/>
      <c r="J2" s="25"/>
      <c r="K2" s="25"/>
    </row>
    <row r="3" spans="1:11" ht="14" customHeight="1">
      <c r="A3" s="27"/>
      <c r="B3" s="27"/>
      <c r="C3" s="27"/>
      <c r="D3" s="27"/>
      <c r="E3" s="25"/>
      <c r="F3" s="25"/>
      <c r="G3" s="25"/>
      <c r="H3" s="25"/>
      <c r="I3" s="25"/>
      <c r="J3" s="25"/>
      <c r="K3" s="25"/>
    </row>
    <row r="5" spans="1:11">
      <c r="A5" s="4" t="s">
        <v>128</v>
      </c>
      <c r="B5" s="4" t="s">
        <v>129</v>
      </c>
      <c r="C5" s="4" t="s">
        <v>130</v>
      </c>
      <c r="D5" s="4" t="s">
        <v>81</v>
      </c>
    </row>
    <row r="6" spans="1:11">
      <c r="A6" s="35" t="s">
        <v>6</v>
      </c>
      <c r="B6" s="35"/>
      <c r="C6" s="35"/>
      <c r="D6" s="35"/>
    </row>
    <row r="7" spans="1:11">
      <c r="A7" t="s">
        <v>7</v>
      </c>
      <c r="B7">
        <v>37</v>
      </c>
      <c r="C7" t="s">
        <v>10</v>
      </c>
    </row>
    <row r="8" spans="1:11">
      <c r="A8" t="s">
        <v>60</v>
      </c>
      <c r="B8">
        <v>2800</v>
      </c>
      <c r="C8" t="s">
        <v>14</v>
      </c>
    </row>
    <row r="9" spans="1:11">
      <c r="A9" t="s">
        <v>8</v>
      </c>
      <c r="B9">
        <v>4900</v>
      </c>
      <c r="C9" t="s">
        <v>11</v>
      </c>
    </row>
    <row r="10" spans="1:11">
      <c r="A10" t="s">
        <v>9</v>
      </c>
      <c r="B10">
        <v>0.95</v>
      </c>
      <c r="C10" t="s">
        <v>12</v>
      </c>
      <c r="D10" t="s">
        <v>13</v>
      </c>
    </row>
    <row r="11" spans="1:11">
      <c r="A11" t="s">
        <v>26</v>
      </c>
      <c r="B11">
        <v>0.04</v>
      </c>
      <c r="C11" t="s">
        <v>25</v>
      </c>
    </row>
    <row r="12" spans="1:11">
      <c r="A12" t="s">
        <v>46</v>
      </c>
      <c r="B12">
        <v>0.63</v>
      </c>
      <c r="C12" t="s">
        <v>47</v>
      </c>
      <c r="D12" t="s">
        <v>48</v>
      </c>
    </row>
    <row r="13" spans="1:11">
      <c r="A13" s="35" t="s">
        <v>131</v>
      </c>
      <c r="B13" s="35"/>
      <c r="C13" s="35"/>
      <c r="D13" s="35"/>
    </row>
    <row r="14" spans="1:11">
      <c r="A14" t="s">
        <v>132</v>
      </c>
      <c r="B14">
        <v>12</v>
      </c>
    </row>
    <row r="15" spans="1:11">
      <c r="A15" t="s">
        <v>133</v>
      </c>
      <c r="B15">
        <v>1</v>
      </c>
    </row>
    <row r="16" spans="1:11">
      <c r="A16" t="s">
        <v>134</v>
      </c>
      <c r="B16">
        <v>16</v>
      </c>
    </row>
    <row r="17" spans="1:4">
      <c r="A17" t="s">
        <v>135</v>
      </c>
      <c r="B17">
        <v>14</v>
      </c>
    </row>
    <row r="18" spans="1:4">
      <c r="A18" t="s">
        <v>36</v>
      </c>
      <c r="B18">
        <v>1</v>
      </c>
      <c r="C18" t="s">
        <v>37</v>
      </c>
    </row>
    <row r="19" spans="1:4">
      <c r="A19" t="s">
        <v>138</v>
      </c>
      <c r="B19">
        <f>0.082057338</f>
        <v>8.2057337999999994E-2</v>
      </c>
      <c r="C19" t="s">
        <v>42</v>
      </c>
    </row>
    <row r="20" spans="1:4">
      <c r="A20" t="s">
        <v>136</v>
      </c>
      <c r="B20">
        <v>1600</v>
      </c>
      <c r="D20" t="s">
        <v>127</v>
      </c>
    </row>
    <row r="21" spans="1:4">
      <c r="A21" t="s">
        <v>137</v>
      </c>
      <c r="B21">
        <v>1.4E-3</v>
      </c>
      <c r="D21" t="s">
        <v>127</v>
      </c>
    </row>
    <row r="22" spans="1:4">
      <c r="A22" t="s">
        <v>56</v>
      </c>
      <c r="B22">
        <v>993.37</v>
      </c>
      <c r="C22" t="s">
        <v>57</v>
      </c>
      <c r="D22" t="s">
        <v>127</v>
      </c>
    </row>
    <row r="23" spans="1:4">
      <c r="A23" s="35" t="s">
        <v>28</v>
      </c>
      <c r="B23" s="35"/>
      <c r="C23" s="35"/>
      <c r="D23" s="35"/>
    </row>
    <row r="24" spans="1:4">
      <c r="A24" t="s">
        <v>30</v>
      </c>
      <c r="B24">
        <f>B14+1.8*B15+0.5*B16+B17*0.2</f>
        <v>24.6</v>
      </c>
      <c r="C24" t="s">
        <v>38</v>
      </c>
      <c r="D24" t="s">
        <v>33</v>
      </c>
    </row>
    <row r="25" spans="1:4">
      <c r="A25" t="s">
        <v>31</v>
      </c>
      <c r="B25">
        <f>B16*2</f>
        <v>32</v>
      </c>
      <c r="C25" t="s">
        <v>38</v>
      </c>
    </row>
    <row r="26" spans="1:4">
      <c r="A26" t="s">
        <v>34</v>
      </c>
      <c r="B26">
        <f>B14+4*B15</f>
        <v>16</v>
      </c>
      <c r="C26" t="s">
        <v>38</v>
      </c>
    </row>
    <row r="27" spans="1:4">
      <c r="A27" t="s">
        <v>29</v>
      </c>
      <c r="B27" s="7">
        <f>1.05*B25/B24</f>
        <v>1.3658536585365852</v>
      </c>
      <c r="C27" t="s">
        <v>38</v>
      </c>
      <c r="D27" t="s">
        <v>139</v>
      </c>
    </row>
    <row r="28" spans="1:4">
      <c r="A28" t="s">
        <v>41</v>
      </c>
      <c r="B28" s="7">
        <f>1 * B19*(B7+273.15)/B18</f>
        <v>25.450083380699997</v>
      </c>
      <c r="C28" t="s">
        <v>45</v>
      </c>
      <c r="D28" t="s">
        <v>35</v>
      </c>
    </row>
    <row r="29" spans="1:4">
      <c r="A29" t="s">
        <v>39</v>
      </c>
      <c r="B29">
        <f>2*B25/B26</f>
        <v>4</v>
      </c>
      <c r="C29" t="s">
        <v>38</v>
      </c>
      <c r="D29" t="s">
        <v>140</v>
      </c>
    </row>
    <row r="30" spans="1:4">
      <c r="A30" t="s">
        <v>40</v>
      </c>
      <c r="B30" s="6">
        <f>B28/B26/B29</f>
        <v>0.39765755282343745</v>
      </c>
      <c r="C30" t="s">
        <v>44</v>
      </c>
    </row>
    <row r="31" spans="1:4">
      <c r="C31" t="s">
        <v>52</v>
      </c>
    </row>
    <row r="32" spans="1:4">
      <c r="A32" t="s">
        <v>58</v>
      </c>
      <c r="B32" s="5">
        <f>B21*EXP(B20*(1/(B7+273.15)-1/298.15))*1.01*B22/1000</f>
        <v>1.1412661771619758E-3</v>
      </c>
      <c r="C32" t="s">
        <v>53</v>
      </c>
      <c r="D32" t="s">
        <v>141</v>
      </c>
    </row>
    <row r="33" spans="1:4">
      <c r="A33" t="s">
        <v>54</v>
      </c>
      <c r="B33">
        <f>B12*B18</f>
        <v>0.63</v>
      </c>
      <c r="C33" t="s">
        <v>37</v>
      </c>
      <c r="D33" s="26" t="s">
        <v>142</v>
      </c>
    </row>
    <row r="34" spans="1:4">
      <c r="A34" t="s">
        <v>55</v>
      </c>
      <c r="B34" s="6">
        <f>B33*B32*1000</f>
        <v>0.71899769161204474</v>
      </c>
      <c r="C34" t="s">
        <v>143</v>
      </c>
      <c r="D34" t="s">
        <v>144</v>
      </c>
    </row>
    <row r="36" spans="1:4">
      <c r="A36" t="s">
        <v>1</v>
      </c>
    </row>
    <row r="37" spans="1:4">
      <c r="A37" t="s">
        <v>145</v>
      </c>
    </row>
    <row r="38" spans="1:4">
      <c r="A38" t="s">
        <v>19</v>
      </c>
    </row>
    <row r="39" spans="1:4">
      <c r="A39" s="3" t="s">
        <v>2</v>
      </c>
      <c r="B39" s="12">
        <f>B8*B9/10^3</f>
        <v>13720</v>
      </c>
      <c r="C39" t="s">
        <v>15</v>
      </c>
      <c r="D39" s="1" t="s">
        <v>18</v>
      </c>
    </row>
    <row r="40" spans="1:4">
      <c r="A40" s="3" t="s">
        <v>3</v>
      </c>
      <c r="B40" s="12">
        <f>B39-B41</f>
        <v>686</v>
      </c>
      <c r="C40" t="s">
        <v>15</v>
      </c>
      <c r="D40" s="1" t="s">
        <v>17</v>
      </c>
    </row>
    <row r="41" spans="1:4">
      <c r="A41" s="3" t="s">
        <v>4</v>
      </c>
      <c r="B41" s="12">
        <f>B39*B10</f>
        <v>13034</v>
      </c>
      <c r="C41" t="s">
        <v>15</v>
      </c>
      <c r="D41" s="1" t="s">
        <v>16</v>
      </c>
    </row>
    <row r="42" spans="1:4">
      <c r="A42" s="28" t="s">
        <v>23</v>
      </c>
      <c r="B42" s="12">
        <f>B11*B41*B27</f>
        <v>712.10146341463405</v>
      </c>
      <c r="C42" t="s">
        <v>27</v>
      </c>
      <c r="D42" s="1" t="s">
        <v>147</v>
      </c>
    </row>
    <row r="43" spans="1:4">
      <c r="A43" s="28" t="s">
        <v>24</v>
      </c>
      <c r="B43" s="16">
        <f>B41-B42</f>
        <v>12321.898536585366</v>
      </c>
      <c r="C43" t="s">
        <v>43</v>
      </c>
      <c r="D43" s="1" t="s">
        <v>146</v>
      </c>
    </row>
    <row r="44" spans="1:4">
      <c r="A44" s="3" t="s">
        <v>5</v>
      </c>
      <c r="B44" s="12">
        <v>0</v>
      </c>
      <c r="C44" t="s">
        <v>15</v>
      </c>
      <c r="D44" s="1" t="s">
        <v>148</v>
      </c>
    </row>
    <row r="46" spans="1:4">
      <c r="A46" t="s">
        <v>20</v>
      </c>
    </row>
    <row r="47" spans="1:4">
      <c r="A47" s="9" t="s">
        <v>21</v>
      </c>
    </row>
    <row r="48" spans="1:4">
      <c r="A48" s="2" t="s">
        <v>152</v>
      </c>
      <c r="B48" s="30">
        <f>1 * B19*(B7+273.15)/B18</f>
        <v>25.450083380699997</v>
      </c>
      <c r="C48" s="29" t="str">
        <f>C28</f>
        <v>m3/kmol</v>
      </c>
      <c r="D48" s="1" t="s">
        <v>151</v>
      </c>
    </row>
    <row r="49" spans="1:5">
      <c r="A49" s="2" t="s">
        <v>149</v>
      </c>
      <c r="B49" s="30">
        <f>B48/B26/B29</f>
        <v>0.39765755282343745</v>
      </c>
      <c r="C49" s="29" t="s">
        <v>150</v>
      </c>
      <c r="D49" s="1" t="s">
        <v>153</v>
      </c>
    </row>
    <row r="50" spans="1:5">
      <c r="A50" s="2" t="s">
        <v>74</v>
      </c>
      <c r="B50" s="31">
        <f>B43*B49</f>
        <v>4899.8960181972316</v>
      </c>
      <c r="C50" s="29" t="s">
        <v>14</v>
      </c>
      <c r="D50" s="1" t="s">
        <v>154</v>
      </c>
    </row>
    <row r="51" spans="1:5">
      <c r="A51" s="2"/>
      <c r="B51" s="13"/>
      <c r="C51" s="2"/>
    </row>
    <row r="52" spans="1:5">
      <c r="A52" t="s">
        <v>22</v>
      </c>
    </row>
    <row r="53" spans="1:5">
      <c r="A53" s="3" t="str">
        <f>A43</f>
        <v>COD to CH4</v>
      </c>
      <c r="B53" s="16">
        <f>B43</f>
        <v>12321.898536585366</v>
      </c>
      <c r="C53" t="str">
        <f>C43</f>
        <v>kgCOD/d</v>
      </c>
      <c r="D53" t="s">
        <v>155</v>
      </c>
    </row>
    <row r="55" spans="1:5">
      <c r="A55" t="s">
        <v>49</v>
      </c>
    </row>
    <row r="56" spans="1:5">
      <c r="A56" s="32" t="s">
        <v>156</v>
      </c>
      <c r="B56" s="16">
        <f>B50/B48</f>
        <v>192.52966463414634</v>
      </c>
      <c r="C56" s="12" t="s">
        <v>59</v>
      </c>
      <c r="D56" s="1" t="s">
        <v>158</v>
      </c>
    </row>
    <row r="57" spans="1:5">
      <c r="A57" s="32" t="s">
        <v>157</v>
      </c>
      <c r="B57" s="16">
        <f>B34*B8/1000</f>
        <v>2.0131935365137252</v>
      </c>
      <c r="C57" s="12" t="s">
        <v>59</v>
      </c>
      <c r="D57" s="1" t="s">
        <v>159</v>
      </c>
    </row>
    <row r="58" spans="1:5">
      <c r="A58" s="32" t="s">
        <v>61</v>
      </c>
      <c r="B58" s="16">
        <f>B56-B57</f>
        <v>190.51647109763263</v>
      </c>
      <c r="C58" s="12" t="s">
        <v>59</v>
      </c>
      <c r="D58" s="1" t="s">
        <v>160</v>
      </c>
    </row>
    <row r="59" spans="1:5">
      <c r="A59" s="32"/>
      <c r="B59" s="16">
        <f>B58*B48</f>
        <v>4848.6600748314713</v>
      </c>
      <c r="C59" s="12" t="s">
        <v>14</v>
      </c>
      <c r="D59" s="1" t="s">
        <v>161</v>
      </c>
    </row>
    <row r="60" spans="1:5">
      <c r="A60" s="32" t="s">
        <v>50</v>
      </c>
      <c r="B60" s="16">
        <f>B59/B12</f>
        <v>7696.2858330658273</v>
      </c>
      <c r="C60" s="12" t="s">
        <v>14</v>
      </c>
      <c r="D60" s="1" t="s">
        <v>162</v>
      </c>
    </row>
    <row r="62" spans="1:5">
      <c r="A62" t="s">
        <v>51</v>
      </c>
    </row>
    <row r="63" spans="1:5">
      <c r="A63" s="3" t="s">
        <v>165</v>
      </c>
      <c r="B63">
        <v>4</v>
      </c>
      <c r="C63" t="s">
        <v>166</v>
      </c>
      <c r="D63" s="12"/>
      <c r="E63" s="4"/>
    </row>
    <row r="64" spans="1:5">
      <c r="A64" s="3" t="s">
        <v>64</v>
      </c>
      <c r="B64" s="8">
        <f>B56*B63</f>
        <v>770.11865853658537</v>
      </c>
      <c r="C64" t="s">
        <v>59</v>
      </c>
      <c r="D64" s="12" t="s">
        <v>62</v>
      </c>
    </row>
    <row r="65" spans="1:4">
      <c r="B65" s="8">
        <f>B64/(B17)</f>
        <v>55.008475609756097</v>
      </c>
      <c r="C65" t="s">
        <v>63</v>
      </c>
      <c r="D65" s="33" t="s">
        <v>167</v>
      </c>
    </row>
    <row r="66" spans="1:4">
      <c r="B66" s="17">
        <f>B65/B8*1000</f>
        <v>19.645884146341462</v>
      </c>
      <c r="C66" s="12" t="s">
        <v>65</v>
      </c>
      <c r="D66" s="33" t="s">
        <v>168</v>
      </c>
    </row>
    <row r="68" spans="1:4">
      <c r="A68" t="s">
        <v>66</v>
      </c>
    </row>
    <row r="69" spans="1:4">
      <c r="A69" s="1" t="s">
        <v>67</v>
      </c>
    </row>
    <row r="70" spans="1:4">
      <c r="A70" s="2" t="s">
        <v>169</v>
      </c>
      <c r="B70" t="s">
        <v>171</v>
      </c>
    </row>
    <row r="71" spans="1:4">
      <c r="A71" s="3" t="s">
        <v>88</v>
      </c>
      <c r="B71" t="s">
        <v>170</v>
      </c>
    </row>
    <row r="72" spans="1:4">
      <c r="A72" s="3" t="s">
        <v>68</v>
      </c>
      <c r="B72" s="7">
        <f>B66</f>
        <v>19.645884146341462</v>
      </c>
      <c r="C72" t="s">
        <v>65</v>
      </c>
      <c r="D72" s="1" t="s">
        <v>173</v>
      </c>
    </row>
    <row r="73" spans="1:4">
      <c r="A73" s="3" t="s">
        <v>69</v>
      </c>
      <c r="B73" s="6">
        <f>B72/1.32*1</f>
        <v>14.883245565410197</v>
      </c>
      <c r="C73" t="s">
        <v>65</v>
      </c>
      <c r="D73" s="1" t="s">
        <v>175</v>
      </c>
    </row>
    <row r="74" spans="1:4">
      <c r="A74" s="3" t="s">
        <v>70</v>
      </c>
      <c r="B74" s="6">
        <f>B72/1.32*0.26</f>
        <v>3.8696438470066514</v>
      </c>
      <c r="C74" t="s">
        <v>65</v>
      </c>
      <c r="D74" s="1" t="s">
        <v>176</v>
      </c>
    </row>
    <row r="75" spans="1:4">
      <c r="A75" s="3" t="s">
        <v>71</v>
      </c>
      <c r="B75" s="6">
        <f>B73/1*1.02*2</f>
        <v>30.361820953436805</v>
      </c>
      <c r="C75" t="s">
        <v>65</v>
      </c>
      <c r="D75" s="1" t="s">
        <v>174</v>
      </c>
    </row>
    <row r="76" spans="1:4">
      <c r="A76" s="3" t="s">
        <v>73</v>
      </c>
      <c r="B76" s="6">
        <f>B73*0.066*0.2</f>
        <v>0.19645884146341464</v>
      </c>
      <c r="D76" s="1" t="s">
        <v>177</v>
      </c>
    </row>
    <row r="77" spans="1:4">
      <c r="A77" s="32" t="s">
        <v>72</v>
      </c>
      <c r="B77" s="18">
        <f>B75</f>
        <v>30.361820953436805</v>
      </c>
      <c r="C77" s="12" t="s">
        <v>65</v>
      </c>
      <c r="D77" s="1" t="s">
        <v>178</v>
      </c>
    </row>
    <row r="78" spans="1:4">
      <c r="B78" s="10"/>
    </row>
  </sheetData>
  <mergeCells count="4">
    <mergeCell ref="A6:D6"/>
    <mergeCell ref="A13:D13"/>
    <mergeCell ref="A23:D23"/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E1" sqref="E1"/>
    </sheetView>
  </sheetViews>
  <sheetFormatPr baseColWidth="10" defaultRowHeight="15" x14ac:dyDescent="0"/>
  <cols>
    <col min="1" max="1" width="12.33203125" customWidth="1"/>
    <col min="3" max="3" width="13.1640625" bestFit="1" customWidth="1"/>
    <col min="4" max="4" width="12.83203125" customWidth="1"/>
    <col min="5" max="5" width="11.33203125" customWidth="1"/>
    <col min="6" max="6" width="13.1640625" bestFit="1" customWidth="1"/>
    <col min="7" max="7" width="11.6640625" customWidth="1"/>
    <col min="8" max="8" width="13.5" customWidth="1"/>
    <col min="9" max="9" width="14.33203125" customWidth="1"/>
  </cols>
  <sheetData>
    <row r="1" spans="1:9">
      <c r="A1" s="4" t="s">
        <v>181</v>
      </c>
    </row>
    <row r="2" spans="1:9">
      <c r="B2" t="s">
        <v>82</v>
      </c>
      <c r="C2" t="s">
        <v>94</v>
      </c>
      <c r="D2" t="s">
        <v>84</v>
      </c>
      <c r="E2" t="s">
        <v>85</v>
      </c>
      <c r="F2" t="s">
        <v>115</v>
      </c>
      <c r="G2" t="s">
        <v>88</v>
      </c>
      <c r="H2" t="s">
        <v>183</v>
      </c>
      <c r="I2" t="s">
        <v>184</v>
      </c>
    </row>
    <row r="3" spans="1:9">
      <c r="A3" t="s">
        <v>97</v>
      </c>
      <c r="C3" t="s">
        <v>99</v>
      </c>
      <c r="D3" t="s">
        <v>100</v>
      </c>
      <c r="E3" t="s">
        <v>101</v>
      </c>
      <c r="F3" t="s">
        <v>100</v>
      </c>
      <c r="G3" t="s">
        <v>100</v>
      </c>
      <c r="H3" t="s">
        <v>126</v>
      </c>
      <c r="I3" t="s">
        <v>126</v>
      </c>
    </row>
    <row r="4" spans="1:9">
      <c r="A4" t="s">
        <v>92</v>
      </c>
      <c r="B4" t="s">
        <v>95</v>
      </c>
      <c r="C4">
        <v>6</v>
      </c>
      <c r="D4">
        <v>0.9</v>
      </c>
      <c r="E4">
        <v>1</v>
      </c>
      <c r="F4">
        <v>0.78</v>
      </c>
      <c r="G4">
        <v>7.0000000000000007E-2</v>
      </c>
      <c r="H4">
        <f>0.00151*24</f>
        <v>3.6240000000000001E-2</v>
      </c>
      <c r="I4">
        <f>0.0018*24</f>
        <v>4.3200000000000002E-2</v>
      </c>
    </row>
    <row r="5" spans="1:9">
      <c r="A5" t="s">
        <v>96</v>
      </c>
      <c r="B5" t="s">
        <v>98</v>
      </c>
      <c r="C5" s="6">
        <f>0.45*32*((2*10+(19-3)/2)-3)/2/10/14</f>
        <v>1.2857142857142858</v>
      </c>
      <c r="D5">
        <v>0.15</v>
      </c>
      <c r="E5">
        <v>0.05</v>
      </c>
      <c r="F5">
        <f>D5</f>
        <v>0.15</v>
      </c>
      <c r="G5">
        <v>0.13</v>
      </c>
      <c r="H5">
        <v>7.0999999999999994E-2</v>
      </c>
      <c r="I5">
        <v>5.5E-2</v>
      </c>
    </row>
    <row r="6" spans="1:9">
      <c r="A6" t="s">
        <v>106</v>
      </c>
      <c r="B6" t="s">
        <v>95</v>
      </c>
      <c r="C6">
        <v>0.12</v>
      </c>
      <c r="D6">
        <v>0.17</v>
      </c>
      <c r="E6">
        <v>0.17</v>
      </c>
      <c r="F6">
        <f>D6</f>
        <v>0.17</v>
      </c>
      <c r="G6">
        <v>3.0000000000000001E-3</v>
      </c>
      <c r="H6">
        <f>0.00018*24</f>
        <v>4.3200000000000001E-3</v>
      </c>
      <c r="I6">
        <f>0.00018*24</f>
        <v>4.3200000000000001E-3</v>
      </c>
    </row>
    <row r="7" spans="1:9">
      <c r="A7" t="s">
        <v>93</v>
      </c>
      <c r="B7" t="s">
        <v>11</v>
      </c>
      <c r="C7">
        <v>8</v>
      </c>
      <c r="D7" t="s">
        <v>103</v>
      </c>
      <c r="E7" t="s">
        <v>103</v>
      </c>
      <c r="F7" t="s">
        <v>103</v>
      </c>
      <c r="G7" t="s">
        <v>103</v>
      </c>
      <c r="H7">
        <f>0.0384</f>
        <v>3.8399999999999997E-2</v>
      </c>
      <c r="I7">
        <f>0.0384</f>
        <v>3.8399999999999997E-2</v>
      </c>
    </row>
    <row r="8" spans="1:9">
      <c r="A8" t="s">
        <v>102</v>
      </c>
      <c r="B8" t="s">
        <v>104</v>
      </c>
      <c r="C8" t="s">
        <v>103</v>
      </c>
      <c r="D8">
        <v>0.5</v>
      </c>
      <c r="E8">
        <v>0.9</v>
      </c>
      <c r="F8">
        <v>0.01</v>
      </c>
      <c r="G8" t="s">
        <v>103</v>
      </c>
      <c r="H8" t="s">
        <v>103</v>
      </c>
      <c r="I8" t="s">
        <v>103</v>
      </c>
    </row>
    <row r="9" spans="1:9">
      <c r="A9" t="s">
        <v>118</v>
      </c>
      <c r="B9" t="s">
        <v>104</v>
      </c>
      <c r="C9" t="s">
        <v>103</v>
      </c>
      <c r="D9">
        <v>0.5</v>
      </c>
      <c r="E9" t="s">
        <v>103</v>
      </c>
      <c r="F9">
        <v>2E-3</v>
      </c>
      <c r="G9">
        <v>5.6000000000000001E-2</v>
      </c>
      <c r="H9" t="s">
        <v>103</v>
      </c>
      <c r="I9" t="s">
        <v>103</v>
      </c>
    </row>
    <row r="10" spans="1:9">
      <c r="A10" t="s">
        <v>116</v>
      </c>
      <c r="B10" t="s">
        <v>104</v>
      </c>
      <c r="C10" t="s">
        <v>103</v>
      </c>
      <c r="D10" t="s">
        <v>103</v>
      </c>
      <c r="E10">
        <v>0.2</v>
      </c>
      <c r="F10" t="s">
        <v>103</v>
      </c>
      <c r="G10">
        <v>2.8000000000000001E-2</v>
      </c>
      <c r="H10" t="s">
        <v>103</v>
      </c>
      <c r="I10">
        <v>0.01</v>
      </c>
    </row>
    <row r="11" spans="1:9">
      <c r="A11" t="s">
        <v>117</v>
      </c>
      <c r="B11" t="s">
        <v>104</v>
      </c>
      <c r="C11" t="s">
        <v>103</v>
      </c>
      <c r="D11" t="s">
        <v>103</v>
      </c>
      <c r="E11" t="s">
        <v>103</v>
      </c>
      <c r="F11" t="s">
        <v>103</v>
      </c>
      <c r="G11" t="s">
        <v>103</v>
      </c>
      <c r="H11">
        <v>0.11</v>
      </c>
      <c r="I11" t="s">
        <v>103</v>
      </c>
    </row>
    <row r="15" spans="1:9">
      <c r="A15" s="4" t="s">
        <v>89</v>
      </c>
      <c r="C15" s="4" t="s">
        <v>75</v>
      </c>
      <c r="D15" s="4" t="s">
        <v>76</v>
      </c>
    </row>
    <row r="16" spans="1:9">
      <c r="A16" t="s">
        <v>77</v>
      </c>
      <c r="B16" t="s">
        <v>109</v>
      </c>
      <c r="C16">
        <v>400</v>
      </c>
      <c r="D16">
        <v>20</v>
      </c>
    </row>
    <row r="17" spans="1:12">
      <c r="A17" t="s">
        <v>78</v>
      </c>
      <c r="B17" t="s">
        <v>108</v>
      </c>
      <c r="C17">
        <v>0</v>
      </c>
      <c r="D17">
        <v>200</v>
      </c>
    </row>
    <row r="18" spans="1:12">
      <c r="A18" t="s">
        <v>90</v>
      </c>
      <c r="C18" s="14">
        <v>0.5</v>
      </c>
      <c r="D18" s="14">
        <v>0.98</v>
      </c>
    </row>
    <row r="19" spans="1:12">
      <c r="A19" t="s">
        <v>91</v>
      </c>
      <c r="B19" t="s">
        <v>32</v>
      </c>
      <c r="C19">
        <v>37</v>
      </c>
      <c r="D19">
        <v>20</v>
      </c>
    </row>
    <row r="20" spans="1:12">
      <c r="A20" t="s">
        <v>112</v>
      </c>
      <c r="B20" t="s">
        <v>113</v>
      </c>
      <c r="C20" s="8">
        <f>C16/14*50</f>
        <v>1428.5714285714287</v>
      </c>
      <c r="D20">
        <v>200</v>
      </c>
    </row>
    <row r="21" spans="1:12">
      <c r="A21" t="s">
        <v>189</v>
      </c>
      <c r="C21" s="37">
        <v>1.07</v>
      </c>
      <c r="D21" s="37"/>
    </row>
    <row r="22" spans="1:12">
      <c r="A22" t="s">
        <v>188</v>
      </c>
      <c r="C22" s="37">
        <v>1.03</v>
      </c>
      <c r="D22" s="37"/>
    </row>
    <row r="23" spans="1:12">
      <c r="C23" s="24"/>
    </row>
    <row r="24" spans="1:12">
      <c r="A24" s="35" t="s">
        <v>75</v>
      </c>
      <c r="B24" s="35"/>
      <c r="C24" s="35"/>
      <c r="D24" s="35"/>
      <c r="E24" s="35"/>
      <c r="F24" s="35"/>
      <c r="G24" s="35"/>
      <c r="K24" s="15"/>
      <c r="L24" s="15"/>
    </row>
    <row r="25" spans="1:12">
      <c r="A25" s="19" t="s">
        <v>120</v>
      </c>
      <c r="B25" t="s">
        <v>82</v>
      </c>
      <c r="C25" s="20" t="s">
        <v>121</v>
      </c>
      <c r="D25" s="20" t="s">
        <v>122</v>
      </c>
      <c r="E25" s="20" t="s">
        <v>123</v>
      </c>
      <c r="F25" s="20" t="s">
        <v>124</v>
      </c>
      <c r="G25" s="20" t="s">
        <v>125</v>
      </c>
      <c r="J25" s="19"/>
      <c r="K25" s="19"/>
      <c r="L25" s="19"/>
    </row>
    <row r="26" spans="1:12">
      <c r="A26" t="s">
        <v>110</v>
      </c>
      <c r="B26" t="s">
        <v>87</v>
      </c>
      <c r="C26" s="7">
        <f>(1/14*1/10*((2*10+(19-3)/2)-3)/2*32)</f>
        <v>2.8571428571428572</v>
      </c>
      <c r="D26" s="14">
        <v>0</v>
      </c>
      <c r="E26" s="14">
        <v>0</v>
      </c>
      <c r="F26" s="7">
        <f>1/14/4*16/'Qs 1-3'!B29</f>
        <v>7.1428571428571425E-2</v>
      </c>
      <c r="G26" s="34">
        <f>1/14/4*16/'Qs 1-3'!B29+1/14*3/8*16/'Qs 1-3'!B29</f>
        <v>0.17857142857142855</v>
      </c>
    </row>
    <row r="27" spans="1:12">
      <c r="A27" t="s">
        <v>86</v>
      </c>
      <c r="B27" t="s">
        <v>79</v>
      </c>
      <c r="C27" s="8">
        <f>(D5+E5+C5)*(C16*C18)</f>
        <v>297.14285714285717</v>
      </c>
      <c r="D27" s="7">
        <f>(G5+D5*0.5)*(C16*C18)</f>
        <v>41</v>
      </c>
      <c r="E27" s="7">
        <f>(G5+F5*0.5)*(C16*C18)</f>
        <v>41</v>
      </c>
      <c r="F27" s="7">
        <f>(D5+E5+G5+H5)*(C16*C18)</f>
        <v>80.2</v>
      </c>
      <c r="G27" s="7">
        <f>(D5+E5+I5+H5)*(C16*C18)</f>
        <v>65.2</v>
      </c>
      <c r="H27" s="15"/>
      <c r="I27" s="15"/>
    </row>
    <row r="28" spans="1:12">
      <c r="A28" s="20" t="s">
        <v>105</v>
      </c>
      <c r="B28" s="20" t="s">
        <v>83</v>
      </c>
      <c r="C28" s="16">
        <f>(1.5+0.5)*32/14*(C16*C18)</f>
        <v>914.28571428571422</v>
      </c>
      <c r="D28" s="16">
        <f>(1.5)*32/14*(C16*C18)*0.5</f>
        <v>342.85714285714283</v>
      </c>
      <c r="E28" s="16">
        <f>(1.5)*32/14*(C16*C18)*0.5</f>
        <v>342.85714285714283</v>
      </c>
      <c r="F28" s="8">
        <f>(1.5+0.5)*32/14*(C16*C18)</f>
        <v>914.28571428571422</v>
      </c>
      <c r="G28" s="8">
        <f>(1.5+0.5)*32/14*(C16*C18)</f>
        <v>914.28571428571422</v>
      </c>
      <c r="H28" s="15"/>
      <c r="I28" s="15"/>
    </row>
    <row r="29" spans="1:12">
      <c r="A29" s="20" t="s">
        <v>111</v>
      </c>
      <c r="B29" t="s">
        <v>119</v>
      </c>
      <c r="C29" s="14">
        <f>((2-1)*50/14*(C16*C18))/C20</f>
        <v>0.5</v>
      </c>
      <c r="D29" s="14">
        <f>((2*0.5-(0.13-0.066))*50/14*(C16*C18))/C20</f>
        <v>0.46799999999999997</v>
      </c>
      <c r="E29" s="21">
        <f>((2*0.5-(0.13-0.066))*50/14*(C16*C18))/C20</f>
        <v>0.46799999999999997</v>
      </c>
      <c r="F29" s="21">
        <f>((2-1-(0.13-0.066))*50/14*(C16*C18))/C20</f>
        <v>0.46799999999999997</v>
      </c>
      <c r="G29" s="14">
        <f>((2-1)*50/14*(C16*C18))/C20</f>
        <v>0.5</v>
      </c>
      <c r="K29" s="4"/>
      <c r="L29" s="4"/>
    </row>
    <row r="30" spans="1:12">
      <c r="A30" t="s">
        <v>114</v>
      </c>
      <c r="B30" t="s">
        <v>107</v>
      </c>
      <c r="C30" s="17">
        <f>1/(D4*C21^(C19-20)*(C16-C16*C18)/((C16-C16*C18)+D9)*(2/(2+D8))-D6*C22^(C19-20))</f>
        <v>0.50309626413794784</v>
      </c>
      <c r="D30" s="23">
        <f>1/(G4*C21^(C19-20)*(C16-C16*C18)/((C16-C16*C18)+G9)*((C16-C16*C18)/((C16-C16*C18)+G10))-G6*C22^(C19-20))</f>
        <v>4.6282222422767267</v>
      </c>
      <c r="E30" s="8">
        <f>1/(G4*C21^(C19-20)*(C16-C16*C18)/((C16-C16*C18)+G9)*((C16-C16*C18)/((C16-C16*C18)+G10))-G6*C22^(C19-20))</f>
        <v>4.6282222422767267</v>
      </c>
      <c r="F30" s="8">
        <f>1/(H4*C21^(C19-20)*(C16-C16*C18)/((C16-C16*C18)+H11)*(100/(100+H7))-H6*C22^(C19-20))</f>
        <v>9.3258947608618374</v>
      </c>
      <c r="G30" s="8">
        <f>1/(H4*C21^(C19-20)*(C16-C16*C18)/((C16-C16*C18)+H11)*(100/(100+H7))-H6*C22^(C19-20))</f>
        <v>9.3258947608618374</v>
      </c>
      <c r="H30" s="6"/>
    </row>
    <row r="31" spans="1:12">
      <c r="E31" s="22"/>
      <c r="H31" s="7"/>
    </row>
    <row r="32" spans="1:12">
      <c r="C32" s="4"/>
      <c r="D32" s="7"/>
      <c r="H32" s="11"/>
      <c r="I32" s="4"/>
    </row>
    <row r="33" spans="1:12">
      <c r="A33" s="35" t="s">
        <v>76</v>
      </c>
      <c r="B33" s="35"/>
      <c r="C33" s="35"/>
      <c r="D33" s="35"/>
      <c r="E33" s="35"/>
      <c r="F33" s="35"/>
      <c r="G33" s="35"/>
      <c r="K33" s="15"/>
      <c r="L33" s="15"/>
    </row>
    <row r="34" spans="1:12">
      <c r="A34" s="19" t="s">
        <v>120</v>
      </c>
      <c r="B34" t="s">
        <v>82</v>
      </c>
      <c r="C34" s="20" t="s">
        <v>121</v>
      </c>
      <c r="D34" s="20" t="s">
        <v>122</v>
      </c>
      <c r="E34" s="20" t="s">
        <v>123</v>
      </c>
      <c r="F34" s="20" t="s">
        <v>124</v>
      </c>
      <c r="G34" s="20" t="s">
        <v>125</v>
      </c>
      <c r="J34" s="19"/>
      <c r="K34" s="19"/>
      <c r="L34" s="19"/>
    </row>
    <row r="35" spans="1:12">
      <c r="A35" t="s">
        <v>190</v>
      </c>
      <c r="B35" t="s">
        <v>80</v>
      </c>
      <c r="C35" s="7">
        <f>(1/14*1/10*((2*10+(19-3)/2)-3)/2*32)</f>
        <v>2.8571428571428572</v>
      </c>
      <c r="D35" s="14">
        <v>0</v>
      </c>
      <c r="E35" s="14">
        <v>0</v>
      </c>
      <c r="F35" s="7">
        <f>1/14/4*16/'Qs 1-3'!B29</f>
        <v>7.1428571428571425E-2</v>
      </c>
      <c r="G35" s="34">
        <f>1/14/4*16/'Qs 1-3'!B29+1/14*3/8*16/'Qs 1-3'!B29</f>
        <v>0.17857142857142855</v>
      </c>
    </row>
    <row r="36" spans="1:12">
      <c r="A36" t="s">
        <v>86</v>
      </c>
      <c r="B36" t="s">
        <v>79</v>
      </c>
      <c r="C36" s="8">
        <f>(D5+E5+C5)*(D16*D18)</f>
        <v>29.120000000000005</v>
      </c>
      <c r="D36" s="7">
        <f>(G5+D5*0.5)*(D16*D18)</f>
        <v>4.0180000000000007</v>
      </c>
      <c r="E36" s="7">
        <f>(G5+F5*0.5)*(D16*D18)</f>
        <v>4.0180000000000007</v>
      </c>
      <c r="F36" s="7">
        <f>(D5+E5+G5+H5)*(D16*D18)</f>
        <v>7.8596000000000013</v>
      </c>
      <c r="G36" s="7">
        <f>(D5+E5+I5+H5)*(D16*D18)</f>
        <v>6.3896000000000006</v>
      </c>
      <c r="H36" s="15"/>
      <c r="I36" s="15"/>
    </row>
    <row r="37" spans="1:12">
      <c r="A37" s="20" t="s">
        <v>105</v>
      </c>
      <c r="B37" s="20" t="s">
        <v>83</v>
      </c>
      <c r="C37" s="16">
        <f>(1.5+0.5)*32/14*(D16*D18)</f>
        <v>89.600000000000009</v>
      </c>
      <c r="D37" s="16">
        <f>(1.5)*32/14*(D16*D18)*0.5</f>
        <v>33.6</v>
      </c>
      <c r="E37" s="16">
        <f>(1.5)*32/14*(D16*D18)*0.5</f>
        <v>33.6</v>
      </c>
      <c r="F37" s="8">
        <f>(1.5+0.5)*32/14*(D16*D18)</f>
        <v>89.600000000000009</v>
      </c>
      <c r="G37" s="8">
        <f>(1.5+0.5)*32/14*(D16*D18)</f>
        <v>89.600000000000009</v>
      </c>
      <c r="H37" s="15"/>
      <c r="I37" s="15"/>
    </row>
    <row r="38" spans="1:12">
      <c r="A38" s="20" t="s">
        <v>111</v>
      </c>
      <c r="B38" t="s">
        <v>119</v>
      </c>
      <c r="C38" s="14">
        <f>((2-1)*50/14*(D16*D18))/D20</f>
        <v>0.35000000000000009</v>
      </c>
      <c r="D38" s="14">
        <f>((2*0.5-(0.13-0.066))*50/14*(D16*D18))/D20</f>
        <v>0.3276</v>
      </c>
      <c r="E38" s="21">
        <f>((2*0.5-(0.13-0.066))*50/14*(D16*D18))/D20</f>
        <v>0.3276</v>
      </c>
      <c r="F38" s="21">
        <f>((2-1-(0.13-0.066))*50/14*(D16*D18))/D20</f>
        <v>0.3276</v>
      </c>
      <c r="G38" s="14">
        <f>((2-1)*50/14*(D16*D18))/D20</f>
        <v>0.35000000000000009</v>
      </c>
      <c r="K38" s="4"/>
      <c r="L38" s="4"/>
    </row>
    <row r="39" spans="1:12">
      <c r="A39" t="s">
        <v>114</v>
      </c>
      <c r="B39" t="s">
        <v>107</v>
      </c>
      <c r="C39" s="17">
        <f>1/(D4*(D16-D16*D18)/((D16-D16*D18)+D9)*(2/(2+D8))-D6)</f>
        <v>6.6666666666666945</v>
      </c>
      <c r="D39" s="23">
        <f>1/(D4*(D16-D16*D18)/((D16-D16*D18)+D9)*(0.5/(0.5+D8))-D6)</f>
        <v>33.333333333333798</v>
      </c>
      <c r="E39" s="8">
        <f>1/(G4*(D16-D16*D18)/((D16-D16*D18)+G9)*((D16-D16*D18)/((D16-D16*D18)+G10))-G6)</f>
        <v>18.386930476962835</v>
      </c>
      <c r="F39" s="8">
        <f>1/(H4*(D16-D16*D18)/((D16-D16*D18)+H11)*(100/(100+H7))-H6)</f>
        <v>41.506487999823889</v>
      </c>
      <c r="G39" s="8">
        <f>1/(H4*(D16-D16*D18)/((D16-D16*D18)+H11)*(100/(100+H7))-H6)</f>
        <v>41.506487999823889</v>
      </c>
      <c r="H39" s="6"/>
    </row>
    <row r="40" spans="1:12">
      <c r="E40" s="22"/>
      <c r="H40" s="7"/>
    </row>
    <row r="41" spans="1:12">
      <c r="C41" s="4"/>
      <c r="H41" s="11"/>
      <c r="I41" s="4"/>
    </row>
    <row r="42" spans="1:12">
      <c r="D42" s="6"/>
    </row>
  </sheetData>
  <mergeCells count="4">
    <mergeCell ref="A33:G33"/>
    <mergeCell ref="A24:G24"/>
    <mergeCell ref="C21:D21"/>
    <mergeCell ref="C22:D22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baseColWidth="10" defaultRowHeight="15" x14ac:dyDescent="0"/>
  <sheetData>
    <row r="1" spans="1:1">
      <c r="A1" t="s">
        <v>163</v>
      </c>
    </row>
    <row r="2" spans="1:1">
      <c r="A2" t="s">
        <v>164</v>
      </c>
    </row>
    <row r="3" spans="1:1">
      <c r="A3" t="s">
        <v>172</v>
      </c>
    </row>
    <row r="4" spans="1:1">
      <c r="A4" t="s">
        <v>180</v>
      </c>
    </row>
    <row r="5" spans="1:1">
      <c r="A5" t="s">
        <v>179</v>
      </c>
    </row>
    <row r="6" spans="1:1">
      <c r="A6" t="s">
        <v>182</v>
      </c>
    </row>
    <row r="7" spans="1:1">
      <c r="A7" t="s">
        <v>185</v>
      </c>
    </row>
    <row r="8" spans="1:1">
      <c r="A8" t="s">
        <v>186</v>
      </c>
    </row>
    <row r="9" spans="1:1">
      <c r="A9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 1-3</vt:lpstr>
      <vt:lpstr>Q4</vt:lpstr>
      <vt:lpstr>References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Cogert</dc:creator>
  <cp:lastModifiedBy>Kathryn Cogert</cp:lastModifiedBy>
  <dcterms:created xsi:type="dcterms:W3CDTF">2016-06-27T19:04:54Z</dcterms:created>
  <dcterms:modified xsi:type="dcterms:W3CDTF">2016-06-29T14:41:40Z</dcterms:modified>
</cp:coreProperties>
</file>