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123" documentId="13_ncr:1_{66F619E4-4CAE-49D4-8CE6-0D531B37FE7E}" xr6:coauthVersionLast="47" xr6:coauthVersionMax="47" xr10:uidLastSave="{C0C8C571-374F-4E52-812E-0A144D84FA54}"/>
  <bookViews>
    <workbookView xWindow="-165" yWindow="-165" windowWidth="29130" windowHeight="15930" activeTab="3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3" l="1"/>
  <c r="S12" i="3"/>
  <c r="S11" i="3"/>
  <c r="M12" i="3"/>
  <c r="N12" i="3" s="1"/>
  <c r="L10" i="1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8" i="3" l="1"/>
  <c r="U8" i="3" s="1"/>
  <c r="V10" i="1"/>
  <c r="Q11" i="3"/>
  <c r="U11" i="3" s="1"/>
  <c r="X15" i="3" a="1"/>
  <c r="X15" i="3" s="1"/>
  <c r="Z15" i="3" a="1"/>
  <c r="Z15" i="3" s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<sst xmlns="http://schemas.openxmlformats.org/spreadsheetml/2006/main" count="557" uniqueCount="311">
  <si>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</si>
  <si>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</si>
  <si>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</si>
  <si>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</si>
  <si>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</si>
  <si>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</si>
  <si>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</si>
  <si>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</si>
  <si>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</si>
  <si>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</si>
  <si>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</si>
  <si>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</si>
  <si>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</si>
  <si>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</si>
  <si>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</si>
  <si>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</si>
  <si>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</si>
  <si>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</si>
  <si>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</si>
  <si>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</si>
  <si>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</si>
  <si>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</si>
  <si>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</si>
  <si>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</si>
  <si>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</si>
  <si>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</si>
  <si>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</si>
  <si>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</si>
  <si>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</si>
  <si>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</si>
  <si>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</si>
  <si>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</si>
  <si>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</si>
  <si>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</si>
  <si>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</si>
  <si>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</si>
  <si>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</si>
  <si>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</si>
  <si>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</si>
  <si>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</si>
  <si>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</si>
  <si>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</si>
  <si>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</si>
  <si>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</si>
  <si>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</si>
  <si>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</si>
  <si>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</si>
  <si>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</si>
  <si>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</si>
  <si>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</si>
  <si>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</si>
  <si>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</si>
  <si>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</si>
  <si>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</si>
  <si>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</si>
  <si>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</si>
  <si>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</si>
  <si>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</si>
  <si>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</si>
  <si>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</si>
  <si>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</si>
  <si>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</si>
  <si>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</si>
  <si>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</si>
  <si>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</si>
  <si>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</si>
  <si>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</si>
  <si>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</si>
  <si>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</si>
  <si>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</si>
  <si>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</si>
  <si>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</si>
  <si>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</si>
  <si>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</si>
  <si>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</si>
  <si>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</si>
  <si>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</si>
  <si>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</si>
  <si>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</si>
  <si>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</si>
  <si>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</si>
  <si>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</si>
  <si>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</si>
  <si>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</si>
  <si>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</si>
  <si>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</si>
  <si>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</si>
  <si>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</si>
  <si>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</si>
  <si>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</si>
  <si>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</si>
  <si>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</si>
  <si>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</si>
  <si>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</si>
  <si>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</si>
  <si>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</si>
  <si>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</si>
  <si>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</si>
  <si>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</si>
  <si>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</si>
  <si>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</si>
  <si>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</si>
  <si>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</si>
  <si>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</si>
  <si>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</si>
  <si>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</si>
  <si>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</si>
  <si>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</si>
  <si>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</si>
  <si>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</si>
  <si>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</si>
  <si>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</si>
  <si>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</si>
  <si>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</si>
  <si>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</si>
  <si>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</si>
  <si>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</si>
  <si>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</si>
  <si>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</si>
  <si>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</si>
  <si>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</si>
  <si>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</si>
  <si>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</si>
  <si>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</si>
  <si>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</si>
  <si>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</si>
  <si>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</si>
  <si>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</si>
  <si>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</si>
  <si>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</si>
  <si>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</si>
  <si>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</si>
  <si>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</si>
  <si>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</si>
  <si>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</si>
  <si>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</si>
  <si>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</si>
  <si>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</si>
  <si>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</si>
  <si>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</si>
  <si>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</si>
  <si>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</si>
  <si>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</si>
  <si>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</si>
  <si>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</si>
  <si>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</si>
  <si>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</si>
  <si>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</si>
  <si>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</si>
  <si>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</si>
  <si>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</si>
  <si>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</si>
  <si>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</si>
  <si>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</si>
  <si>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</si>
  <si>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</si>
  <si>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</si>
  <si>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</si>
  <si>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</si>
  <si>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</si>
  <si>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</si>
  <si>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</si>
  <si>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</si>
  <si>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</si>
  <si>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</si>
  <si>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</si>
  <si>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</si>
  <si>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</si>
  <si>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</si>
  <si>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</si>
  <si>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</si>
  <si>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</si>
  <si>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</si>
  <si>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</si>
  <si>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</si>
  <si>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</si>
  <si>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</si>
  <si>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</si>
  <si>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</si>
  <si>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</si>
  <si>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</si>
  <si>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</si>
  <si>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</si>
  <si>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</si>
  <si>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</si>
  <si>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</si>
  <si>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</si>
  <si>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</si>
  <si>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</si>
  <si>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</si>
  <si>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</si>
  <si>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</si>
  <si>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</si>
  <si>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</si>
  <si>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</si>
  <si>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</si>
  <si>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</si>
  <si>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</si>
  <si>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</si>
  <si>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</si>
  <si>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</si>
  <si>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</si>
  <si>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</si>
  <si>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</si>
  <si>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</si>
  <si>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</si>
  <si>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</si>
  <si>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</si>
  <si>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</si>
  <si>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</si>
  <si>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</si>
  <si>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</si>
  <si>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</si>
  <si>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</si>
  <si>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</si>
  <si>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</si>
  <si>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</si>
  <si>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</si>
  <si>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</si>
  <si>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</si>
  <si>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</si>
  <si>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</si>
  <si>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</si>
  <si>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</si>
  <si>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</si>
  <si>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</si>
  <si>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</si>
  <si>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</si>
  <si>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</si>
  <si>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</si>
  <si>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</si>
  <si>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</si>
  <si>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</si>
  <si>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</si>
  <si>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</si>
  <si>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</si>
  <si>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</si>
  <si>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</si>
  <si>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</si>
  <si>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</si>
  <si>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</si>
  <si>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</si>
  <si>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</si>
  <si>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</si>
  <si>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</si>
  <si>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</si>
  <si>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</si>
  <si>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</si>
  <si>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</si>
  <si>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</si>
  <si>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</si>
  <si>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</si>
  <si>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</si>
  <si>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</si>
  <si>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</si>
  <si>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</si>
  <si>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</si>
  <si>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</si>
  <si>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</si>
  <si>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</si>
  <si>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</si>
  <si>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</si>
  <si>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</si>
  <si>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</si>
  <si>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</si>
  <si>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</si>
  <si>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</si>
  <si>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</si>
  <si>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</si>
  <si>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</si>
  <si>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</si>
  <si>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</si>
  <si>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</si>
  <si>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</si>
  <si>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</si>
  <si>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</si>
  <si>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</si>
  <si>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</si>
  <si>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</si>
  <si>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</si>
  <si>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</si>
  <si>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</si>
  <si>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</si>
  <si>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</si>
  <si>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</si>
  <si>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</si>
  <si>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</si>
  <si>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</si>
  <si>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Forskjell</t>
  </si>
  <si>
    <t>DP_NS - DP_P</t>
  </si>
  <si>
    <t>NS - DP_P</t>
  </si>
  <si>
    <t>Bør være 3, i alle fall over 2 (rundt 1 er questionable)</t>
  </si>
  <si>
    <t>After 20 min lots of noice, bad ref or ground - tried to fix within probes - no change.</t>
  </si>
  <si>
    <t>TP10 noicy ~ 20 min</t>
  </si>
  <si>
    <t xml:space="preserve">missing some Q6 times </t>
  </si>
  <si>
    <t>Nei</t>
  </si>
  <si>
    <t>vet ikke hvor lang den er</t>
  </si>
  <si>
    <t xml:space="preserve">hva jeg skal etterpå: - eksamen, husker ikke </t>
  </si>
  <si>
    <t>stirre på krysset ble slitsomt etter hvert</t>
  </si>
  <si>
    <t>Nei, ikke tenkte for mye</t>
  </si>
  <si>
    <t>Nei, vanskelig å holde øynene åpne.</t>
  </si>
  <si>
    <t>ingenting, sommerferien - bading, hva "jeg" skal etterpå, søvn</t>
  </si>
  <si>
    <t>nei</t>
  </si>
  <si>
    <t>q1</t>
  </si>
  <si>
    <t>q2</t>
  </si>
  <si>
    <t>q3</t>
  </si>
  <si>
    <t>q4</t>
  </si>
  <si>
    <t>q5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</si>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</sst>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0" fontId="0" fillId="12" borderId="5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12" xfId="0" applyFill="1" applyBorder="1"/>
    <xf numFmtId="14" fontId="0" fillId="4" borderId="3" xfId="0" applyNumberFormat="1" applyFill="1" applyBorder="1"/>
    <xf numFmtId="20" fontId="0" fillId="0" borderId="0" xfId="0" applyNumberFormat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E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topLeftCell="A12" zoomScale="98" zoomScaleNormal="130" workbookViewId="0">
      <selection activeCell="D36" sqref="D36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23</v>
      </c>
      <c r="F2" t="s">
        <v>252</v>
      </c>
    </row>
    <row r="3" spans="1:8" x14ac:dyDescent="0.25">
      <c r="B3" s="43" t="s">
        <v>106</v>
      </c>
      <c r="C3" s="45"/>
      <c r="D3" s="37">
        <v>24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1</v>
      </c>
      <c r="F6" t="s">
        <v>253</v>
      </c>
    </row>
    <row r="7" spans="1:8" x14ac:dyDescent="0.25">
      <c r="B7" s="43" t="s">
        <v>109</v>
      </c>
      <c r="C7" s="45"/>
      <c r="D7" s="86">
        <v>44338</v>
      </c>
      <c r="F7" s="57" t="s">
        <v>135</v>
      </c>
    </row>
    <row r="8" spans="1:8" x14ac:dyDescent="0.25">
      <c r="B8" s="43" t="s">
        <v>111</v>
      </c>
      <c r="C8" s="45"/>
      <c r="D8" s="37">
        <v>24</v>
      </c>
      <c r="E8" s="15"/>
      <c r="F8" s="57" t="s">
        <v>270</v>
      </c>
      <c r="H8" s="74">
        <f>((E8/0.6)/100)+D8</f>
        <v>24</v>
      </c>
    </row>
    <row r="9" spans="1:8" x14ac:dyDescent="0.25">
      <c r="B9" s="43" t="s">
        <v>110</v>
      </c>
      <c r="C9" s="45"/>
      <c r="D9" s="86">
        <v>44345</v>
      </c>
      <c r="F9" s="57" t="s">
        <v>135</v>
      </c>
    </row>
    <row r="10" spans="1:8" x14ac:dyDescent="0.25">
      <c r="B10" s="43" t="s">
        <v>112</v>
      </c>
      <c r="C10" s="45"/>
      <c r="D10" s="37">
        <v>24</v>
      </c>
      <c r="E10" s="15"/>
      <c r="F10" s="57" t="s">
        <v>270</v>
      </c>
      <c r="H10" s="74">
        <f>((E10/0.6)/100)+D10</f>
        <v>24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>
        <v>0</v>
      </c>
      <c r="F13" s="57" t="s">
        <v>271</v>
      </c>
      <c r="H13" s="74">
        <f>IF(ISTEXT(D13)=TRUE,1,0)</f>
        <v>0</v>
      </c>
    </row>
    <row r="14" spans="1:8" x14ac:dyDescent="0.25">
      <c r="B14" s="43" t="s">
        <v>114</v>
      </c>
      <c r="C14" s="45"/>
      <c r="D14" s="37">
        <v>0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/>
      <c r="F18" t="s">
        <v>258</v>
      </c>
    </row>
    <row r="19" spans="1:13" x14ac:dyDescent="0.25">
      <c r="B19" s="43" t="s">
        <v>122</v>
      </c>
      <c r="C19" s="45"/>
      <c r="D19" s="15"/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/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/>
      <c r="F25" t="s">
        <v>259</v>
      </c>
    </row>
    <row r="26" spans="1:13" x14ac:dyDescent="0.25">
      <c r="B26" s="43" t="s">
        <v>129</v>
      </c>
      <c r="C26" s="45"/>
      <c r="D26" s="37"/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 t="s">
        <v>292</v>
      </c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 t="s">
        <v>293</v>
      </c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opLeftCell="K1" zoomScaleNormal="100" workbookViewId="0">
      <selection activeCell="O25" sqref="O25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5</v>
      </c>
      <c r="H3" s="8" t="s">
        <v>20</v>
      </c>
      <c r="I3" s="9">
        <v>1</v>
      </c>
      <c r="K3" s="8" t="s">
        <v>21</v>
      </c>
      <c r="L3" s="9">
        <v>1</v>
      </c>
      <c r="N3" s="10" t="s">
        <v>22</v>
      </c>
      <c r="O3" s="11">
        <v>22</v>
      </c>
      <c r="P3" s="11">
        <v>30</v>
      </c>
      <c r="Q3" s="12">
        <f>24-(((P3/0.6)/100)+O3)</f>
        <v>1.5</v>
      </c>
      <c r="T3" s="10" t="s">
        <v>20</v>
      </c>
      <c r="U3" s="11">
        <v>1</v>
      </c>
      <c r="V3" s="13" cm="1">
        <f t="array" ref="V3">_xlfn.IFS(U3=1,4,U3=2,3,U3=3,2,U3=4,1)</f>
        <v>4</v>
      </c>
      <c r="X3" s="14" t="s">
        <v>20</v>
      </c>
      <c r="Y3" s="15">
        <v>4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4</v>
      </c>
      <c r="H4" s="8" t="s">
        <v>24</v>
      </c>
      <c r="I4" s="9">
        <v>1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31</v>
      </c>
      <c r="AA4"/>
      <c r="AB4" s="10" t="s">
        <v>24</v>
      </c>
      <c r="AC4" s="11">
        <v>1</v>
      </c>
    </row>
    <row r="5" spans="1:29" ht="15" x14ac:dyDescent="0.25">
      <c r="A5" s="10" t="s">
        <v>24</v>
      </c>
      <c r="B5" s="11">
        <v>22</v>
      </c>
      <c r="C5" s="11">
        <v>0</v>
      </c>
      <c r="E5" s="8" t="s">
        <v>28</v>
      </c>
      <c r="F5" s="9">
        <v>2</v>
      </c>
      <c r="H5" s="8" t="s">
        <v>28</v>
      </c>
      <c r="I5" s="9">
        <v>0</v>
      </c>
      <c r="K5" s="8" t="s">
        <v>29</v>
      </c>
      <c r="L5" s="9">
        <v>2</v>
      </c>
      <c r="N5" s="19" t="s">
        <v>30</v>
      </c>
      <c r="O5" s="11">
        <v>20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1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3</v>
      </c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6</v>
      </c>
      <c r="C6" s="11">
        <v>40</v>
      </c>
      <c r="E6" s="8" t="s">
        <v>31</v>
      </c>
      <c r="F6" s="9">
        <v>5</v>
      </c>
      <c r="H6" s="8" t="s">
        <v>31</v>
      </c>
      <c r="I6" s="9">
        <v>2</v>
      </c>
      <c r="K6" s="8" t="s">
        <v>24</v>
      </c>
      <c r="L6" s="9">
        <v>1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3</v>
      </c>
      <c r="V6" s="13">
        <f>U6</f>
        <v>3</v>
      </c>
      <c r="X6" s="17" t="s">
        <v>31</v>
      </c>
      <c r="Y6" s="15">
        <v>3</v>
      </c>
      <c r="Z6" s="7" t="s">
        <v>33</v>
      </c>
      <c r="AA6"/>
      <c r="AB6" s="2" t="s">
        <v>34</v>
      </c>
      <c r="AC6" s="20">
        <f>SUM(AC3:AC5)</f>
        <v>4</v>
      </c>
    </row>
    <row r="7" spans="1:29" ht="15" x14ac:dyDescent="0.25">
      <c r="A7" s="10" t="s">
        <v>31</v>
      </c>
      <c r="B7" s="11">
        <v>7</v>
      </c>
      <c r="C7" s="11">
        <v>30</v>
      </c>
      <c r="E7" s="8" t="s">
        <v>35</v>
      </c>
      <c r="F7" s="9">
        <v>4</v>
      </c>
      <c r="H7" s="8" t="s">
        <v>35</v>
      </c>
      <c r="I7" s="9">
        <v>2</v>
      </c>
      <c r="K7" s="8" t="s">
        <v>28</v>
      </c>
      <c r="L7" s="9">
        <v>2</v>
      </c>
      <c r="N7" s="10" t="s">
        <v>36</v>
      </c>
      <c r="O7" s="11">
        <v>6</v>
      </c>
      <c r="P7" s="11">
        <v>40</v>
      </c>
      <c r="Q7" s="13">
        <f>((P7/0.6)/100)+O7</f>
        <v>6.666666666666667</v>
      </c>
      <c r="R7" s="13">
        <f>(Q8/(Q3+Q7))*100</f>
        <v>82.040816326530603</v>
      </c>
      <c r="T7" s="10" t="s">
        <v>35</v>
      </c>
      <c r="U7" s="11">
        <v>3</v>
      </c>
      <c r="V7" s="13">
        <f>U7</f>
        <v>3</v>
      </c>
      <c r="X7" s="14" t="s">
        <v>35</v>
      </c>
      <c r="Y7" s="15">
        <v>2</v>
      </c>
      <c r="Z7" s="18">
        <f>Y4+Y6+Y8+Y9+Y10+Y13+Y15+Y17+Y20+Y22</f>
        <v>20</v>
      </c>
      <c r="AA7"/>
    </row>
    <row r="8" spans="1:29" ht="15" x14ac:dyDescent="0.25">
      <c r="A8" s="10" t="s">
        <v>35</v>
      </c>
      <c r="B8" s="11">
        <v>7</v>
      </c>
      <c r="C8" s="11">
        <v>6</v>
      </c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1</v>
      </c>
      <c r="N8" s="10" t="s">
        <v>38</v>
      </c>
      <c r="O8" s="11">
        <v>6</v>
      </c>
      <c r="P8" s="11">
        <v>42</v>
      </c>
      <c r="Q8" s="13">
        <f>((P8/0.6)/100)+O8</f>
        <v>6.7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8</v>
      </c>
      <c r="C9" s="67">
        <v>0</v>
      </c>
      <c r="E9" s="8" t="s">
        <v>39</v>
      </c>
      <c r="F9" s="9">
        <v>6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2</v>
      </c>
      <c r="Z9"/>
      <c r="AA9"/>
    </row>
    <row r="10" spans="1:29" ht="15" x14ac:dyDescent="0.25">
      <c r="B10" s="2" t="s">
        <v>7</v>
      </c>
      <c r="E10" s="8" t="s">
        <v>40</v>
      </c>
      <c r="F10" s="9">
        <v>4</v>
      </c>
      <c r="H10" s="8" t="s">
        <v>40</v>
      </c>
      <c r="I10" s="9">
        <v>2</v>
      </c>
      <c r="K10" s="8" t="s">
        <v>41</v>
      </c>
      <c r="L10" s="22">
        <f>SUM(L3:L9)</f>
        <v>8</v>
      </c>
      <c r="N10" s="10" t="s">
        <v>42</v>
      </c>
      <c r="O10" s="11">
        <v>2</v>
      </c>
      <c r="P10" s="13">
        <f>O10-1</f>
        <v>1</v>
      </c>
      <c r="Q10" s="12">
        <f>P5+P10</f>
        <v>2</v>
      </c>
      <c r="U10" s="4" t="s">
        <v>41</v>
      </c>
      <c r="V10" s="20">
        <f>SUM(V3:V9)/7</f>
        <v>3.1428571428571428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0</v>
      </c>
      <c r="E11" s="8" t="s">
        <v>43</v>
      </c>
      <c r="F11" s="9">
        <v>5</v>
      </c>
      <c r="H11" s="8" t="s">
        <v>41</v>
      </c>
      <c r="I11" s="23">
        <f>SUM(I3:I10)</f>
        <v>9</v>
      </c>
      <c r="K11" s="8" t="s">
        <v>27</v>
      </c>
      <c r="L11" s="22">
        <f>SUM(GESTEP(L10,0),GESTEP(L10,8),GESTEP(L10,15),GESTEP(L10,22))</f>
        <v>2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4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4.4444444444444446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2</v>
      </c>
      <c r="P12" s="13">
        <f t="shared" si="0"/>
        <v>1</v>
      </c>
      <c r="Q12" s="38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3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1</v>
      </c>
      <c r="X14" s="14" t="s">
        <v>53</v>
      </c>
      <c r="Y14" s="15">
        <v>3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1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4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2</v>
      </c>
      <c r="P17" s="13">
        <f t="shared" si="0"/>
        <v>1</v>
      </c>
      <c r="Q17" s="38" t="s">
        <v>61</v>
      </c>
      <c r="R17" s="24">
        <f>P21</f>
        <v>0</v>
      </c>
      <c r="X17" s="17" t="s">
        <v>62</v>
      </c>
      <c r="Y17" s="15">
        <v>3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3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5</v>
      </c>
      <c r="X19" s="14" t="s">
        <v>68</v>
      </c>
      <c r="Y19" s="15">
        <v>3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3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3</v>
      </c>
      <c r="X21" s="14" t="s">
        <v>73</v>
      </c>
      <c r="Y21" s="15">
        <v>2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2</v>
      </c>
    </row>
    <row r="23" spans="1:27" x14ac:dyDescent="0.2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3" sqref="A3:A17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44332</v>
      </c>
      <c r="B4" s="32">
        <v>1</v>
      </c>
      <c r="C4" s="33">
        <v>24</v>
      </c>
      <c r="D4" s="15">
        <v>24</v>
      </c>
      <c r="E4" s="15">
        <v>20</v>
      </c>
      <c r="F4" s="15">
        <v>10</v>
      </c>
      <c r="G4" s="34">
        <f>(E4/0.6)/100</f>
        <v>0.33333333333333337</v>
      </c>
      <c r="H4" s="34">
        <f>(F4/0.6)/100</f>
        <v>0.16666666666666669</v>
      </c>
      <c r="I4" s="34">
        <f>D4+G4+H4</f>
        <v>24.5</v>
      </c>
      <c r="J4" s="34">
        <f>C4-I4</f>
        <v>-0.5</v>
      </c>
      <c r="K4" s="15">
        <v>8</v>
      </c>
      <c r="L4" s="15">
        <v>0</v>
      </c>
      <c r="M4" s="34">
        <f>(L4/0.6)/100</f>
        <v>0</v>
      </c>
      <c r="N4" s="34">
        <f>K4+M4</f>
        <v>8</v>
      </c>
      <c r="O4" s="34">
        <f t="shared" ref="O4:O20" si="0">N4+J4</f>
        <v>7.5</v>
      </c>
      <c r="P4" s="34">
        <f>ROUNDDOWN(O4,0)</f>
        <v>7</v>
      </c>
      <c r="Q4" s="34">
        <f>(O4-P4)*0.6</f>
        <v>0.3</v>
      </c>
      <c r="R4" s="15">
        <v>4</v>
      </c>
      <c r="S4" s="34">
        <f>IF(R4&gt;0,R4-1,"")</f>
        <v>3</v>
      </c>
      <c r="T4" s="35">
        <f t="shared" ref="T4:T20" si="1">P4</f>
        <v>7</v>
      </c>
      <c r="U4" s="35">
        <f>Q4*100</f>
        <v>30</v>
      </c>
    </row>
    <row r="5" spans="1:30" x14ac:dyDescent="0.25">
      <c r="A5" s="75">
        <v>44333</v>
      </c>
      <c r="B5" s="32">
        <v>2</v>
      </c>
      <c r="C5" s="33">
        <v>24</v>
      </c>
      <c r="D5" s="15">
        <v>23</v>
      </c>
      <c r="E5" s="15">
        <v>40</v>
      </c>
      <c r="F5" s="15">
        <v>10</v>
      </c>
      <c r="G5" s="34">
        <f t="shared" ref="G5:H20" si="2">(E5/0.6)/100</f>
        <v>0.66666666666666674</v>
      </c>
      <c r="H5" s="34">
        <f t="shared" si="2"/>
        <v>0.16666666666666669</v>
      </c>
      <c r="I5" s="34">
        <f t="shared" ref="I5:I20" si="3">D5+G5+H5</f>
        <v>23.833333333333336</v>
      </c>
      <c r="J5" s="34">
        <f t="shared" ref="J5:J20" si="4">C5-I5</f>
        <v>0.1666666666666643</v>
      </c>
      <c r="K5" s="15">
        <v>5</v>
      </c>
      <c r="L5" s="15">
        <v>40</v>
      </c>
      <c r="M5" s="34">
        <f t="shared" ref="M5:M20" si="5">(L5/0.6)/100</f>
        <v>0.66666666666666674</v>
      </c>
      <c r="N5" s="34">
        <f t="shared" ref="N5:N20" si="6">K5+M5</f>
        <v>5.666666666666667</v>
      </c>
      <c r="O5" s="34">
        <f t="shared" si="0"/>
        <v>5.8333333333333313</v>
      </c>
      <c r="P5" s="34">
        <f t="shared" ref="P5:P20" si="7">ROUNDDOWN(O5,0)</f>
        <v>5</v>
      </c>
      <c r="Q5" s="34">
        <f t="shared" ref="Q5:Q20" si="8">(O5-P5)*0.6</f>
        <v>0.49999999999999872</v>
      </c>
      <c r="R5" s="15">
        <v>4</v>
      </c>
      <c r="S5" s="34">
        <f t="shared" ref="S5:S20" si="9">IF(R5&gt;0,R5-1,"")</f>
        <v>3</v>
      </c>
      <c r="T5" s="35">
        <f t="shared" si="1"/>
        <v>5</v>
      </c>
      <c r="U5" s="35">
        <f t="shared" ref="U5:U20" si="10">Q5*100</f>
        <v>49.999999999999872</v>
      </c>
      <c r="AD5" s="36"/>
    </row>
    <row r="6" spans="1:30" x14ac:dyDescent="0.25">
      <c r="A6" s="75">
        <v>44334</v>
      </c>
      <c r="B6" s="32">
        <v>3</v>
      </c>
      <c r="C6" s="33">
        <v>24</v>
      </c>
      <c r="D6" s="15">
        <v>22</v>
      </c>
      <c r="E6" s="15">
        <v>50</v>
      </c>
      <c r="F6" s="15">
        <v>5</v>
      </c>
      <c r="G6" s="34">
        <f t="shared" si="2"/>
        <v>0.83333333333333348</v>
      </c>
      <c r="H6" s="34">
        <f t="shared" si="2"/>
        <v>8.3333333333333343E-2</v>
      </c>
      <c r="I6" s="34">
        <f t="shared" si="3"/>
        <v>22.916666666666664</v>
      </c>
      <c r="J6" s="34">
        <f t="shared" si="4"/>
        <v>1.0833333333333357</v>
      </c>
      <c r="K6" s="15">
        <v>7</v>
      </c>
      <c r="L6" s="15">
        <v>40</v>
      </c>
      <c r="M6" s="34">
        <f t="shared" si="5"/>
        <v>0.66666666666666674</v>
      </c>
      <c r="N6" s="34">
        <f t="shared" si="6"/>
        <v>7.666666666666667</v>
      </c>
      <c r="O6" s="34">
        <f t="shared" si="0"/>
        <v>8.7500000000000036</v>
      </c>
      <c r="P6" s="34">
        <f t="shared" si="7"/>
        <v>8</v>
      </c>
      <c r="Q6" s="34">
        <f t="shared" si="8"/>
        <v>0.45000000000000212</v>
      </c>
      <c r="R6" s="15">
        <v>3</v>
      </c>
      <c r="S6" s="34">
        <f t="shared" si="9"/>
        <v>2</v>
      </c>
      <c r="T6" s="35">
        <f t="shared" si="1"/>
        <v>8</v>
      </c>
      <c r="U6" s="35">
        <f t="shared" si="10"/>
        <v>45.000000000000213</v>
      </c>
      <c r="AD6" s="36"/>
    </row>
    <row r="7" spans="1:30" x14ac:dyDescent="0.25">
      <c r="A7" s="75">
        <v>44335</v>
      </c>
      <c r="B7" s="32">
        <v>4</v>
      </c>
      <c r="C7" s="33">
        <v>24</v>
      </c>
      <c r="D7" s="15">
        <v>22</v>
      </c>
      <c r="E7" s="15">
        <v>55</v>
      </c>
      <c r="F7" s="15">
        <v>10</v>
      </c>
      <c r="G7" s="34">
        <f t="shared" si="2"/>
        <v>0.91666666666666674</v>
      </c>
      <c r="H7" s="34">
        <f t="shared" si="2"/>
        <v>0.16666666666666669</v>
      </c>
      <c r="I7" s="34">
        <f t="shared" si="3"/>
        <v>23.083333333333336</v>
      </c>
      <c r="J7" s="34">
        <f t="shared" si="4"/>
        <v>0.9166666666666643</v>
      </c>
      <c r="K7" s="15">
        <v>6</v>
      </c>
      <c r="L7" s="15">
        <v>30</v>
      </c>
      <c r="M7" s="34">
        <f t="shared" si="5"/>
        <v>0.5</v>
      </c>
      <c r="N7" s="34">
        <f t="shared" si="6"/>
        <v>6.5</v>
      </c>
      <c r="O7" s="34">
        <f t="shared" si="0"/>
        <v>7.4166666666666643</v>
      </c>
      <c r="P7" s="34">
        <f t="shared" si="7"/>
        <v>7</v>
      </c>
      <c r="Q7" s="34">
        <f t="shared" si="8"/>
        <v>0.24999999999999856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24.999999999999854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3" t="str">
        <f>IF(B1=1,"Missing day(s)","")</f>
        <v>Missing day(s)</v>
      </c>
      <c r="AD7" s="36"/>
    </row>
    <row r="8" spans="1:30" x14ac:dyDescent="0.25">
      <c r="A8" s="75">
        <v>44336</v>
      </c>
      <c r="B8" s="32">
        <v>5</v>
      </c>
      <c r="C8" s="33">
        <v>24</v>
      </c>
      <c r="D8" s="15">
        <v>22</v>
      </c>
      <c r="E8" s="15">
        <v>0</v>
      </c>
      <c r="F8" s="15">
        <v>10</v>
      </c>
      <c r="G8" s="34">
        <f t="shared" si="2"/>
        <v>0</v>
      </c>
      <c r="H8" s="34">
        <f t="shared" si="2"/>
        <v>0.16666666666666669</v>
      </c>
      <c r="I8" s="34">
        <f t="shared" si="3"/>
        <v>22.166666666666668</v>
      </c>
      <c r="J8" s="34">
        <f t="shared" si="4"/>
        <v>1.8333333333333321</v>
      </c>
      <c r="K8" s="15">
        <v>5</v>
      </c>
      <c r="L8" s="15">
        <v>40</v>
      </c>
      <c r="M8" s="34">
        <f t="shared" si="5"/>
        <v>0.66666666666666674</v>
      </c>
      <c r="N8" s="34">
        <f t="shared" si="6"/>
        <v>5.666666666666667</v>
      </c>
      <c r="O8" s="34">
        <f t="shared" si="0"/>
        <v>7.4999999999999991</v>
      </c>
      <c r="P8" s="34">
        <f t="shared" si="7"/>
        <v>7</v>
      </c>
      <c r="Q8" s="34">
        <f t="shared" si="8"/>
        <v>0.29999999999999943</v>
      </c>
      <c r="R8" s="15">
        <v>2</v>
      </c>
      <c r="S8" s="34">
        <f t="shared" si="9"/>
        <v>1</v>
      </c>
      <c r="T8" s="35">
        <f t="shared" si="1"/>
        <v>7</v>
      </c>
      <c r="U8" s="35">
        <f t="shared" si="10"/>
        <v>29.999999999999943</v>
      </c>
      <c r="W8" t="str">
        <f>IF(B1=1,"DP_NS_AVG","")</f>
        <v>DP_NS_AVG</v>
      </c>
      <c r="X8" s="36">
        <f>IF(B1=1,SUM(O8:O14)/(COUNT(O8:O14)),"")</f>
        <v>7.2976190476190483</v>
      </c>
      <c r="Y8" s="36">
        <f>IF(B1=1,SUM(S8:S14)/COUNT(S8:S14),"")</f>
        <v>2.4285714285714284</v>
      </c>
      <c r="Z8" t="str">
        <f>IF(B1=1,IF(COUNT(S8:S14)&lt;7,7-COUNT(S8:S14),""),"")</f>
        <v/>
      </c>
    </row>
    <row r="9" spans="1:30" x14ac:dyDescent="0.25">
      <c r="A9" s="75">
        <v>44337</v>
      </c>
      <c r="B9" s="32">
        <v>6</v>
      </c>
      <c r="C9" s="33">
        <v>24</v>
      </c>
      <c r="D9" s="15">
        <v>23</v>
      </c>
      <c r="E9" s="15">
        <v>0</v>
      </c>
      <c r="F9" s="15">
        <v>15</v>
      </c>
      <c r="G9" s="34">
        <f t="shared" si="2"/>
        <v>0</v>
      </c>
      <c r="H9" s="34">
        <f t="shared" si="2"/>
        <v>0.25</v>
      </c>
      <c r="I9" s="34">
        <f t="shared" si="3"/>
        <v>23.25</v>
      </c>
      <c r="J9" s="34">
        <f t="shared" si="4"/>
        <v>0.75</v>
      </c>
      <c r="K9" s="15">
        <v>5</v>
      </c>
      <c r="L9" s="15">
        <v>20</v>
      </c>
      <c r="M9" s="34">
        <f t="shared" si="5"/>
        <v>0.33333333333333337</v>
      </c>
      <c r="N9" s="34">
        <f t="shared" si="6"/>
        <v>5.333333333333333</v>
      </c>
      <c r="O9" s="34">
        <f t="shared" si="0"/>
        <v>6.083333333333333</v>
      </c>
      <c r="P9" s="34">
        <f t="shared" si="7"/>
        <v>6</v>
      </c>
      <c r="Q9" s="34">
        <f t="shared" si="8"/>
        <v>4.9999999999999822E-2</v>
      </c>
      <c r="R9" s="15">
        <v>4</v>
      </c>
      <c r="S9" s="34">
        <f t="shared" si="9"/>
        <v>3</v>
      </c>
      <c r="T9" s="35">
        <f t="shared" si="1"/>
        <v>6</v>
      </c>
      <c r="U9" s="35">
        <f t="shared" si="10"/>
        <v>4.9999999999999822</v>
      </c>
      <c r="W9" t="str">
        <f>IF(B1=1,"DP_P_AVG","")</f>
        <v>DP_P_AVG</v>
      </c>
      <c r="X9" s="36">
        <f>IF(B1=1,SUM(O15:O17)/(COUNT(O15:O17)),"")</f>
        <v>4.6000000000000005</v>
      </c>
      <c r="Y9" s="36">
        <f>IF(B1=1,SUM(S15:S17)/COUNT(S15:S17),"")</f>
        <v>2.3333333333333335</v>
      </c>
      <c r="Z9" t="str">
        <f>IF(B1=1,IF(COUNT(S15:S17)&lt;3,3-COUNT(S15:S17),""),"")</f>
        <v/>
      </c>
    </row>
    <row r="10" spans="1:30" x14ac:dyDescent="0.25">
      <c r="A10" s="75">
        <v>44338</v>
      </c>
      <c r="B10" s="32">
        <v>7</v>
      </c>
      <c r="C10" s="33">
        <v>24</v>
      </c>
      <c r="D10" s="15">
        <v>24</v>
      </c>
      <c r="E10" s="15">
        <v>10</v>
      </c>
      <c r="F10" s="15">
        <v>10</v>
      </c>
      <c r="G10" s="34">
        <f t="shared" si="2"/>
        <v>0.16666666666666669</v>
      </c>
      <c r="H10" s="34">
        <f t="shared" si="2"/>
        <v>0.16666666666666669</v>
      </c>
      <c r="I10" s="34">
        <f t="shared" si="3"/>
        <v>24.333333333333336</v>
      </c>
      <c r="J10" s="34">
        <f t="shared" si="4"/>
        <v>-0.3333333333333357</v>
      </c>
      <c r="K10" s="15">
        <v>6</v>
      </c>
      <c r="L10" s="15">
        <v>20</v>
      </c>
      <c r="M10" s="34">
        <f t="shared" si="5"/>
        <v>0.33333333333333337</v>
      </c>
      <c r="N10" s="34">
        <f t="shared" si="6"/>
        <v>6.333333333333333</v>
      </c>
      <c r="O10" s="34">
        <f t="shared" si="0"/>
        <v>5.9999999999999973</v>
      </c>
      <c r="P10" s="34">
        <f t="shared" si="7"/>
        <v>6</v>
      </c>
      <c r="Q10" s="34">
        <f t="shared" si="8"/>
        <v>-1.5987211554602253E-15</v>
      </c>
      <c r="R10" s="15">
        <v>3</v>
      </c>
      <c r="S10" s="34">
        <f t="shared" si="9"/>
        <v>2</v>
      </c>
      <c r="T10" s="35">
        <f t="shared" si="1"/>
        <v>6</v>
      </c>
      <c r="U10" s="35">
        <f t="shared" si="10"/>
        <v>-1.5987211554602252E-13</v>
      </c>
      <c r="W10" t="str">
        <f>IF(B1=1,"NS_AVG","")</f>
        <v>NS_AVG</v>
      </c>
      <c r="X10" s="36">
        <f>IF(B1=1,SUM(O4:O10)/(COUNT(O4:O10)),"")</f>
        <v>7.0119047619047619</v>
      </c>
      <c r="Y10" s="36">
        <f>IF(B1=1,SUM(S4:S10)/COUNT(S4:S10),"")</f>
        <v>2.4285714285714284</v>
      </c>
      <c r="Z10" t="str">
        <f>IF(B1=1,IF(COUNT(S4:S10)&lt;7,7-COUNT(S4:S10),""),"")</f>
        <v/>
      </c>
    </row>
    <row r="11" spans="1:30" x14ac:dyDescent="0.25">
      <c r="A11" s="75">
        <v>44339</v>
      </c>
      <c r="B11" s="32">
        <v>8</v>
      </c>
      <c r="C11" s="28">
        <v>24</v>
      </c>
      <c r="D11" s="15">
        <v>23</v>
      </c>
      <c r="E11" s="15">
        <v>5</v>
      </c>
      <c r="F11" s="15">
        <v>15</v>
      </c>
      <c r="G11" s="34">
        <f t="shared" si="2"/>
        <v>8.3333333333333343E-2</v>
      </c>
      <c r="H11" s="34">
        <f t="shared" si="2"/>
        <v>0.25</v>
      </c>
      <c r="I11" s="34">
        <f t="shared" si="3"/>
        <v>23.333333333333332</v>
      </c>
      <c r="J11" s="34">
        <f t="shared" si="4"/>
        <v>0.66666666666666785</v>
      </c>
      <c r="K11" s="15">
        <v>5</v>
      </c>
      <c r="L11" s="15">
        <v>40</v>
      </c>
      <c r="M11" s="34">
        <f t="shared" si="5"/>
        <v>0.66666666666666674</v>
      </c>
      <c r="N11" s="34">
        <f t="shared" si="6"/>
        <v>5.666666666666667</v>
      </c>
      <c r="O11" s="34">
        <f t="shared" si="0"/>
        <v>6.3333333333333348</v>
      </c>
      <c r="P11" s="34">
        <f t="shared" si="7"/>
        <v>6</v>
      </c>
      <c r="Q11" s="34">
        <f t="shared" si="8"/>
        <v>0.20000000000000087</v>
      </c>
      <c r="R11" s="15">
        <v>4</v>
      </c>
      <c r="S11" s="34">
        <f t="shared" si="9"/>
        <v>3</v>
      </c>
      <c r="T11" s="35">
        <f t="shared" si="1"/>
        <v>6</v>
      </c>
      <c r="U11" s="35">
        <f t="shared" si="10"/>
        <v>20.000000000000089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3" t="str">
        <f>IF(B1=0,"Missing day(s)","")</f>
        <v/>
      </c>
    </row>
    <row r="12" spans="1:30" x14ac:dyDescent="0.25">
      <c r="A12" s="75">
        <v>44340</v>
      </c>
      <c r="B12" s="32">
        <v>9</v>
      </c>
      <c r="C12" s="28">
        <v>24</v>
      </c>
      <c r="D12" s="15">
        <v>23</v>
      </c>
      <c r="E12" s="15">
        <v>5</v>
      </c>
      <c r="F12" s="15">
        <v>10</v>
      </c>
      <c r="G12" s="34">
        <f t="shared" si="2"/>
        <v>8.3333333333333343E-2</v>
      </c>
      <c r="H12" s="34">
        <f t="shared" si="2"/>
        <v>0.16666666666666669</v>
      </c>
      <c r="I12" s="34">
        <f t="shared" si="3"/>
        <v>23.25</v>
      </c>
      <c r="J12" s="34">
        <f t="shared" si="4"/>
        <v>0.75</v>
      </c>
      <c r="K12" s="15">
        <v>7</v>
      </c>
      <c r="L12" s="15">
        <v>15</v>
      </c>
      <c r="M12" s="34">
        <f t="shared" si="5"/>
        <v>0.25</v>
      </c>
      <c r="N12" s="34">
        <f t="shared" si="6"/>
        <v>7.25</v>
      </c>
      <c r="O12" s="34">
        <f t="shared" si="0"/>
        <v>8</v>
      </c>
      <c r="P12" s="34">
        <f t="shared" si="7"/>
        <v>8</v>
      </c>
      <c r="Q12" s="34">
        <f t="shared" si="8"/>
        <v>0</v>
      </c>
      <c r="R12" s="15">
        <v>4</v>
      </c>
      <c r="S12" s="34">
        <f t="shared" si="9"/>
        <v>3</v>
      </c>
      <c r="T12" s="35">
        <f t="shared" si="1"/>
        <v>8</v>
      </c>
      <c r="U12" s="35">
        <f t="shared" si="10"/>
        <v>0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25">
      <c r="A13" s="75">
        <v>44341</v>
      </c>
      <c r="B13" s="32">
        <v>10</v>
      </c>
      <c r="C13" s="28">
        <v>24</v>
      </c>
      <c r="D13" s="15">
        <v>22</v>
      </c>
      <c r="E13" s="15">
        <v>45</v>
      </c>
      <c r="F13" s="15">
        <v>5</v>
      </c>
      <c r="G13" s="34">
        <f t="shared" si="2"/>
        <v>0.75</v>
      </c>
      <c r="H13" s="34">
        <f t="shared" si="2"/>
        <v>8.3333333333333343E-2</v>
      </c>
      <c r="I13" s="34">
        <f t="shared" si="3"/>
        <v>22.833333333333332</v>
      </c>
      <c r="J13" s="34">
        <f t="shared" si="4"/>
        <v>1.1666666666666679</v>
      </c>
      <c r="K13" s="15">
        <v>7</v>
      </c>
      <c r="L13" s="15">
        <v>25</v>
      </c>
      <c r="M13" s="34">
        <f t="shared" si="5"/>
        <v>0.41666666666666674</v>
      </c>
      <c r="N13" s="34">
        <f t="shared" si="6"/>
        <v>7.416666666666667</v>
      </c>
      <c r="O13" s="34">
        <f t="shared" si="0"/>
        <v>8.5833333333333357</v>
      </c>
      <c r="P13" s="34">
        <f t="shared" si="7"/>
        <v>8</v>
      </c>
      <c r="Q13" s="34">
        <f t="shared" si="8"/>
        <v>0.35000000000000142</v>
      </c>
      <c r="R13" s="15">
        <v>4</v>
      </c>
      <c r="S13" s="34">
        <f t="shared" si="9"/>
        <v>3</v>
      </c>
      <c r="T13" s="35">
        <f t="shared" si="1"/>
        <v>8</v>
      </c>
      <c r="U13" s="35">
        <f t="shared" si="10"/>
        <v>35.000000000000142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25">
      <c r="A14" s="75">
        <v>44342</v>
      </c>
      <c r="B14" s="32">
        <v>11</v>
      </c>
      <c r="C14" s="28">
        <v>24</v>
      </c>
      <c r="D14" s="15">
        <v>22</v>
      </c>
      <c r="E14" s="15">
        <v>10</v>
      </c>
      <c r="F14" s="15">
        <v>5</v>
      </c>
      <c r="G14" s="34">
        <f t="shared" si="2"/>
        <v>0.16666666666666669</v>
      </c>
      <c r="H14" s="34">
        <f t="shared" si="2"/>
        <v>8.3333333333333343E-2</v>
      </c>
      <c r="I14" s="34">
        <f t="shared" si="3"/>
        <v>22.25</v>
      </c>
      <c r="J14" s="34">
        <f t="shared" si="4"/>
        <v>1.75</v>
      </c>
      <c r="K14" s="15">
        <v>6</v>
      </c>
      <c r="L14" s="15">
        <v>50</v>
      </c>
      <c r="M14" s="34">
        <f t="shared" si="5"/>
        <v>0.83333333333333348</v>
      </c>
      <c r="N14" s="34">
        <f t="shared" si="6"/>
        <v>6.8333333333333339</v>
      </c>
      <c r="O14" s="34">
        <f t="shared" si="0"/>
        <v>8.5833333333333339</v>
      </c>
      <c r="P14" s="34">
        <f t="shared" si="7"/>
        <v>8</v>
      </c>
      <c r="Q14" s="34">
        <f t="shared" si="8"/>
        <v>0.35000000000000037</v>
      </c>
      <c r="R14" s="15">
        <v>3</v>
      </c>
      <c r="S14" s="34">
        <f t="shared" si="9"/>
        <v>2</v>
      </c>
      <c r="T14" s="35">
        <f t="shared" si="1"/>
        <v>8</v>
      </c>
      <c r="U14" s="35">
        <f t="shared" si="10"/>
        <v>35.000000000000036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25">
      <c r="A15" s="75">
        <v>44343</v>
      </c>
      <c r="B15" s="32">
        <v>12</v>
      </c>
      <c r="C15" s="28">
        <v>24</v>
      </c>
      <c r="D15" s="15">
        <v>26</v>
      </c>
      <c r="E15" s="15">
        <v>19</v>
      </c>
      <c r="F15" s="15">
        <v>2</v>
      </c>
      <c r="G15" s="34">
        <f t="shared" si="2"/>
        <v>0.31666666666666665</v>
      </c>
      <c r="H15" s="34">
        <f t="shared" si="2"/>
        <v>3.3333333333333333E-2</v>
      </c>
      <c r="I15" s="34">
        <f t="shared" si="3"/>
        <v>26.35</v>
      </c>
      <c r="J15" s="34">
        <f t="shared" si="4"/>
        <v>-2.3500000000000014</v>
      </c>
      <c r="K15" s="15">
        <v>7</v>
      </c>
      <c r="L15" s="15">
        <v>5</v>
      </c>
      <c r="M15" s="34">
        <f t="shared" si="5"/>
        <v>8.3333333333333343E-2</v>
      </c>
      <c r="N15" s="34">
        <f t="shared" si="6"/>
        <v>7.083333333333333</v>
      </c>
      <c r="O15" s="34">
        <f t="shared" si="0"/>
        <v>4.7333333333333316</v>
      </c>
      <c r="P15" s="34">
        <f t="shared" si="7"/>
        <v>4</v>
      </c>
      <c r="Q15" s="34">
        <f t="shared" si="8"/>
        <v>0.43999999999999895</v>
      </c>
      <c r="R15" s="15">
        <v>3</v>
      </c>
      <c r="S15" s="34">
        <f t="shared" si="9"/>
        <v>2</v>
      </c>
      <c r="T15" s="35">
        <f t="shared" si="1"/>
        <v>4</v>
      </c>
      <c r="U15" s="35">
        <f t="shared" si="10"/>
        <v>43.999999999999893</v>
      </c>
      <c r="W15" s="82" t="s">
        <v>288</v>
      </c>
      <c r="X15" s="84" cm="1">
        <f t="array" ref="X15">_xlfn.IFS(B1=0,X12-X13,B1=1,X8-X9)</f>
        <v>2.6976190476190478</v>
      </c>
      <c r="Y15" s="85" t="s">
        <v>289</v>
      </c>
      <c r="Z15" s="84" cm="1">
        <f t="array" ref="Z15">_xlfn.IFS(B1=0,X14-X13,B1=1,X10-X9)</f>
        <v>2.4119047619047613</v>
      </c>
      <c r="AA15" s="83" t="s">
        <v>290</v>
      </c>
    </row>
    <row r="16" spans="1:30" x14ac:dyDescent="0.25">
      <c r="A16" s="75">
        <v>44344</v>
      </c>
      <c r="B16" s="32">
        <v>13</v>
      </c>
      <c r="C16" s="28">
        <v>24</v>
      </c>
      <c r="D16" s="15">
        <v>25</v>
      </c>
      <c r="E16" s="15">
        <v>45</v>
      </c>
      <c r="F16" s="15">
        <v>5</v>
      </c>
      <c r="G16" s="34">
        <f t="shared" si="2"/>
        <v>0.75</v>
      </c>
      <c r="H16" s="34">
        <f t="shared" si="2"/>
        <v>8.3333333333333343E-2</v>
      </c>
      <c r="I16" s="34">
        <f t="shared" si="3"/>
        <v>25.833333333333332</v>
      </c>
      <c r="J16" s="34">
        <f t="shared" si="4"/>
        <v>-1.8333333333333321</v>
      </c>
      <c r="K16" s="15">
        <v>6</v>
      </c>
      <c r="L16" s="15">
        <v>55</v>
      </c>
      <c r="M16" s="34">
        <f t="shared" si="5"/>
        <v>0.91666666666666674</v>
      </c>
      <c r="N16" s="34">
        <f t="shared" si="6"/>
        <v>6.916666666666667</v>
      </c>
      <c r="O16" s="34">
        <f t="shared" si="0"/>
        <v>5.0833333333333348</v>
      </c>
      <c r="P16" s="34">
        <f t="shared" si="7"/>
        <v>5</v>
      </c>
      <c r="Q16" s="34">
        <f t="shared" si="8"/>
        <v>5.0000000000000884E-2</v>
      </c>
      <c r="R16" s="15">
        <v>3</v>
      </c>
      <c r="S16" s="34">
        <f t="shared" si="9"/>
        <v>2</v>
      </c>
      <c r="T16" s="35">
        <f t="shared" si="1"/>
        <v>5</v>
      </c>
      <c r="U16" s="35">
        <f t="shared" si="10"/>
        <v>5.0000000000000888</v>
      </c>
      <c r="X16" t="s">
        <v>291</v>
      </c>
    </row>
    <row r="17" spans="1:23" x14ac:dyDescent="0.25">
      <c r="A17" s="75">
        <v>44345</v>
      </c>
      <c r="B17" s="32">
        <v>14</v>
      </c>
      <c r="C17" s="28">
        <v>24</v>
      </c>
      <c r="D17" s="15">
        <v>25</v>
      </c>
      <c r="E17" s="15">
        <v>35</v>
      </c>
      <c r="F17" s="15">
        <v>10</v>
      </c>
      <c r="G17" s="34">
        <f t="shared" si="2"/>
        <v>0.58333333333333337</v>
      </c>
      <c r="H17" s="34">
        <f t="shared" si="2"/>
        <v>0.16666666666666669</v>
      </c>
      <c r="I17" s="34">
        <f t="shared" si="3"/>
        <v>25.75</v>
      </c>
      <c r="J17" s="34">
        <f t="shared" si="4"/>
        <v>-1.75</v>
      </c>
      <c r="K17" s="15">
        <v>5</v>
      </c>
      <c r="L17" s="15">
        <v>44</v>
      </c>
      <c r="M17" s="34">
        <f t="shared" si="5"/>
        <v>0.73333333333333339</v>
      </c>
      <c r="N17" s="34">
        <f t="shared" si="6"/>
        <v>5.7333333333333334</v>
      </c>
      <c r="O17" s="34">
        <f t="shared" si="0"/>
        <v>3.9833333333333334</v>
      </c>
      <c r="P17" s="34">
        <f t="shared" si="7"/>
        <v>3</v>
      </c>
      <c r="Q17" s="34">
        <f t="shared" si="8"/>
        <v>0.59</v>
      </c>
      <c r="R17" s="15">
        <v>4</v>
      </c>
      <c r="S17" s="34">
        <f t="shared" si="9"/>
        <v>3</v>
      </c>
      <c r="T17" s="35">
        <f t="shared" si="1"/>
        <v>3</v>
      </c>
      <c r="U17" s="35">
        <f t="shared" si="10"/>
        <v>59</v>
      </c>
      <c r="W17" t="s">
        <v>269</v>
      </c>
    </row>
    <row r="18" spans="1:23" x14ac:dyDescent="0.2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  <c r="W18" t="s">
        <v>294</v>
      </c>
    </row>
    <row r="19" spans="1:23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3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3" x14ac:dyDescent="0.25">
      <c r="R24" t="s">
        <v>266</v>
      </c>
    </row>
    <row r="26" spans="1:23" x14ac:dyDescent="0.25">
      <c r="B26" t="s">
        <v>162</v>
      </c>
      <c r="K26" t="s">
        <v>164</v>
      </c>
    </row>
    <row r="27" spans="1:23" x14ac:dyDescent="0.25">
      <c r="B27" t="s">
        <v>161</v>
      </c>
      <c r="K27" t="s">
        <v>163</v>
      </c>
    </row>
    <row r="28" spans="1:23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7" priority="5">
      <formula>LEN(TRIM(W12))&gt;0</formula>
    </cfRule>
  </conditionalFormatting>
  <conditionalFormatting sqref="W7:Z7 W8:W10">
    <cfRule type="notContainsBlanks" dxfId="6" priority="6">
      <formula>LEN(TRIM(W7))&gt;0</formula>
    </cfRule>
  </conditionalFormatting>
  <conditionalFormatting sqref="W11:Z11">
    <cfRule type="notContainsBlanks" dxfId="5" priority="4">
      <formula>LEN(TRIM(W11))&gt;0</formula>
    </cfRule>
  </conditionalFormatting>
  <conditionalFormatting sqref="X8:Y10">
    <cfRule type="notContainsBlanks" dxfId="4" priority="9">
      <formula>LEN(TRIM(X8))&gt;0</formula>
    </cfRule>
  </conditionalFormatting>
  <conditionalFormatting sqref="X12:Y14">
    <cfRule type="notContainsBlanks" dxfId="3" priority="2">
      <formula>LEN(TRIM(X12))&gt;0</formula>
    </cfRule>
  </conditionalFormatting>
  <conditionalFormatting sqref="X12:Z14">
    <cfRule type="notContainsBlanks" dxfId="2" priority="1">
      <formula>LEN(TRIM(X12))&gt;0</formula>
    </cfRule>
  </conditionalFormatting>
  <conditionalFormatting sqref="Z8:Z10 Z12:Z14">
    <cfRule type="notContainsBlanks" dxfId="1" priority="8">
      <formula>LEN(TRIM(Z8))&gt;0</formula>
    </cfRule>
  </conditionalFormatting>
  <conditionalFormatting sqref="AA12">
    <cfRule type="notContainsBlanks" dxfId="0" priority="3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32A6-4240-4C2F-9FBA-454AD8C19DF5}">
  <dimension ref="A1:I15"/>
  <sheetViews>
    <sheetView tabSelected="1" workbookViewId="0">
      <selection activeCell="B16" sqref="B16"/>
    </sheetView>
  </sheetViews>
  <sheetFormatPr defaultRowHeight="15" x14ac:dyDescent="0.25"/>
  <cols>
    <col min="1" max="1" width="12.7109375" customWidth="1"/>
  </cols>
  <sheetData>
    <row r="1" spans="1:9" x14ac:dyDescent="0.25">
      <c r="A1" s="29" t="s">
        <v>272</v>
      </c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</row>
    <row r="2" spans="1:9" x14ac:dyDescent="0.25">
      <c r="A2" s="75">
        <v>44332</v>
      </c>
      <c r="B2" s="87">
        <v>6.9444444444444441E-3</v>
      </c>
      <c r="C2" s="87">
        <v>1.3888888888888889E-3</v>
      </c>
      <c r="D2">
        <v>10</v>
      </c>
      <c r="E2">
        <v>1</v>
      </c>
      <c r="F2">
        <v>5</v>
      </c>
      <c r="G2" s="87">
        <v>0.33333333333333331</v>
      </c>
      <c r="H2" s="87">
        <v>0.36458333333333331</v>
      </c>
      <c r="I2">
        <v>4</v>
      </c>
    </row>
    <row r="3" spans="1:9" x14ac:dyDescent="0.25">
      <c r="A3" s="75">
        <v>44333</v>
      </c>
      <c r="B3" s="87">
        <v>0.95833333333333337</v>
      </c>
      <c r="C3" s="87">
        <v>0.98611111111111116</v>
      </c>
      <c r="D3">
        <v>10</v>
      </c>
      <c r="E3">
        <v>2</v>
      </c>
      <c r="F3">
        <v>10</v>
      </c>
      <c r="G3" s="87">
        <v>0.23611111111111113</v>
      </c>
      <c r="H3" s="87">
        <v>0.28125</v>
      </c>
      <c r="I3">
        <v>4</v>
      </c>
    </row>
    <row r="4" spans="1:9" x14ac:dyDescent="0.25">
      <c r="A4" s="75">
        <v>44334</v>
      </c>
      <c r="B4" s="87">
        <v>0.9375</v>
      </c>
      <c r="C4" s="87">
        <v>0.95138888888888884</v>
      </c>
      <c r="D4">
        <v>5</v>
      </c>
      <c r="E4">
        <v>2</v>
      </c>
      <c r="F4">
        <v>60</v>
      </c>
      <c r="G4" s="87">
        <v>0.3125</v>
      </c>
      <c r="H4" s="87">
        <v>0.3125</v>
      </c>
      <c r="I4">
        <v>3</v>
      </c>
    </row>
    <row r="5" spans="1:9" x14ac:dyDescent="0.25">
      <c r="A5" s="75">
        <v>44335</v>
      </c>
      <c r="B5" s="87">
        <v>0.95486111111111116</v>
      </c>
      <c r="C5" s="87">
        <v>10</v>
      </c>
      <c r="D5">
        <v>0</v>
      </c>
      <c r="E5">
        <v>0</v>
      </c>
      <c r="G5" s="87">
        <v>0.27083333333333331</v>
      </c>
      <c r="H5" s="87">
        <v>0.27083333333333331</v>
      </c>
      <c r="I5">
        <v>4</v>
      </c>
    </row>
    <row r="6" spans="1:9" x14ac:dyDescent="0.25">
      <c r="A6" s="75">
        <v>44336</v>
      </c>
      <c r="B6" s="87">
        <v>0.88888888888888884</v>
      </c>
      <c r="C6" s="87">
        <v>0.91666666666666663</v>
      </c>
      <c r="D6">
        <v>10</v>
      </c>
      <c r="E6">
        <v>4</v>
      </c>
      <c r="F6">
        <v>70</v>
      </c>
      <c r="G6" s="87">
        <v>0.23611111111111113</v>
      </c>
      <c r="H6" s="87">
        <v>0.27777777777777779</v>
      </c>
      <c r="I6">
        <v>2</v>
      </c>
    </row>
    <row r="7" spans="1:9" x14ac:dyDescent="0.25">
      <c r="A7" s="75">
        <v>44337</v>
      </c>
      <c r="B7" s="87">
        <v>0.91666666666666663</v>
      </c>
      <c r="C7" s="87">
        <v>0.95833333333333337</v>
      </c>
      <c r="D7">
        <v>15</v>
      </c>
      <c r="E7">
        <v>1</v>
      </c>
      <c r="F7">
        <v>10</v>
      </c>
      <c r="G7" s="87">
        <v>0.22222222222222221</v>
      </c>
      <c r="H7" s="87">
        <v>0.2951388888888889</v>
      </c>
      <c r="I7">
        <v>4</v>
      </c>
    </row>
    <row r="8" spans="1:9" x14ac:dyDescent="0.25">
      <c r="A8" s="75">
        <v>44338</v>
      </c>
      <c r="B8" s="87">
        <v>0.96180555555555547</v>
      </c>
      <c r="C8" s="87">
        <v>6.9444444444444441E-3</v>
      </c>
      <c r="D8">
        <v>10</v>
      </c>
      <c r="E8">
        <v>3</v>
      </c>
      <c r="F8">
        <v>60</v>
      </c>
      <c r="G8" s="87">
        <v>0.2638888888888889</v>
      </c>
      <c r="H8" s="87">
        <v>0.29375000000000001</v>
      </c>
      <c r="I8">
        <v>3</v>
      </c>
    </row>
    <row r="9" spans="1:9" x14ac:dyDescent="0.25">
      <c r="A9" s="75">
        <v>44339</v>
      </c>
      <c r="B9" s="87">
        <v>0.94444444444444453</v>
      </c>
      <c r="C9" s="87">
        <v>0.96180555555555547</v>
      </c>
      <c r="D9">
        <v>15</v>
      </c>
      <c r="E9">
        <v>1</v>
      </c>
      <c r="F9">
        <v>5</v>
      </c>
      <c r="G9" s="87">
        <v>0.23611111111111113</v>
      </c>
      <c r="H9" s="87">
        <v>0.25694444444444448</v>
      </c>
      <c r="I9">
        <v>4</v>
      </c>
    </row>
    <row r="10" spans="1:9" x14ac:dyDescent="0.25">
      <c r="A10" s="75">
        <v>44340</v>
      </c>
      <c r="B10" s="87">
        <v>0.93055555555555547</v>
      </c>
      <c r="C10" s="87">
        <v>0.96180555555555547</v>
      </c>
      <c r="D10">
        <v>10</v>
      </c>
      <c r="E10">
        <v>0</v>
      </c>
      <c r="F10">
        <v>0</v>
      </c>
      <c r="G10" s="87">
        <v>0.30208333333333331</v>
      </c>
      <c r="H10" s="87">
        <v>0.30208333333333331</v>
      </c>
      <c r="I10">
        <v>4</v>
      </c>
    </row>
    <row r="11" spans="1:9" x14ac:dyDescent="0.25">
      <c r="A11" s="75">
        <v>44341</v>
      </c>
      <c r="B11" s="87">
        <v>0.90277777777777779</v>
      </c>
      <c r="C11" s="87">
        <v>0.94791666666666663</v>
      </c>
      <c r="D11">
        <v>5</v>
      </c>
      <c r="E11">
        <v>0</v>
      </c>
      <c r="F11">
        <v>0</v>
      </c>
      <c r="G11" s="87">
        <v>0.30902777777777779</v>
      </c>
      <c r="H11" s="87">
        <v>0.30902777777777779</v>
      </c>
      <c r="I11">
        <v>4</v>
      </c>
    </row>
    <row r="12" spans="1:9" x14ac:dyDescent="0.25">
      <c r="A12" s="75">
        <v>44342</v>
      </c>
      <c r="B12" s="87">
        <v>0.875</v>
      </c>
      <c r="C12" s="87">
        <v>0.92361111111111116</v>
      </c>
      <c r="D12">
        <v>5</v>
      </c>
      <c r="E12">
        <v>4</v>
      </c>
      <c r="F12">
        <v>40</v>
      </c>
      <c r="G12" s="87">
        <v>0.28472222222222221</v>
      </c>
      <c r="H12" s="87">
        <v>0.31388888888888888</v>
      </c>
      <c r="I12">
        <v>3</v>
      </c>
    </row>
    <row r="13" spans="1:9" x14ac:dyDescent="0.25">
      <c r="A13" s="75">
        <v>44343</v>
      </c>
      <c r="B13" s="87">
        <v>6.9444444444444434E-2</v>
      </c>
      <c r="C13" s="87">
        <v>9.6527777777777768E-2</v>
      </c>
      <c r="D13">
        <v>2</v>
      </c>
      <c r="E13">
        <v>0</v>
      </c>
      <c r="F13">
        <v>0</v>
      </c>
      <c r="G13" s="87">
        <v>0.2951388888888889</v>
      </c>
      <c r="H13" s="87">
        <v>0.2951388888888889</v>
      </c>
      <c r="I13">
        <v>3</v>
      </c>
    </row>
    <row r="14" spans="1:9" x14ac:dyDescent="0.25">
      <c r="A14" s="75">
        <v>44344</v>
      </c>
      <c r="B14" s="87">
        <v>5.5555555555555552E-2</v>
      </c>
      <c r="C14" s="87">
        <v>7.2916666666666671E-2</v>
      </c>
      <c r="D14">
        <v>5</v>
      </c>
      <c r="E14">
        <v>1</v>
      </c>
      <c r="F14">
        <v>5</v>
      </c>
      <c r="G14" s="87">
        <v>0.28819444444444448</v>
      </c>
      <c r="H14" s="87">
        <v>0.30208333333333331</v>
      </c>
      <c r="I14">
        <v>3</v>
      </c>
    </row>
    <row r="15" spans="1:9" x14ac:dyDescent="0.25">
      <c r="A15" s="75">
        <v>44345</v>
      </c>
      <c r="B15" s="87">
        <v>5.2083333333333336E-2</v>
      </c>
      <c r="C15" s="87">
        <v>6.5972222222222224E-2</v>
      </c>
      <c r="D15">
        <v>10</v>
      </c>
      <c r="E15">
        <v>2</v>
      </c>
      <c r="F15">
        <v>10</v>
      </c>
      <c r="G15" s="87">
        <v>0.2388888888888889</v>
      </c>
      <c r="H15" s="87">
        <v>0.3125</v>
      </c>
      <c r="I1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2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2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15</v>
      </c>
      <c r="E5" s="17" t="s">
        <v>24</v>
      </c>
      <c r="F5" s="15">
        <v>1</v>
      </c>
      <c r="G5" s="18">
        <f>F4+F6+F8+F12+F13+F15+F17+F19+F20+F22</f>
        <v>13</v>
      </c>
      <c r="I5" s="17" t="s">
        <v>24</v>
      </c>
      <c r="J5" s="15">
        <v>1</v>
      </c>
      <c r="K5" s="18">
        <f>J4+J6+J8+J12+J13+J15+J17+J19+J20+J22</f>
        <v>28</v>
      </c>
      <c r="M5" s="17" t="s">
        <v>24</v>
      </c>
      <c r="N5" s="15">
        <v>1</v>
      </c>
      <c r="O5" s="18">
        <f>N4+N6+N8+N12+N13+N15+N17+N19+N20+N22</f>
        <v>21</v>
      </c>
    </row>
    <row r="6" spans="1:15" x14ac:dyDescent="0.25">
      <c r="A6" s="14" t="s">
        <v>28</v>
      </c>
      <c r="B6" s="15">
        <v>2</v>
      </c>
      <c r="E6" s="14" t="s">
        <v>28</v>
      </c>
      <c r="F6" s="15">
        <v>1</v>
      </c>
      <c r="I6" s="14" t="s">
        <v>28</v>
      </c>
      <c r="J6" s="15">
        <v>3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2</v>
      </c>
      <c r="C8" s="18">
        <f>B5+B7+B9+B10+B11+B14+B16+B18+B21+B23</f>
        <v>11</v>
      </c>
      <c r="E8" s="14" t="s">
        <v>35</v>
      </c>
      <c r="F8" s="15">
        <v>1</v>
      </c>
      <c r="G8" s="18">
        <f>F5+F7+F9+F10+F11+F14+F16+F18+F21+F23</f>
        <v>10</v>
      </c>
      <c r="I8" s="14" t="s">
        <v>35</v>
      </c>
      <c r="J8" s="15">
        <v>2</v>
      </c>
      <c r="K8" s="18">
        <f>J5+J7+J9+J10+J11+J14+J16+J18+J21+J23</f>
        <v>13</v>
      </c>
      <c r="M8" s="14" t="s">
        <v>35</v>
      </c>
      <c r="N8" s="15">
        <v>2</v>
      </c>
      <c r="O8" s="18">
        <f>N5+N7+N9+N10+N11+N14+N16+N18+N21+N23</f>
        <v>10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3</v>
      </c>
      <c r="M12" s="14" t="s">
        <v>43</v>
      </c>
      <c r="N12" s="15">
        <v>3</v>
      </c>
    </row>
    <row r="13" spans="1:15" x14ac:dyDescent="0.25">
      <c r="A13" s="14" t="s">
        <v>47</v>
      </c>
      <c r="B13" s="15">
        <v>1</v>
      </c>
      <c r="E13" s="14" t="s">
        <v>47</v>
      </c>
      <c r="F13" s="15">
        <v>1</v>
      </c>
      <c r="I13" s="14" t="s">
        <v>47</v>
      </c>
      <c r="J13" s="15">
        <v>1</v>
      </c>
      <c r="M13" s="14" t="s">
        <v>47</v>
      </c>
      <c r="N13" s="15">
        <v>1</v>
      </c>
    </row>
    <row r="14" spans="1:15" x14ac:dyDescent="0.25">
      <c r="A14" s="17" t="s">
        <v>50</v>
      </c>
      <c r="B14" s="15">
        <v>2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1</v>
      </c>
      <c r="E17" s="14" t="s">
        <v>59</v>
      </c>
      <c r="F17" s="15">
        <v>1</v>
      </c>
      <c r="I17" s="14" t="s">
        <v>59</v>
      </c>
      <c r="J17" s="15">
        <v>3</v>
      </c>
      <c r="M17" s="14" t="s">
        <v>59</v>
      </c>
      <c r="N17" s="15">
        <v>3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3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1</v>
      </c>
      <c r="E19" s="14" t="s">
        <v>65</v>
      </c>
      <c r="F19" s="15">
        <v>1</v>
      </c>
      <c r="I19" s="14" t="s">
        <v>65</v>
      </c>
      <c r="J19" s="15">
        <v>2</v>
      </c>
      <c r="M19" s="14" t="s">
        <v>65</v>
      </c>
      <c r="N19" s="15">
        <v>2</v>
      </c>
    </row>
    <row r="20" spans="1:14" x14ac:dyDescent="0.25">
      <c r="A20" s="14" t="s">
        <v>68</v>
      </c>
      <c r="B20" s="15">
        <v>1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2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1</v>
      </c>
      <c r="E22" s="14" t="s">
        <v>73</v>
      </c>
      <c r="F22" s="15">
        <v>1</v>
      </c>
      <c r="I22" s="14" t="s">
        <v>73</v>
      </c>
      <c r="J22" s="15">
        <v>3</v>
      </c>
      <c r="M22" s="14" t="s">
        <v>73</v>
      </c>
      <c r="N22" s="15">
        <v>3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8" workbookViewId="0">
      <selection activeCell="B31" sqref="B31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7</v>
      </c>
      <c r="C4" t="s">
        <v>155</v>
      </c>
    </row>
    <row r="5" spans="1:8" x14ac:dyDescent="0.25">
      <c r="A5" s="40" t="s">
        <v>28</v>
      </c>
      <c r="B5" s="15">
        <v>5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295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296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297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298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1</v>
      </c>
    </row>
    <row r="15" spans="1:8" x14ac:dyDescent="0.25">
      <c r="A15" s="40" t="s">
        <v>273</v>
      </c>
      <c r="B15" s="15">
        <v>7</v>
      </c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5</v>
      </c>
      <c r="C20" t="s">
        <v>155</v>
      </c>
    </row>
    <row r="21" spans="1:9" x14ac:dyDescent="0.25">
      <c r="A21" s="40" t="s">
        <v>28</v>
      </c>
      <c r="B21" s="15">
        <v>5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299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300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301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302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0</v>
      </c>
    </row>
    <row r="31" spans="1:9" x14ac:dyDescent="0.25">
      <c r="A31" s="40" t="s">
        <v>273</v>
      </c>
      <c r="B31" s="15"/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2023-09-27T16:55:05Z</dcterms:modified>
  <cp:category/>
  <cp:contentStatus/>
</cp:coreProperties>
</file>